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074" tabRatio="846" firstSheet="4" activeTab="11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户型资产表" sheetId="42" state="hidden" r:id="rId13"/>
    <sheet name="【4】价目表" sheetId="33" r:id="rId14"/>
    <sheet name="【5】平面图" sheetId="34" r:id="rId15"/>
    <sheet name="【补充】采光验证因素" sheetId="35" state="hidden" r:id="rId16"/>
  </sheets>
  <externalReferences>
    <externalReference r:id="rId17"/>
  </externalReferences>
  <definedNames>
    <definedName name="_xlnm._FilterDatabase" localSheetId="2" hidden="1">各村基准价!$A$1:$C$88</definedName>
    <definedName name="_xlnm._FilterDatabase" localSheetId="11" hidden="1">'【3-2】大区&amp;运营中心填-房间模型价'!$A$1:$AN$75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<sst xmlns="http://schemas.openxmlformats.org/spreadsheetml/2006/main" count="10934" uniqueCount="700">
  <si>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</si>
  <si>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</si>
  <si>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</si>
  <si>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</si>
  <si>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</si>
  <si>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</si>
  <si>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</si>
  <si>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</si>
  <si>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</si>
  <si>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</si>
  <si>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</si>
  <si>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</si>
  <si>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</si>
  <si>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</si>
  <si>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</si>
  <si>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</si>
  <si>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</si>
  <si>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</si>
  <si>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</si>
  <si>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</si>
  <si>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</si>
  <si>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</si>
  <si>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</si>
  <si>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</si>
  <si>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</si>
  <si>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</si>
  <si>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</si>
  <si>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</si>
  <si>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</si>
  <si>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</si>
  <si>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</si>
  <si>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</si>
  <si>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</si>
  <si>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</si>
  <si>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</si>
  <si>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</si>
  <si>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</si>
  <si>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</si>
  <si>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</si>
  <si>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</si>
  <si>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</si>
  <si>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</si>
  <si>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</si>
  <si>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</si>
  <si>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</si>
  <si>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</si>
  <si>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</si>
  <si>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</si>
  <si>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</si>
  <si>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</si>
  <si>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</si>
  <si>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</si>
  <si>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</si>
  <si>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</si>
  <si>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</si>
  <si>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</si>
  <si>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</si>
  <si>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</si>
  <si>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</si>
  <si>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</si>
  <si>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</si>
  <si>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</si>
  <si>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</si>
  <si>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</si>
  <si>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</si>
  <si>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</si>
  <si>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</si>
  <si>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</si>
  <si>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</si>
  <si>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</si>
  <si>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</si>
  <si>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</si>
  <si>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</si>
  <si>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</si>
  <si>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</si>
  <si>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</si>
  <si>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</si>
  <si>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</si>
  <si>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</si>
  <si>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</si>
  <si>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</si>
  <si>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</si>
  <si>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</si>
  <si>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</si>
  <si>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</si>
  <si>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</si>
  <si>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</si>
  <si>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</si>
  <si>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</si>
  <si>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</si>
  <si>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</si>
  <si>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</si>
  <si>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</si>
  <si>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</si>
  <si>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</si>
  <si>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</si>
  <si>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</si>
  <si>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</si>
  <si>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</si>
  <si>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</si>
  <si>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</si>
  <si>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</si>
  <si>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</si>
  <si>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</si>
  <si>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</si>
  <si>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</si>
  <si>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</si>
  <si>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</si>
  <si>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</si>
  <si>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</si>
  <si>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</si>
  <si>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</si>
  <si>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</si>
  <si>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</si>
  <si>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</si>
  <si>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</si>
  <si>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</si>
  <si>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</si>
  <si>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</si>
  <si>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</si>
  <si>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</si>
  <si>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</si>
  <si>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</si>
  <si>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</si>
  <si>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</si>
  <si>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</si>
  <si>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</si>
  <si>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</si>
  <si>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</si>
  <si>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</si>
  <si>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</si>
  <si>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</si>
  <si>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</si>
  <si>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</si>
  <si>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</si>
  <si>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</si>
  <si>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</si>
  <si>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</si>
  <si>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</si>
  <si>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</si>
  <si>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</si>
  <si>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</si>
  <si>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</si>
  <si>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</si>
  <si>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</si>
  <si>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</si>
  <si>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</si>
  <si>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</si>
  <si>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</si>
  <si>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</si>
  <si>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</si>
  <si>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</si>
  <si>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</si>
  <si>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</si>
  <si>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</si>
  <si>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</si>
  <si>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</si>
  <si>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</si>
  <si>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</si>
  <si>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</si>
  <si>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</si>
  <si>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</si>
  <si>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</si>
  <si>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</si>
  <si>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</si>
  <si>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</si>
  <si>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</si>
  <si>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</si>
  <si>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</si>
  <si>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</si>
  <si>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</si>
  <si>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</si>
  <si>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</si>
  <si>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</si>
  <si>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</si>
  <si>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</si>
  <si>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</si>
  <si>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</si>
  <si>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</si>
  <si>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</si>
  <si>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</si>
  <si>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</si>
  <si>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</si>
  <si>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</si>
  <si>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</si>
  <si>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</si>
  <si>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</si>
  <si>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</si>
  <si>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</si>
  <si>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</si>
  <si>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</si>
  <si>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</si>
  <si>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</si>
  <si>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</si>
  <si>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</si>
  <si>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</si>
  <si>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</si>
  <si>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</si>
  <si>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</si>
  <si>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</si>
  <si>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</si>
  <si>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</si>
  <si>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</si>
  <si>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</si>
  <si>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</si>
  <si>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</si>
  <si>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</si>
  <si>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</si>
  <si>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</si>
  <si>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</si>
  <si>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</si>
  <si>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</si>
  <si>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</si>
  <si>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</si>
  <si>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</si>
  <si>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</si>
  <si>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</si>
  <si>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</si>
  <si>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</si>
  <si>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</si>
  <si>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</si>
  <si>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</si>
  <si>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</si>
  <si>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</si>
  <si>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</si>
  <si>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</si>
  <si>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</si>
  <si>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</si>
  <si>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</si>
  <si>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</si>
  <si>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</si>
  <si>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</si>
  <si>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</si>
  <si>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</si>
  <si>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</si>
  <si>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</si>
  <si>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</si>
  <si>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</si>
  <si>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</si>
  <si>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</si>
  <si>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</si>
  <si>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</si>
  <si>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</si>
  <si>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</si>
  <si>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</si>
  <si>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</si>
  <si>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</si>
  <si>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</si>
  <si>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</si>
  <si>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</si>
  <si>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</si>
  <si>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</si>
  <si>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</si>
  <si>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</si>
  <si>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</si>
  <si>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</si>
  <si>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</si>
  <si>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</si>
  <si>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</si>
  <si>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</si>
  <si>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</si>
  <si>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</si>
  <si>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</si>
  <si>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</si>
  <si>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</si>
  <si>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</si>
  <si>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福围村</t>
  </si>
  <si>
    <t>楼栋号</t>
  </si>
  <si>
    <t>东福围西街30栋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</si>
  <si>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</si>
  <si>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</si>
  <si>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</si>
  <si>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</si>
  <si>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</si>
  <si>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</si>
  <si>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</si>
  <si>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</si>
  <si>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</si>
  <si>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</si>
  <si>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</si>
  <si>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</si>
  <si>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</si>
  <si>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</si>
  <si>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</si>
  <si>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</si>
  <si>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</si>
  <si>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否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</si>
  <si>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</si>
  <si>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</si>
  <si>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</si>
  <si>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</si>
  <si>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</si>
  <si>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</si>
  <si>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</si>
  <si>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</si>
  <si>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</si>
  <si>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</si>
  <si>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</si>
  <si>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</si>
  <si>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</si>
  <si>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</si>
  <si>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</si>
  <si>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</si>
  <si>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</si>
  <si>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</si>
  <si>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</si>
  <si>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</si>
  <si>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</si>
  <si>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</si>
  <si>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</si>
  <si>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</si>
  <si>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</si>
  <si>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</si>
  <si>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</si>
  <si>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</si>
  <si>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</si>
  <si>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</si>
  <si>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</si>
  <si>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</si>
  <si>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</si>
  <si>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</si>
  <si>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</si>
  <si>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</si>
  <si>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</si>
  <si>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</si>
  <si>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</si>
  <si>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</si>
  <si>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</si>
  <si>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</si>
  <si>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</si>
  <si>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</si>
  <si>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</si>
  <si>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</si>
  <si>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</si>
  <si>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</si>
  <si>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</si>
  <si>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</si>
  <si>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</si>
  <si>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</si>
  <si>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</si>
  <si>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</si>
  <si>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</si>
  <si>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</si>
  <si>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</si>
  <si>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</si>
  <si>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</si>
  <si>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</si>
  <si>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</si>
  <si>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</si>
  <si>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</si>
  <si>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</si>
  <si>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</si>
  <si>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</si>
  <si>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</si>
  <si>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</si>
  <si>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</si>
  <si>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</si>
  <si>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</si>
  <si>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</si>
  <si>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</si>
  <si>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</si>
  <si>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</si>
  <si>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</si>
  <si>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</si>
  <si>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</si>
  <si>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</si>
  <si>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</si>
  <si>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</si>
  <si>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</si>
  <si>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</si>
  <si>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</si>
  <si>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</si>
  <si>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</si>
  <si>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</si>
  <si>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</si>
  <si>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</si>
  <si>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</si>
  <si>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</si>
  <si>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</si>
  <si>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</si>
  <si>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</si>
  <si>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</si>
  <si>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</si>
  <si>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</si>
  <si>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</si>
  <si>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</si>
  <si>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</si>
  <si>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</si>
  <si>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</si>
  <si>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</si>
  <si>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</si>
  <si>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</si>
  <si>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</si>
  <si>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</si>
  <si>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</si>
  <si>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</si>
  <si>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</si>
  <si>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</si>
  <si>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</si>
  <si>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</si>
  <si>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</si>
  <si>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</si>
  <si>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</si>
  <si>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</si>
  <si>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</si>
  <si>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</si>
  <si>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</si>
  <si>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</si>
  <si>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</si>
  <si>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</si>
  <si>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</si>
  <si>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</si>
  <si>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</si>
  <si>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</si>
  <si>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</si>
  <si>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</si>
  <si>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</si>
  <si>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</si>
  <si>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</si>
  <si>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</si>
  <si>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</si>
  <si>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</si>
  <si>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</si>
  <si>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</si>
  <si>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</si>
  <si>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</si>
  <si>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</si>
  <si>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</si>
  <si>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</si>
  <si>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</si>
  <si>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</si>
  <si>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</si>
  <si>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</si>
  <si>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</si>
  <si>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</si>
  <si>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</si>
  <si>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</si>
  <si>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</si>
  <si>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</si>
  <si>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</si>
  <si>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</si>
  <si>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</si>
  <si>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</si>
  <si>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</si>
  <si>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</si>
  <si>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</si>
  <si>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</si>
  <si>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</si>
  <si>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</si>
  <si>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</si>
  <si>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</si>
  <si>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</si>
  <si>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</si>
  <si>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</si>
  <si>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</si>
  <si>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</si>
  <si>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</si>
  <si>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</si>
  <si>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</si>
  <si>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</si>
  <si>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</si>
  <si>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</si>
  <si>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</si>
  <si>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</si>
  <si>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</si>
  <si>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</si>
  <si>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</si>
  <si>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</si>
  <si>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3.6m²</t>
  </si>
  <si>
    <t>4m²</t>
  </si>
  <si>
    <t>5m²</t>
  </si>
  <si>
    <t>3.5m²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</si>
  <si>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</si>
  <si>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</si>
  <si>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</si>
  <si>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</si>
  <si>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</si>
  <si>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</si>
  <si>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</si>
  <si>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调价倍数3</t>
  </si>
  <si>
    <t>调价倍数4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</si>
  <si>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</si>
  <si>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</si>
  <si>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</si>
  <si>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</si>
  <si>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</si>
  <si>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</si>
  <si>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</si>
  <si>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</si>
  <si>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调价倍数5</t>
  </si>
  <si>
    <t>调价倍数6</t>
  </si>
  <si>
    <t>调价倍数7</t>
  </si>
  <si>
    <t>调价倍数8</t>
  </si>
  <si>
    <t>房间模型价
(含租赁价格)</t>
  </si>
  <si>
    <t>实际定价</t>
  </si>
  <si>
    <t>差距</t>
  </si>
  <si>
    <t>租赁价格</t>
  </si>
  <si>
    <t>不含租赁价格定价</t>
  </si>
  <si>
    <t>原定价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</si>
  <si>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</si>
  <si>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</si>
  <si>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</si>
  <si>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</si>
  <si>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</si>
  <si>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</si>
  <si>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</si>
  <si>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</si>
  <si>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</si>
  <si>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</si>
  <si>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</si>
  <si>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</si>
  <si>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</si>
  <si>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</si>
  <si>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</si>
  <si>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</si>
  <si>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</si>
  <si>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</si>
  <si>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</si>
  <si>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</si>
  <si>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</si>
  <si>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</si>
  <si>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</si>
  <si>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</si>
  <si>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</si>
  <si>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</si>
  <si>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</si>
  <si>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</si>
  <si>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</si>
  <si>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/>
  </si>
  <si>
    <t>找不到的三类去资产项里查找一下对应的一类和二类名称，需要对应改</t>
  </si>
  <si>
    <t>全部下拉，有公式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</si>
  <si>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</si>
  <si>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</si>
  <si>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</si>
  <si>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</si>
  <si>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</si>
  <si>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</si>
  <si>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</si>
  <si>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</si>
  <si>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数量</t>
  </si>
  <si>
    <t>采购价格</t>
  </si>
  <si>
    <t>总价</t>
  </si>
  <si>
    <t>此行为公式辅助行，请勿删除，右侧#N/A表示有公式</t>
  </si>
  <si>
    <t>门口</t>
  </si>
  <si>
    <t>门窗</t>
  </si>
  <si>
    <t>入户门</t>
  </si>
  <si>
    <t>入户门01木门</t>
  </si>
  <si>
    <t>樘</t>
  </si>
  <si>
    <t>智能门锁</t>
  </si>
  <si>
    <t>智能门锁01</t>
  </si>
  <si>
    <t>把</t>
  </si>
  <si>
    <t>标识</t>
  </si>
  <si>
    <t>门牌号</t>
  </si>
  <si>
    <t>门牌号01</t>
  </si>
  <si>
    <t>个</t>
  </si>
  <si>
    <t>公告栏</t>
  </si>
  <si>
    <t>户内公告栏01</t>
  </si>
  <si>
    <t>卧室1</t>
  </si>
  <si>
    <t>消防</t>
  </si>
  <si>
    <t>灭火器</t>
  </si>
  <si>
    <t>灭火器01</t>
  </si>
  <si>
    <t>家具</t>
  </si>
  <si>
    <t>鞋柜</t>
  </si>
  <si>
    <t>租赁-鞋柜01</t>
  </si>
  <si>
    <t>床</t>
  </si>
  <si>
    <t>租赁-标准床01-1.5m宽</t>
  </si>
  <si>
    <t>张</t>
  </si>
  <si>
    <t>床垫</t>
  </si>
  <si>
    <t>租赁-床垫01-1.5m</t>
  </si>
  <si>
    <t>衣柜</t>
  </si>
  <si>
    <t>租赁-衣柜01-通用无冰箱</t>
  </si>
  <si>
    <t>电器</t>
  </si>
  <si>
    <t>空调</t>
  </si>
  <si>
    <t>冷暖空调01-1p</t>
  </si>
  <si>
    <t>遥控器</t>
  </si>
  <si>
    <t>空调遥控器01</t>
  </si>
  <si>
    <t>灯具</t>
  </si>
  <si>
    <t>吊线灯</t>
  </si>
  <si>
    <t>吊灯01</t>
  </si>
  <si>
    <t>筒灯</t>
  </si>
  <si>
    <t>筒灯01</t>
  </si>
  <si>
    <t>烟感</t>
  </si>
  <si>
    <t>烟感01</t>
  </si>
  <si>
    <t>强电</t>
  </si>
  <si>
    <t>户内箱</t>
  </si>
  <si>
    <t>户内配电箱01</t>
  </si>
  <si>
    <t>网络收纳盒</t>
  </si>
  <si>
    <t>网络收纳盒01</t>
  </si>
  <si>
    <t>网络</t>
  </si>
  <si>
    <t>光猫</t>
  </si>
  <si>
    <t>光猫01</t>
  </si>
  <si>
    <t>试衣镜</t>
  </si>
  <si>
    <t>试衣镜01</t>
  </si>
  <si>
    <t>窗</t>
  </si>
  <si>
    <t>窗户01清玻</t>
  </si>
  <si>
    <t>扇</t>
  </si>
  <si>
    <t>软装装饰</t>
  </si>
  <si>
    <t>窗帘</t>
  </si>
  <si>
    <t>卷帘01</t>
  </si>
  <si>
    <t>平米</t>
  </si>
  <si>
    <t>租赁-操作台03洗衣机1.2m</t>
  </si>
  <si>
    <t>套</t>
  </si>
  <si>
    <t>洗衣机</t>
  </si>
  <si>
    <t>租赁-滚筒洗衣机01</t>
  </si>
  <si>
    <t>台</t>
  </si>
  <si>
    <t>租赁-书桌02带挡板0.9m</t>
  </si>
  <si>
    <t>椅子</t>
  </si>
  <si>
    <t>租赁-椅子01配书桌</t>
  </si>
  <si>
    <t>晾衣架</t>
  </si>
  <si>
    <t>墙上/天花晾衣杆</t>
  </si>
  <si>
    <t>根</t>
  </si>
  <si>
    <t>整体卫浴</t>
  </si>
  <si>
    <t>卫生间门</t>
  </si>
  <si>
    <t>整体卫浴卫生间门01</t>
  </si>
  <si>
    <t>排风扇</t>
  </si>
  <si>
    <t>整体卫浴排风扇01</t>
  </si>
  <si>
    <t>镜子</t>
  </si>
  <si>
    <t>整体卫浴镜子01</t>
  </si>
  <si>
    <t>面</t>
  </si>
  <si>
    <t>厨卫灯</t>
  </si>
  <si>
    <t>整体卫浴厨卫灯01</t>
  </si>
  <si>
    <t>卫浴五金</t>
  </si>
  <si>
    <t>淋浴器</t>
  </si>
  <si>
    <t>整体卫浴淋浴手持花洒01</t>
  </si>
  <si>
    <t>马桶</t>
  </si>
  <si>
    <t>整体卫浴坐便器01</t>
  </si>
  <si>
    <t>毛巾架</t>
  </si>
  <si>
    <t>整体卫浴毛巾架01</t>
  </si>
  <si>
    <t>热水器</t>
  </si>
  <si>
    <t>电热水器01-40L</t>
  </si>
  <si>
    <t>功能标识</t>
  </si>
  <si>
    <t>防水贴纸</t>
  </si>
  <si>
    <t>洗手盆</t>
  </si>
  <si>
    <t>整体卫浴悬挂式洗手盆01</t>
  </si>
  <si>
    <t>浴篮</t>
  </si>
  <si>
    <t>整体卫浴三角浴篮01</t>
  </si>
  <si>
    <t>等电位箱</t>
  </si>
  <si>
    <t>等电位箱01</t>
  </si>
  <si>
    <t>纸巾架</t>
  </si>
  <si>
    <t>整体卫浴纸巾架01</t>
  </si>
  <si>
    <t>布帘01</t>
  </si>
  <si>
    <t>件</t>
  </si>
  <si>
    <t>租赁-衣柜02-通用有冰箱</t>
  </si>
  <si>
    <t>客厅1</t>
  </si>
  <si>
    <t>沙发</t>
  </si>
  <si>
    <t>租赁-沙发02两人</t>
  </si>
  <si>
    <t>茶几</t>
  </si>
  <si>
    <t>租赁-茶几02椭圆</t>
  </si>
  <si>
    <t>租赁-两人餐桌01正方形</t>
  </si>
  <si>
    <t>租赁-椅子02配餐桌</t>
  </si>
  <si>
    <t>租赁-操作台02洗衣机1.6m</t>
  </si>
  <si>
    <t>房间门</t>
  </si>
  <si>
    <t>房间门01</t>
  </si>
  <si>
    <t>电热水器02-60L</t>
  </si>
  <si>
    <t>租赁-茶几01圆形</t>
  </si>
  <si>
    <t>床头柜</t>
  </si>
  <si>
    <t>租赁-床头柜01</t>
  </si>
  <si>
    <t>阳台门</t>
  </si>
  <si>
    <t>阳台门01推拉门</t>
  </si>
  <si>
    <t>租赁-室外操作台06</t>
  </si>
  <si>
    <t>阳台灯</t>
  </si>
  <si>
    <t>阳台灯01</t>
  </si>
  <si>
    <t>构筑物</t>
  </si>
  <si>
    <t>栏杆</t>
  </si>
  <si>
    <t>阳台栏杆01</t>
  </si>
  <si>
    <t>阳台门03平开门</t>
  </si>
  <si>
    <t>租赁-操作台01定制橱柜</t>
  </si>
  <si>
    <t>租赁-波轮洗衣机01</t>
  </si>
  <si>
    <t>3层</t>
  </si>
  <si>
    <t>房号</t>
  </si>
  <si>
    <t>价格</t>
  </si>
  <si>
    <t>4层</t>
  </si>
  <si>
    <t>5层</t>
  </si>
  <si>
    <t>6层</t>
  </si>
  <si>
    <t>7层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</si>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</sst>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 "/>
    <numFmt numFmtId="178" formatCode="0.00_ "/>
    <numFmt numFmtId="179" formatCode="0_ "/>
    <numFmt numFmtId="180" formatCode="_ * #,##0.000_ ;_ * \-#,##0.000_ ;_ * &quot;-&quot;??_ ;_ @_ "/>
    <numFmt numFmtId="181" formatCode="0.0%"/>
    <numFmt numFmtId="182" formatCode="_ * #,##0_ ;_ * \-#,##0_ ;_ * &quot;-&quot;??_ ;_ @_ "/>
    <numFmt numFmtId="183" formatCode="_ * #,##0.0_ ;_ * \-#,##0.0_ ;_ * &quot;-&quot;??_ ;_ @_ "/>
    <numFmt numFmtId="184" formatCode="[$-F800]dddd\,\ mmmm\ dd\,\ yyyy"/>
  </numFmts>
  <fonts count="72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name val="微软雅黑 Light"/>
      <charset val="134"/>
    </font>
    <font>
      <sz val="11"/>
      <color theme="0"/>
      <name val="微软雅黑 Light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rgb="FFFF0000"/>
      <name val="微软雅黑"/>
      <charset val="134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10"/>
      <name val="微软雅黑"/>
      <charset val="134"/>
    </font>
    <font>
      <b/>
      <sz val="10"/>
      <color indexed="9"/>
      <name val="宋体"/>
      <charset val="134"/>
    </font>
    <font>
      <sz val="11"/>
      <color theme="1"/>
      <name val="Microsoft YaHei Light"/>
      <charset val="134"/>
    </font>
    <font>
      <sz val="9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</fonts>
  <fills count="70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45" borderId="55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56" applyNumberFormat="0" applyFill="0" applyAlignment="0" applyProtection="0">
      <alignment vertical="center"/>
    </xf>
    <xf numFmtId="0" fontId="52" fillId="0" borderId="56" applyNumberFormat="0" applyFill="0" applyAlignment="0" applyProtection="0">
      <alignment vertical="center"/>
    </xf>
    <xf numFmtId="0" fontId="53" fillId="0" borderId="57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46" borderId="58" applyNumberFormat="0" applyAlignment="0" applyProtection="0">
      <alignment vertical="center"/>
    </xf>
    <xf numFmtId="0" fontId="55" fillId="47" borderId="59" applyNumberFormat="0" applyAlignment="0" applyProtection="0">
      <alignment vertical="center"/>
    </xf>
    <xf numFmtId="0" fontId="56" fillId="47" borderId="58" applyNumberFormat="0" applyAlignment="0" applyProtection="0">
      <alignment vertical="center"/>
    </xf>
    <xf numFmtId="0" fontId="57" fillId="48" borderId="60" applyNumberFormat="0" applyAlignment="0" applyProtection="0">
      <alignment vertical="center"/>
    </xf>
    <xf numFmtId="0" fontId="58" fillId="0" borderId="61" applyNumberFormat="0" applyFill="0" applyAlignment="0" applyProtection="0">
      <alignment vertical="center"/>
    </xf>
    <xf numFmtId="0" fontId="59" fillId="0" borderId="62" applyNumberFormat="0" applyFill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2" fillId="51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4" fillId="55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4" fillId="59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4" fillId="62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4" fillId="65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4" fillId="67" borderId="0" applyNumberFormat="0" applyBorder="0" applyAlignment="0" applyProtection="0">
      <alignment vertical="center"/>
    </xf>
    <xf numFmtId="0" fontId="64" fillId="68" borderId="0" applyNumberFormat="0" applyBorder="0" applyAlignment="0" applyProtection="0">
      <alignment vertical="center"/>
    </xf>
    <xf numFmtId="0" fontId="63" fillId="69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351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left" vertical="center"/>
    </xf>
    <xf numFmtId="0" fontId="0" fillId="0" borderId="0" xfId="0" applyFont="1"/>
    <xf numFmtId="0" fontId="0" fillId="13" borderId="0" xfId="0" applyFill="1"/>
    <xf numFmtId="0" fontId="0" fillId="15" borderId="0" xfId="0" applyFill="1"/>
    <xf numFmtId="0" fontId="0" fillId="0" borderId="0" xfId="0" applyFill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78" fontId="0" fillId="17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ont="1" applyFill="1" applyBorder="1" applyAlignment="1">
      <alignment horizontal="center" vertical="center"/>
    </xf>
    <xf numFmtId="0" fontId="0" fillId="19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79" fontId="11" fillId="20" borderId="1" xfId="0" applyNumberFormat="1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179" fontId="13" fillId="24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49" fontId="14" fillId="13" borderId="1" xfId="0" applyNumberFormat="1" applyFont="1" applyFill="1" applyBorder="1" applyAlignment="1">
      <alignment horizontal="center" vertical="center" wrapText="1"/>
    </xf>
    <xf numFmtId="178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79" fontId="0" fillId="13" borderId="1" xfId="0" applyNumberFormat="1" applyFill="1" applyBorder="1" applyAlignment="1">
      <alignment horizontal="center" vertical="center"/>
    </xf>
    <xf numFmtId="10" fontId="0" fillId="13" borderId="1" xfId="3" applyNumberFormat="1" applyFont="1" applyFill="1" applyBorder="1" applyAlignment="1">
      <alignment horizontal="center" vertical="center"/>
    </xf>
    <xf numFmtId="179" fontId="0" fillId="13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19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/>
    </xf>
    <xf numFmtId="179" fontId="0" fillId="19" borderId="1" xfId="0" applyNumberForma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 wrapText="1"/>
    </xf>
    <xf numFmtId="49" fontId="14" fillId="15" borderId="1" xfId="0" applyNumberFormat="1" applyFont="1" applyFill="1" applyBorder="1" applyAlignment="1">
      <alignment horizontal="center" vertical="center" wrapText="1"/>
    </xf>
    <xf numFmtId="178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179" fontId="0" fillId="15" borderId="1" xfId="0" applyNumberFormat="1" applyFill="1" applyBorder="1" applyAlignment="1">
      <alignment horizontal="center" vertical="center"/>
    </xf>
    <xf numFmtId="10" fontId="0" fillId="15" borderId="1" xfId="3" applyNumberFormat="1" applyFont="1" applyFill="1" applyBorder="1" applyAlignment="1">
      <alignment horizontal="center" vertical="center"/>
    </xf>
    <xf numFmtId="179" fontId="0" fillId="15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79" fontId="0" fillId="0" borderId="1" xfId="0" applyNumberForma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/>
    </xf>
    <xf numFmtId="0" fontId="15" fillId="25" borderId="0" xfId="0" applyFont="1" applyFill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6" fillId="27" borderId="1" xfId="0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/>
    <xf numFmtId="179" fontId="0" fillId="0" borderId="0" xfId="0" applyNumberFormat="1"/>
    <xf numFmtId="0" fontId="0" fillId="16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26" borderId="0" xfId="0" applyFont="1" applyFill="1" applyAlignment="1">
      <alignment horizontal="center"/>
    </xf>
    <xf numFmtId="179" fontId="0" fillId="17" borderId="0" xfId="0" applyNumberFormat="1" applyFill="1" applyAlignment="1">
      <alignment horizontal="center"/>
    </xf>
    <xf numFmtId="0" fontId="0" fillId="16" borderId="1" xfId="0" applyFill="1" applyBorder="1" applyAlignment="1">
      <alignment vertical="center"/>
    </xf>
    <xf numFmtId="0" fontId="12" fillId="16" borderId="6" xfId="0" applyFont="1" applyFill="1" applyBorder="1" applyAlignment="1">
      <alignment vertical="center"/>
    </xf>
    <xf numFmtId="0" fontId="0" fillId="17" borderId="6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18" fillId="0" borderId="0" xfId="0" applyFont="1"/>
    <xf numFmtId="180" fontId="18" fillId="0" borderId="0" xfId="1" applyNumberFormat="1" applyFont="1" applyAlignment="1"/>
    <xf numFmtId="0" fontId="19" fillId="0" borderId="0" xfId="0" applyFont="1"/>
    <xf numFmtId="0" fontId="19" fillId="0" borderId="0" xfId="0" applyFont="1" applyAlignment="1">
      <alignment horizontal="center"/>
    </xf>
    <xf numFmtId="181" fontId="19" fillId="0" borderId="0" xfId="3" applyNumberFormat="1" applyFont="1" applyFill="1" applyAlignment="1"/>
    <xf numFmtId="0" fontId="20" fillId="0" borderId="1" xfId="0" applyFont="1" applyBorder="1" applyAlignment="1">
      <alignment horizontal="center"/>
    </xf>
    <xf numFmtId="0" fontId="21" fillId="30" borderId="9" xfId="0" applyFont="1" applyFill="1" applyBorder="1" applyAlignment="1">
      <alignment vertical="top" wrapText="1"/>
    </xf>
    <xf numFmtId="0" fontId="21" fillId="30" borderId="10" xfId="0" applyFont="1" applyFill="1" applyBorder="1" applyAlignment="1">
      <alignment horizontal="center" vertical="top" wrapText="1"/>
    </xf>
    <xf numFmtId="0" fontId="21" fillId="30" borderId="10" xfId="0" applyFont="1" applyFill="1" applyBorder="1" applyAlignment="1">
      <alignment vertical="top" wrapText="1"/>
    </xf>
    <xf numFmtId="181" fontId="21" fillId="0" borderId="10" xfId="3" applyNumberFormat="1" applyFont="1" applyFill="1" applyBorder="1" applyAlignment="1">
      <alignment vertical="top" wrapText="1"/>
    </xf>
    <xf numFmtId="0" fontId="22" fillId="31" borderId="10" xfId="0" applyFont="1" applyFill="1" applyBorder="1" applyAlignment="1">
      <alignment horizontal="left" vertical="center" wrapText="1" readingOrder="1"/>
    </xf>
    <xf numFmtId="0" fontId="22" fillId="30" borderId="10" xfId="0" applyFont="1" applyFill="1" applyBorder="1" applyAlignment="1">
      <alignment horizontal="left" vertical="center" wrapText="1" readingOrder="1"/>
    </xf>
    <xf numFmtId="0" fontId="23" fillId="32" borderId="1" xfId="0" applyFont="1" applyFill="1" applyBorder="1" applyAlignment="1">
      <alignment vertical="top" wrapText="1"/>
    </xf>
    <xf numFmtId="0" fontId="23" fillId="32" borderId="1" xfId="0" applyFont="1" applyFill="1" applyBorder="1" applyAlignment="1">
      <alignment horizontal="center" vertical="top" wrapText="1"/>
    </xf>
    <xf numFmtId="181" fontId="23" fillId="0" borderId="1" xfId="3" applyNumberFormat="1" applyFont="1" applyFill="1" applyBorder="1" applyAlignment="1">
      <alignment vertical="top" wrapText="1"/>
    </xf>
    <xf numFmtId="0" fontId="21" fillId="33" borderId="1" xfId="0" applyFont="1" applyFill="1" applyBorder="1" applyAlignment="1">
      <alignment vertical="center" wrapText="1" readingOrder="1"/>
    </xf>
    <xf numFmtId="0" fontId="24" fillId="33" borderId="1" xfId="0" applyFont="1" applyFill="1" applyBorder="1" applyAlignment="1">
      <alignment vertical="center" wrapText="1" readingOrder="1"/>
    </xf>
    <xf numFmtId="0" fontId="23" fillId="33" borderId="1" xfId="0" applyFont="1" applyFill="1" applyBorder="1" applyAlignment="1">
      <alignment vertical="center" wrapText="1" readingOrder="1"/>
    </xf>
    <xf numFmtId="0" fontId="23" fillId="33" borderId="1" xfId="0" applyFont="1" applyFill="1" applyBorder="1" applyAlignment="1">
      <alignment horizontal="center" vertical="center" wrapText="1" readingOrder="1"/>
    </xf>
    <xf numFmtId="181" fontId="23" fillId="0" borderId="1" xfId="3" applyNumberFormat="1" applyFont="1" applyFill="1" applyBorder="1" applyAlignment="1">
      <alignment vertical="center" wrapText="1" readingOrder="1"/>
    </xf>
    <xf numFmtId="0" fontId="23" fillId="33" borderId="0" xfId="0" applyFont="1" applyFill="1" applyAlignment="1">
      <alignment vertical="center" wrapText="1" readingOrder="1"/>
    </xf>
    <xf numFmtId="0" fontId="23" fillId="33" borderId="0" xfId="0" applyFont="1" applyFill="1" applyAlignment="1">
      <alignment horizontal="center" vertical="center" wrapText="1" readingOrder="1"/>
    </xf>
    <xf numFmtId="181" fontId="23" fillId="0" borderId="0" xfId="3" applyNumberFormat="1" applyFont="1" applyFill="1" applyBorder="1" applyAlignment="1">
      <alignment vertical="center" wrapText="1" readingOrder="1"/>
    </xf>
    <xf numFmtId="0" fontId="21" fillId="33" borderId="0" xfId="0" applyFont="1" applyFill="1" applyAlignment="1">
      <alignment vertical="center" wrapText="1" readingOrder="1"/>
    </xf>
    <xf numFmtId="182" fontId="23" fillId="33" borderId="0" xfId="1" applyNumberFormat="1" applyFont="1" applyFill="1" applyBorder="1" applyAlignment="1">
      <alignment vertical="center" wrapText="1" readingOrder="1"/>
    </xf>
    <xf numFmtId="180" fontId="23" fillId="33" borderId="0" xfId="1" applyNumberFormat="1" applyFont="1" applyFill="1" applyBorder="1" applyAlignment="1">
      <alignment vertical="center" wrapText="1" readingOrder="1"/>
    </xf>
    <xf numFmtId="180" fontId="21" fillId="33" borderId="0" xfId="1" applyNumberFormat="1" applyFont="1" applyFill="1" applyBorder="1" applyAlignment="1">
      <alignment vertical="center" wrapText="1" readingOrder="1"/>
    </xf>
    <xf numFmtId="180" fontId="24" fillId="33" borderId="1" xfId="1" applyNumberFormat="1" applyFont="1" applyFill="1" applyBorder="1" applyAlignment="1">
      <alignment vertical="center" wrapText="1" readingOrder="1"/>
    </xf>
    <xf numFmtId="180" fontId="21" fillId="33" borderId="1" xfId="1" applyNumberFormat="1" applyFont="1" applyFill="1" applyBorder="1" applyAlignment="1">
      <alignment vertical="center" wrapText="1" readingOrder="1"/>
    </xf>
    <xf numFmtId="180" fontId="24" fillId="17" borderId="1" xfId="1" applyNumberFormat="1" applyFont="1" applyFill="1" applyBorder="1" applyAlignment="1">
      <alignment vertical="center" wrapText="1" readingOrder="1"/>
    </xf>
    <xf numFmtId="0" fontId="12" fillId="32" borderId="1" xfId="0" applyFont="1" applyFill="1" applyBorder="1" applyAlignment="1">
      <alignment horizontal="center" vertical="center"/>
    </xf>
    <xf numFmtId="180" fontId="21" fillId="33" borderId="0" xfId="0" applyNumberFormat="1" applyFont="1" applyFill="1" applyAlignment="1">
      <alignment vertical="center" wrapText="1" readingOrder="1"/>
    </xf>
    <xf numFmtId="180" fontId="24" fillId="33" borderId="0" xfId="1" applyNumberFormat="1" applyFont="1" applyFill="1" applyBorder="1" applyAlignment="1">
      <alignment vertical="center" wrapText="1" readingOrder="1"/>
    </xf>
    <xf numFmtId="180" fontId="24" fillId="33" borderId="0" xfId="0" applyNumberFormat="1" applyFont="1" applyFill="1" applyAlignment="1">
      <alignment vertical="center" wrapText="1" readingOrder="1"/>
    </xf>
    <xf numFmtId="180" fontId="12" fillId="32" borderId="0" xfId="0" applyNumberFormat="1" applyFont="1" applyFill="1" applyAlignment="1">
      <alignment horizontal="center" vertical="center"/>
    </xf>
    <xf numFmtId="182" fontId="23" fillId="17" borderId="0" xfId="1" applyNumberFormat="1" applyFont="1" applyFill="1" applyBorder="1" applyAlignment="1">
      <alignment vertical="center" wrapText="1" readingOrder="1"/>
    </xf>
    <xf numFmtId="180" fontId="21" fillId="33" borderId="1" xfId="0" applyNumberFormat="1" applyFont="1" applyFill="1" applyBorder="1" applyAlignment="1">
      <alignment vertical="center" wrapText="1" readingOrder="1"/>
    </xf>
    <xf numFmtId="181" fontId="23" fillId="17" borderId="0" xfId="3" applyNumberFormat="1" applyFont="1" applyFill="1" applyBorder="1" applyAlignment="1">
      <alignment vertical="center" wrapText="1" readingOrder="1"/>
    </xf>
    <xf numFmtId="180" fontId="24" fillId="33" borderId="1" xfId="0" applyNumberFormat="1" applyFont="1" applyFill="1" applyBorder="1" applyAlignment="1">
      <alignment vertical="center" wrapText="1" readingOrder="1"/>
    </xf>
    <xf numFmtId="0" fontId="23" fillId="17" borderId="0" xfId="0" applyFont="1" applyFill="1" applyAlignment="1">
      <alignment vertical="center" wrapText="1" readingOrder="1"/>
    </xf>
    <xf numFmtId="0" fontId="12" fillId="17" borderId="1" xfId="0" applyFont="1" applyFill="1" applyBorder="1" applyAlignment="1">
      <alignment horizontal="center" vertical="center"/>
    </xf>
    <xf numFmtId="180" fontId="21" fillId="17" borderId="0" xfId="0" applyNumberFormat="1" applyFont="1" applyFill="1" applyAlignment="1">
      <alignment vertical="center" wrapText="1" readingOrder="1"/>
    </xf>
    <xf numFmtId="0" fontId="24" fillId="33" borderId="0" xfId="0" applyFont="1" applyFill="1" applyAlignment="1">
      <alignment vertical="center" wrapText="1" readingOrder="1"/>
    </xf>
    <xf numFmtId="9" fontId="23" fillId="0" borderId="0" xfId="3" applyFont="1" applyFill="1" applyBorder="1" applyAlignment="1">
      <alignment vertical="center" wrapText="1" readingOrder="1"/>
    </xf>
    <xf numFmtId="180" fontId="18" fillId="0" borderId="0" xfId="0" applyNumberFormat="1" applyFont="1"/>
    <xf numFmtId="10" fontId="18" fillId="0" borderId="0" xfId="0" applyNumberFormat="1" applyFont="1"/>
    <xf numFmtId="181" fontId="21" fillId="0" borderId="0" xfId="3" applyNumberFormat="1" applyFont="1" applyFill="1" applyBorder="1" applyAlignment="1">
      <alignment vertical="center" wrapText="1" readingOrder="1"/>
    </xf>
    <xf numFmtId="181" fontId="19" fillId="0" borderId="0" xfId="3" applyNumberFormat="1" applyFont="1" applyFill="1" applyBorder="1" applyAlignment="1"/>
    <xf numFmtId="0" fontId="21" fillId="0" borderId="0" xfId="0" applyFont="1" applyAlignment="1">
      <alignment vertical="center" wrapText="1" readingOrder="1"/>
    </xf>
    <xf numFmtId="0" fontId="25" fillId="0" borderId="0" xfId="0" applyFont="1"/>
    <xf numFmtId="182" fontId="0" fillId="0" borderId="0" xfId="1" applyNumberFormat="1" applyFont="1" applyAlignment="1"/>
    <xf numFmtId="182" fontId="25" fillId="0" borderId="0" xfId="1" applyNumberFormat="1" applyFont="1" applyAlignment="1"/>
    <xf numFmtId="183" fontId="0" fillId="0" borderId="0" xfId="1" applyNumberFormat="1" applyFont="1" applyAlignment="1"/>
    <xf numFmtId="9" fontId="0" fillId="0" borderId="0" xfId="3" applyFont="1" applyAlignment="1"/>
    <xf numFmtId="182" fontId="0" fillId="17" borderId="0" xfId="1" applyNumberFormat="1" applyFont="1" applyFill="1" applyAlignment="1"/>
    <xf numFmtId="0" fontId="22" fillId="30" borderId="1" xfId="0" applyFont="1" applyFill="1" applyBorder="1" applyAlignment="1">
      <alignment horizontal="left" vertical="center" wrapText="1" readingOrder="1"/>
    </xf>
    <xf numFmtId="0" fontId="26" fillId="30" borderId="1" xfId="0" applyFont="1" applyFill="1" applyBorder="1" applyAlignment="1">
      <alignment horizontal="left" vertical="center" wrapText="1" readingOrder="1"/>
    </xf>
    <xf numFmtId="182" fontId="0" fillId="0" borderId="0" xfId="0" applyNumberFormat="1"/>
    <xf numFmtId="176" fontId="0" fillId="0" borderId="0" xfId="0" applyNumberFormat="1"/>
    <xf numFmtId="0" fontId="23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2" fillId="34" borderId="1" xfId="0" applyNumberFormat="1" applyFont="1" applyFill="1" applyBorder="1" applyAlignment="1">
      <alignment horizontal="center" vertical="center"/>
    </xf>
    <xf numFmtId="177" fontId="27" fillId="0" borderId="1" xfId="0" applyNumberFormat="1" applyFont="1" applyBorder="1" applyAlignment="1">
      <alignment horizontal="center" vertical="center"/>
    </xf>
    <xf numFmtId="0" fontId="28" fillId="34" borderId="1" xfId="0" applyFont="1" applyFill="1" applyBorder="1" applyAlignment="1">
      <alignment horizontal="center" vertical="center"/>
    </xf>
    <xf numFmtId="0" fontId="29" fillId="34" borderId="1" xfId="0" applyFont="1" applyFill="1" applyBorder="1" applyAlignment="1">
      <alignment horizontal="center" vertical="center" wrapText="1"/>
    </xf>
    <xf numFmtId="0" fontId="29" fillId="34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5" borderId="8" xfId="0" applyFont="1" applyFill="1" applyBorder="1" applyAlignment="1">
      <alignment horizontal="center" vertical="center"/>
    </xf>
    <xf numFmtId="0" fontId="2" fillId="35" borderId="11" xfId="0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6" fillId="36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6" fillId="36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6" fillId="36" borderId="20" xfId="0" applyFont="1" applyFill="1" applyBorder="1" applyAlignment="1">
      <alignment horizontal="center" vertical="center"/>
    </xf>
    <xf numFmtId="0" fontId="2" fillId="17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7" fontId="2" fillId="0" borderId="21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  <xf numFmtId="177" fontId="2" fillId="0" borderId="25" xfId="0" applyNumberFormat="1" applyFont="1" applyBorder="1" applyAlignment="1">
      <alignment horizontal="center" vertical="center"/>
    </xf>
    <xf numFmtId="177" fontId="8" fillId="17" borderId="23" xfId="0" applyNumberFormat="1" applyFont="1" applyFill="1" applyBorder="1" applyAlignment="1">
      <alignment horizontal="center" vertical="center"/>
    </xf>
    <xf numFmtId="177" fontId="8" fillId="17" borderId="26" xfId="0" applyNumberFormat="1" applyFont="1" applyFill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16" fillId="37" borderId="30" xfId="0" applyFont="1" applyFill="1" applyBorder="1" applyAlignment="1">
      <alignment horizontal="center" vertical="center"/>
    </xf>
    <xf numFmtId="0" fontId="16" fillId="38" borderId="14" xfId="0" applyFont="1" applyFill="1" applyBorder="1" applyAlignment="1">
      <alignment horizontal="center" vertical="center"/>
    </xf>
    <xf numFmtId="0" fontId="16" fillId="37" borderId="3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6" fillId="38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6" fillId="37" borderId="3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2" fillId="0" borderId="22" xfId="3" applyFont="1" applyBorder="1" applyAlignment="1">
      <alignment horizontal="center" vertical="center"/>
    </xf>
    <xf numFmtId="0" fontId="16" fillId="38" borderId="23" xfId="0" applyFont="1" applyFill="1" applyBorder="1" applyAlignment="1">
      <alignment horizontal="center" vertical="center"/>
    </xf>
    <xf numFmtId="0" fontId="0" fillId="0" borderId="35" xfId="0" applyBorder="1"/>
    <xf numFmtId="0" fontId="16" fillId="0" borderId="35" xfId="0" applyFont="1" applyBorder="1" applyAlignment="1">
      <alignment vertical="center"/>
    </xf>
    <xf numFmtId="0" fontId="16" fillId="37" borderId="36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6" fillId="37" borderId="39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9" fontId="0" fillId="0" borderId="33" xfId="3" applyFont="1" applyBorder="1" applyAlignment="1">
      <alignment horizontal="center" vertical="center"/>
    </xf>
    <xf numFmtId="0" fontId="16" fillId="37" borderId="4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9" fontId="0" fillId="0" borderId="23" xfId="3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6" fillId="38" borderId="13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9" fontId="0" fillId="0" borderId="22" xfId="3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9" fontId="0" fillId="0" borderId="22" xfId="3" applyNumberFormat="1" applyFont="1" applyBorder="1" applyAlignment="1">
      <alignment horizontal="center" vertical="center"/>
    </xf>
    <xf numFmtId="9" fontId="0" fillId="0" borderId="23" xfId="3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177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77" fontId="16" fillId="37" borderId="1" xfId="0" applyNumberFormat="1" applyFont="1" applyFill="1" applyBorder="1" applyAlignment="1">
      <alignment horizontal="center" vertical="center"/>
    </xf>
    <xf numFmtId="0" fontId="16" fillId="37" borderId="1" xfId="0" applyFont="1" applyFill="1" applyBorder="1" applyAlignment="1">
      <alignment horizontal="center" vertical="center"/>
    </xf>
    <xf numFmtId="177" fontId="16" fillId="36" borderId="1" xfId="0" applyNumberFormat="1" applyFont="1" applyFill="1" applyBorder="1" applyAlignment="1">
      <alignment horizontal="center" vertical="center"/>
    </xf>
    <xf numFmtId="177" fontId="16" fillId="39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3" fillId="40" borderId="45" xfId="0" applyFont="1" applyFill="1" applyBorder="1" applyAlignment="1">
      <alignment horizontal="center" vertical="center"/>
    </xf>
    <xf numFmtId="177" fontId="33" fillId="40" borderId="45" xfId="0" applyNumberFormat="1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/>
    </xf>
    <xf numFmtId="177" fontId="0" fillId="0" borderId="0" xfId="0" applyNumberFormat="1"/>
    <xf numFmtId="0" fontId="8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/>
    </xf>
    <xf numFmtId="177" fontId="6" fillId="0" borderId="46" xfId="0" applyNumberFormat="1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34" fillId="0" borderId="0" xfId="0" applyFont="1"/>
    <xf numFmtId="0" fontId="12" fillId="0" borderId="0" xfId="0" applyFont="1"/>
    <xf numFmtId="0" fontId="0" fillId="0" borderId="0" xfId="49"/>
    <xf numFmtId="0" fontId="3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>
      <alignment vertical="center"/>
    </xf>
    <xf numFmtId="0" fontId="35" fillId="0" borderId="0" xfId="0" applyFont="1" applyAlignment="1">
      <alignment horizontal="left" vertical="center"/>
    </xf>
    <xf numFmtId="0" fontId="34" fillId="15" borderId="1" xfId="0" applyFont="1" applyFill="1" applyBorder="1" applyAlignment="1">
      <alignment horizontal="center" vertical="center"/>
    </xf>
    <xf numFmtId="0" fontId="36" fillId="15" borderId="1" xfId="0" applyFont="1" applyFill="1" applyBorder="1" applyAlignment="1">
      <alignment horizontal="center" vertical="center"/>
    </xf>
    <xf numFmtId="180" fontId="36" fillId="15" borderId="1" xfId="1" applyNumberFormat="1" applyFont="1" applyFill="1" applyBorder="1" applyAlignment="1">
      <alignment vertical="center"/>
    </xf>
    <xf numFmtId="0" fontId="34" fillId="15" borderId="1" xfId="0" applyFont="1" applyFill="1" applyBorder="1" applyAlignment="1" applyProtection="1">
      <alignment horizontal="center" vertical="center"/>
      <protection locked="0"/>
    </xf>
    <xf numFmtId="0" fontId="34" fillId="15" borderId="1" xfId="0" applyFont="1" applyFill="1" applyBorder="1" applyAlignment="1">
      <alignment horizontal="left" vertical="center"/>
    </xf>
    <xf numFmtId="182" fontId="34" fillId="0" borderId="0" xfId="1" applyNumberFormat="1" applyFont="1" applyAlignment="1"/>
    <xf numFmtId="0" fontId="34" fillId="0" borderId="0" xfId="0" applyFont="1" applyAlignment="1">
      <alignment horizontal="center" vertical="center"/>
    </xf>
    <xf numFmtId="0" fontId="37" fillId="15" borderId="1" xfId="0" applyFont="1" applyFill="1" applyBorder="1" applyAlignment="1">
      <alignment horizontal="center" vertical="center"/>
    </xf>
    <xf numFmtId="0" fontId="38" fillId="41" borderId="6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vertical="center"/>
    </xf>
    <xf numFmtId="0" fontId="35" fillId="2" borderId="1" xfId="49" applyFont="1" applyFill="1" applyBorder="1" applyAlignment="1">
      <alignment horizontal="left" vertical="center"/>
    </xf>
    <xf numFmtId="0" fontId="35" fillId="2" borderId="1" xfId="0" applyFont="1" applyFill="1" applyBorder="1" applyAlignment="1">
      <alignment horizontal="left" vertical="center"/>
    </xf>
    <xf numFmtId="0" fontId="25" fillId="31" borderId="1" xfId="0" applyFont="1" applyFill="1" applyBorder="1" applyAlignment="1">
      <alignment horizontal="center" vertical="center"/>
    </xf>
    <xf numFmtId="0" fontId="38" fillId="41" borderId="7" xfId="0" applyFont="1" applyFill="1" applyBorder="1" applyAlignment="1">
      <alignment horizontal="center" vertical="center" wrapText="1"/>
    </xf>
    <xf numFmtId="0" fontId="18" fillId="42" borderId="1" xfId="0" applyFont="1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0" fontId="38" fillId="41" borderId="4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35" fillId="2" borderId="1" xfId="49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left" vertical="center" wrapText="1"/>
    </xf>
    <xf numFmtId="0" fontId="40" fillId="43" borderId="6" xfId="0" applyFont="1" applyFill="1" applyBorder="1" applyAlignment="1">
      <alignment horizontal="center" vertical="center" wrapText="1"/>
    </xf>
    <xf numFmtId="0" fontId="40" fillId="43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0" fontId="40" fillId="43" borderId="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42" fillId="31" borderId="1" xfId="0" applyFont="1" applyFill="1" applyBorder="1" applyAlignment="1">
      <alignment horizontal="center" vertical="center"/>
    </xf>
    <xf numFmtId="0" fontId="37" fillId="17" borderId="1" xfId="49" applyFont="1" applyFill="1" applyBorder="1" applyAlignment="1">
      <alignment horizontal="center"/>
    </xf>
    <xf numFmtId="0" fontId="42" fillId="16" borderId="1" xfId="49" applyFont="1" applyFill="1" applyBorder="1" applyAlignment="1">
      <alignment horizontal="center" vertical="center"/>
    </xf>
    <xf numFmtId="0" fontId="35" fillId="44" borderId="1" xfId="49" applyFont="1" applyFill="1" applyBorder="1" applyAlignment="1">
      <alignment horizontal="center" vertical="center"/>
    </xf>
    <xf numFmtId="0" fontId="40" fillId="43" borderId="4" xfId="0" applyFont="1" applyFill="1" applyBorder="1" applyAlignment="1">
      <alignment horizontal="center" vertical="center" wrapText="1"/>
    </xf>
    <xf numFmtId="0" fontId="41" fillId="2" borderId="6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41" fillId="2" borderId="7" xfId="0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0" fontId="41" fillId="2" borderId="6" xfId="49" applyFont="1" applyFill="1" applyBorder="1" applyAlignment="1">
      <alignment horizontal="center" vertical="center"/>
    </xf>
    <xf numFmtId="0" fontId="35" fillId="2" borderId="1" xfId="49" applyFont="1" applyFill="1" applyBorder="1" applyAlignment="1">
      <alignment horizontal="center" vertical="center"/>
    </xf>
    <xf numFmtId="0" fontId="41" fillId="2" borderId="7" xfId="49" applyFont="1" applyFill="1" applyBorder="1" applyAlignment="1">
      <alignment horizontal="center" vertical="center"/>
    </xf>
    <xf numFmtId="0" fontId="37" fillId="31" borderId="47" xfId="49" applyFont="1" applyFill="1" applyBorder="1" applyAlignment="1">
      <alignment horizontal="center" vertical="center" wrapText="1"/>
    </xf>
    <xf numFmtId="0" fontId="37" fillId="17" borderId="48" xfId="49" applyFont="1" applyFill="1" applyBorder="1" applyAlignment="1">
      <alignment horizontal="center" vertical="center" wrapText="1"/>
    </xf>
    <xf numFmtId="0" fontId="37" fillId="17" borderId="49" xfId="49" applyFont="1" applyFill="1" applyBorder="1" applyAlignment="1">
      <alignment horizontal="center" vertical="center" wrapText="1"/>
    </xf>
    <xf numFmtId="0" fontId="43" fillId="16" borderId="1" xfId="49" applyFont="1" applyFill="1" applyBorder="1" applyAlignment="1">
      <alignment horizontal="center" vertical="center"/>
    </xf>
    <xf numFmtId="0" fontId="44" fillId="44" borderId="1" xfId="49" applyFont="1" applyFill="1" applyBorder="1" applyAlignment="1">
      <alignment horizontal="center" vertical="center" wrapText="1"/>
    </xf>
    <xf numFmtId="0" fontId="44" fillId="44" borderId="1" xfId="49" applyFont="1" applyFill="1" applyBorder="1" applyAlignment="1">
      <alignment horizontal="center" vertical="center"/>
    </xf>
    <xf numFmtId="0" fontId="44" fillId="44" borderId="50" xfId="49" applyFont="1" applyFill="1" applyBorder="1" applyAlignment="1">
      <alignment horizontal="center" vertical="center"/>
    </xf>
    <xf numFmtId="0" fontId="44" fillId="44" borderId="51" xfId="49" applyFont="1" applyFill="1" applyBorder="1" applyAlignment="1">
      <alignment horizontal="center" vertical="center" wrapText="1"/>
    </xf>
    <xf numFmtId="0" fontId="44" fillId="44" borderId="52" xfId="49" applyFont="1" applyFill="1" applyBorder="1" applyAlignment="1">
      <alignment horizontal="center" vertical="center" wrapText="1"/>
    </xf>
    <xf numFmtId="0" fontId="41" fillId="2" borderId="4" xfId="49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horizontal="center" vertical="center"/>
    </xf>
    <xf numFmtId="0" fontId="40" fillId="43" borderId="7" xfId="0" applyFont="1" applyFill="1" applyBorder="1" applyAlignment="1">
      <alignment vertical="center" wrapText="1"/>
    </xf>
    <xf numFmtId="0" fontId="3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>
      <alignment vertical="center"/>
    </xf>
    <xf numFmtId="0" fontId="35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2" fontId="0" fillId="0" borderId="0" xfId="50" applyNumberFormat="1" applyFont="1" applyAlignment="1"/>
    <xf numFmtId="0" fontId="35" fillId="0" borderId="1" xfId="0" applyFont="1" applyBorder="1" applyAlignment="1">
      <alignment horizontal="left" vertical="center" wrapText="1"/>
    </xf>
    <xf numFmtId="184" fontId="0" fillId="0" borderId="0" xfId="0" applyNumberFormat="1"/>
    <xf numFmtId="0" fontId="0" fillId="0" borderId="0" xfId="0" applyAlignment="1">
      <alignment horizontal="left" wrapText="1"/>
    </xf>
    <xf numFmtId="0" fontId="45" fillId="13" borderId="53" xfId="0" applyFont="1" applyFill="1" applyBorder="1" applyAlignment="1">
      <alignment horizontal="center" vertical="center"/>
    </xf>
    <xf numFmtId="184" fontId="45" fillId="13" borderId="48" xfId="0" applyNumberFormat="1" applyFont="1" applyFill="1" applyBorder="1" applyAlignment="1">
      <alignment horizontal="center" vertical="center"/>
    </xf>
    <xf numFmtId="0" fontId="45" fillId="13" borderId="48" xfId="0" applyFont="1" applyFill="1" applyBorder="1" applyAlignment="1">
      <alignment horizontal="center" vertical="center"/>
    </xf>
    <xf numFmtId="184" fontId="45" fillId="13" borderId="49" xfId="0" applyNumberFormat="1" applyFont="1" applyFill="1" applyBorder="1" applyAlignment="1">
      <alignment horizontal="center" vertical="center"/>
    </xf>
    <xf numFmtId="184" fontId="0" fillId="0" borderId="54" xfId="0" applyNumberFormat="1" applyBorder="1" applyAlignment="1">
      <alignment horizontal="center" vertical="center"/>
    </xf>
    <xf numFmtId="184" fontId="0" fillId="0" borderId="54" xfId="0" applyNumberFormat="1" applyBorder="1" applyAlignment="1">
      <alignment horizontal="center" vertical="center" wrapText="1"/>
    </xf>
    <xf numFmtId="184" fontId="0" fillId="0" borderId="54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D9D9D9"/>
      <color rgb="00C00000"/>
      <color rgb="009BC2E6"/>
      <color rgb="00E2EFDA"/>
      <color rgb="00D9E1F2"/>
      <color rgb="00FFFFFF"/>
      <color rgb="00DDEBF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15</xdr:col>
      <xdr:colOff>497205</xdr:colOff>
      <xdr:row>50</xdr:row>
      <xdr:rowOff>10160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20020" y="3409315"/>
          <a:ext cx="5010785" cy="701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37</xdr:row>
      <xdr:rowOff>20320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63925" y="3411220"/>
          <a:ext cx="5934075" cy="4342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33</xdr:row>
      <xdr:rowOff>21590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736175" y="3392805"/>
          <a:ext cx="5137785" cy="3536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6095\Documents\WeChat%20Files\wxid_hldq90zfj37p22\FileStorage\File\2024-09\&#23450;&#20215;&#27169;&#22411;&#35745;&#31639;\&#23433;&#23621;&#20048;&#23507;&#21508;&#26449;&#22522;&#20934;&#20215;_101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E2" t="str">
            <v>村</v>
          </cell>
          <cell r="F2" t="str">
            <v>梯度值</v>
          </cell>
          <cell r="G2" t="str">
            <v>开间</v>
          </cell>
          <cell r="H2" t="str">
            <v>一居室</v>
          </cell>
        </row>
        <row r="3">
          <cell r="E3" t="str">
            <v>上沙村/下沙五六七八坊</v>
          </cell>
          <cell r="F3">
            <v>1.36</v>
          </cell>
          <cell r="G3">
            <v>3181</v>
          </cell>
          <cell r="H3">
            <v>3976.3</v>
          </cell>
        </row>
        <row r="4">
          <cell r="E4" t="str">
            <v>上沙龙秋村</v>
          </cell>
          <cell r="F4">
            <v>1.32</v>
          </cell>
          <cell r="G4">
            <v>3075.3</v>
          </cell>
          <cell r="H4">
            <v>3844.1</v>
          </cell>
        </row>
        <row r="5">
          <cell r="E5" t="str">
            <v>新狮村</v>
          </cell>
          <cell r="F5">
            <v>1.32</v>
          </cell>
          <cell r="G5">
            <v>3072.6</v>
          </cell>
          <cell r="H5">
            <v>3840.8</v>
          </cell>
        </row>
        <row r="6">
          <cell r="E6" t="str">
            <v>新洲南村</v>
          </cell>
          <cell r="F6">
            <v>1.29</v>
          </cell>
          <cell r="G6">
            <v>3014.8</v>
          </cell>
          <cell r="H6">
            <v>3768.5</v>
          </cell>
        </row>
        <row r="7">
          <cell r="E7" t="str">
            <v>新洲中心村</v>
          </cell>
          <cell r="F7">
            <v>1.29</v>
          </cell>
          <cell r="G7">
            <v>3010.6</v>
          </cell>
          <cell r="H7">
            <v>3763.3</v>
          </cell>
        </row>
        <row r="8">
          <cell r="E8" t="str">
            <v>石厦东村</v>
          </cell>
          <cell r="F8">
            <v>1.29</v>
          </cell>
          <cell r="G8">
            <v>3003.4</v>
          </cell>
          <cell r="H8">
            <v>3754.2</v>
          </cell>
        </row>
        <row r="9">
          <cell r="E9" t="str">
            <v>上沙塘晏村</v>
          </cell>
          <cell r="F9">
            <v>1.29</v>
          </cell>
          <cell r="G9">
            <v>2999.5</v>
          </cell>
          <cell r="H9">
            <v>3749.4</v>
          </cell>
        </row>
        <row r="10">
          <cell r="E10" t="str">
            <v>新洲北村</v>
          </cell>
          <cell r="F10">
            <v>1.28</v>
          </cell>
          <cell r="G10">
            <v>2994.2</v>
          </cell>
          <cell r="H10">
            <v>3742.7</v>
          </cell>
        </row>
        <row r="11">
          <cell r="E11" t="str">
            <v>沙埔头村&amp;上步祠堂村</v>
          </cell>
          <cell r="F11">
            <v>1.26</v>
          </cell>
          <cell r="G11">
            <v>2947.9</v>
          </cell>
          <cell r="H11">
            <v>3684.9</v>
          </cell>
        </row>
        <row r="12">
          <cell r="E12" t="str">
            <v>巴登村</v>
          </cell>
          <cell r="F12">
            <v>1.26</v>
          </cell>
          <cell r="G12">
            <v>2941.6</v>
          </cell>
          <cell r="H12">
            <v>3677.1</v>
          </cell>
        </row>
        <row r="13">
          <cell r="E13" t="str">
            <v>上沙椰树村</v>
          </cell>
          <cell r="F13">
            <v>1.26</v>
          </cell>
          <cell r="G13">
            <v>2939</v>
          </cell>
          <cell r="H13">
            <v>3673.8</v>
          </cell>
        </row>
        <row r="14">
          <cell r="E14" t="str">
            <v>埔尾村</v>
          </cell>
          <cell r="F14">
            <v>1.25</v>
          </cell>
          <cell r="G14">
            <v>2926.6</v>
          </cell>
          <cell r="H14">
            <v>3658.3</v>
          </cell>
        </row>
        <row r="15">
          <cell r="E15" t="str">
            <v>沙嘴村</v>
          </cell>
          <cell r="F15">
            <v>1.25</v>
          </cell>
          <cell r="G15">
            <v>2919.3</v>
          </cell>
          <cell r="H15">
            <v>3649.1</v>
          </cell>
        </row>
        <row r="16">
          <cell r="E16" t="str">
            <v>上沙东村</v>
          </cell>
          <cell r="F16">
            <v>1.25</v>
          </cell>
          <cell r="G16">
            <v>2907.6</v>
          </cell>
          <cell r="H16">
            <v>3634.5</v>
          </cell>
        </row>
        <row r="17">
          <cell r="E17" t="str">
            <v>布尾村</v>
          </cell>
          <cell r="F17">
            <v>1.24</v>
          </cell>
          <cell r="G17">
            <v>2903.2</v>
          </cell>
          <cell r="H17">
            <v>3629.1</v>
          </cell>
        </row>
        <row r="18">
          <cell r="E18" t="str">
            <v>石厦西村</v>
          </cell>
          <cell r="F18">
            <v>1.23</v>
          </cell>
          <cell r="G18">
            <v>2880.1</v>
          </cell>
          <cell r="H18">
            <v>3600.1</v>
          </cell>
        </row>
        <row r="19">
          <cell r="E19" t="str">
            <v>上梅林新村</v>
          </cell>
          <cell r="F19">
            <v>1.21</v>
          </cell>
          <cell r="G19">
            <v>2829.1</v>
          </cell>
          <cell r="H19">
            <v>3536.3</v>
          </cell>
        </row>
        <row r="20">
          <cell r="E20" t="str">
            <v>新兴村</v>
          </cell>
          <cell r="F20">
            <v>1.19</v>
          </cell>
          <cell r="G20">
            <v>2783.5</v>
          </cell>
          <cell r="H20">
            <v>3479.3</v>
          </cell>
        </row>
        <row r="21">
          <cell r="E21" t="str">
            <v>轻铁花园</v>
          </cell>
          <cell r="F21">
            <v>1.19</v>
          </cell>
          <cell r="G21">
            <v>2782.7</v>
          </cell>
          <cell r="H21">
            <v>3478.4</v>
          </cell>
        </row>
        <row r="22">
          <cell r="E22" t="str">
            <v>荔园村</v>
          </cell>
          <cell r="F22">
            <v>1.19</v>
          </cell>
          <cell r="G22">
            <v>2780.1</v>
          </cell>
          <cell r="H22">
            <v>3475.1</v>
          </cell>
        </row>
        <row r="23">
          <cell r="E23" t="str">
            <v>31区水口花园</v>
          </cell>
          <cell r="F23">
            <v>1.18</v>
          </cell>
          <cell r="G23">
            <v>2755.7</v>
          </cell>
          <cell r="H23">
            <v>3302.1</v>
          </cell>
        </row>
        <row r="24">
          <cell r="E24" t="str">
            <v>笋岗村</v>
          </cell>
          <cell r="F24">
            <v>1.18</v>
          </cell>
          <cell r="G24">
            <v>2746.7</v>
          </cell>
          <cell r="H24">
            <v>3433.4</v>
          </cell>
        </row>
        <row r="25">
          <cell r="E25" t="str">
            <v>劳动二队东区</v>
          </cell>
          <cell r="F25">
            <v>1.17</v>
          </cell>
          <cell r="G25">
            <v>2727.2</v>
          </cell>
          <cell r="H25">
            <v>3409</v>
          </cell>
        </row>
        <row r="26">
          <cell r="E26" t="str">
            <v>麻布新村</v>
          </cell>
          <cell r="F26">
            <v>1.17</v>
          </cell>
          <cell r="G26">
            <v>2718.9</v>
          </cell>
          <cell r="H26">
            <v>3398.6</v>
          </cell>
        </row>
        <row r="27">
          <cell r="E27" t="str">
            <v>径贝新村</v>
          </cell>
          <cell r="F27">
            <v>1.15</v>
          </cell>
          <cell r="G27">
            <v>2677.7</v>
          </cell>
          <cell r="H27">
            <v>3347.1</v>
          </cell>
        </row>
        <row r="28">
          <cell r="E28" t="str">
            <v>华侨新村</v>
          </cell>
          <cell r="F28">
            <v>1.13</v>
          </cell>
          <cell r="G28">
            <v>2636.5</v>
          </cell>
          <cell r="H28">
            <v>3295.7</v>
          </cell>
        </row>
        <row r="29">
          <cell r="E29" t="str">
            <v>安乐42区</v>
          </cell>
          <cell r="F29">
            <v>1.1</v>
          </cell>
          <cell r="G29">
            <v>2573.3</v>
          </cell>
          <cell r="H29">
            <v>3220.2</v>
          </cell>
        </row>
        <row r="30">
          <cell r="E30" t="str">
            <v>永丰八区</v>
          </cell>
          <cell r="F30">
            <v>1.08</v>
          </cell>
          <cell r="G30">
            <v>2522.7</v>
          </cell>
          <cell r="H30">
            <v>3173.7</v>
          </cell>
        </row>
        <row r="31">
          <cell r="E31" t="str">
            <v>海乐社区39区</v>
          </cell>
          <cell r="F31">
            <v>1.07</v>
          </cell>
          <cell r="G31">
            <v>2497.8</v>
          </cell>
          <cell r="H31">
            <v>3122.3</v>
          </cell>
        </row>
        <row r="32">
          <cell r="E32" t="str">
            <v>27区裕安新苑/32区上川五片</v>
          </cell>
          <cell r="F32">
            <v>1.07</v>
          </cell>
          <cell r="G32">
            <v>2490.2</v>
          </cell>
          <cell r="H32">
            <v>3165.4</v>
          </cell>
        </row>
        <row r="33">
          <cell r="E33" t="str">
            <v>湖贝新村</v>
          </cell>
          <cell r="F33">
            <v>1.05</v>
          </cell>
          <cell r="G33">
            <v>2443.7</v>
          </cell>
          <cell r="H33">
            <v>3133.3</v>
          </cell>
        </row>
        <row r="34">
          <cell r="E34" t="str">
            <v>黄贝岭</v>
          </cell>
          <cell r="F34">
            <v>1.03</v>
          </cell>
          <cell r="G34">
            <v>2399.7</v>
          </cell>
          <cell r="H34">
            <v>3102</v>
          </cell>
        </row>
        <row r="35">
          <cell r="E35" t="str">
            <v>灶下村</v>
          </cell>
          <cell r="F35">
            <v>1.03</v>
          </cell>
          <cell r="G35">
            <v>2399.6</v>
          </cell>
          <cell r="H35">
            <v>3102</v>
          </cell>
        </row>
        <row r="36">
          <cell r="E36" t="str">
            <v>罗湖村</v>
          </cell>
          <cell r="F36">
            <v>1</v>
          </cell>
          <cell r="G36">
            <v>2333.8</v>
          </cell>
          <cell r="H36">
            <v>3053.4</v>
          </cell>
        </row>
        <row r="37">
          <cell r="E37" t="str">
            <v>清水河新村</v>
          </cell>
          <cell r="F37">
            <v>0.99</v>
          </cell>
          <cell r="G37">
            <v>2319</v>
          </cell>
          <cell r="H37">
            <v>3042.2</v>
          </cell>
        </row>
        <row r="38">
          <cell r="E38" t="str">
            <v>74区布心二村</v>
          </cell>
          <cell r="F38">
            <v>0.99</v>
          </cell>
          <cell r="G38">
            <v>2306.2</v>
          </cell>
          <cell r="H38">
            <v>3032.4</v>
          </cell>
        </row>
        <row r="39">
          <cell r="E39" t="str">
            <v>白石龙一区</v>
          </cell>
          <cell r="F39">
            <v>0.98</v>
          </cell>
          <cell r="G39">
            <v>2287.2</v>
          </cell>
          <cell r="H39">
            <v>3014.3</v>
          </cell>
        </row>
        <row r="40">
          <cell r="E40" t="str">
            <v>盐田村</v>
          </cell>
          <cell r="F40">
            <v>0.98</v>
          </cell>
          <cell r="G40">
            <v>2286.3</v>
          </cell>
          <cell r="H40">
            <v>3017.1</v>
          </cell>
        </row>
        <row r="41">
          <cell r="E41" t="str">
            <v>马鞍山</v>
          </cell>
          <cell r="F41">
            <v>0.98</v>
          </cell>
          <cell r="G41">
            <v>2282.3</v>
          </cell>
          <cell r="H41">
            <v>2968.8</v>
          </cell>
        </row>
        <row r="42">
          <cell r="E42" t="str">
            <v>瓦窑花园</v>
          </cell>
          <cell r="F42">
            <v>0.97</v>
          </cell>
          <cell r="G42">
            <v>2260.9</v>
          </cell>
          <cell r="H42">
            <v>2950.3</v>
          </cell>
        </row>
        <row r="43">
          <cell r="E43" t="str">
            <v>岭下花园</v>
          </cell>
          <cell r="F43">
            <v>0.96</v>
          </cell>
          <cell r="G43">
            <v>2248.4</v>
          </cell>
          <cell r="H43">
            <v>2987.3</v>
          </cell>
        </row>
        <row r="44">
          <cell r="E44" t="str">
            <v>坳下村</v>
          </cell>
          <cell r="F44">
            <v>0.96</v>
          </cell>
          <cell r="G44">
            <v>2244</v>
          </cell>
          <cell r="H44">
            <v>2983.9</v>
          </cell>
        </row>
        <row r="45">
          <cell r="E45" t="str">
            <v>白石龙二区</v>
          </cell>
          <cell r="F45">
            <v>0.95</v>
          </cell>
          <cell r="G45">
            <v>2223.2</v>
          </cell>
          <cell r="H45">
            <v>2963.8</v>
          </cell>
        </row>
        <row r="46">
          <cell r="E46" t="str">
            <v>水库新村</v>
          </cell>
          <cell r="F46">
            <v>0.95</v>
          </cell>
          <cell r="G46">
            <v>2214.2</v>
          </cell>
          <cell r="H46">
            <v>2959.9</v>
          </cell>
        </row>
        <row r="47">
          <cell r="E47" t="str">
            <v>白石龙老村</v>
          </cell>
          <cell r="F47">
            <v>0.94</v>
          </cell>
          <cell r="G47">
            <v>2200.7</v>
          </cell>
          <cell r="H47">
            <v>2945.6</v>
          </cell>
        </row>
        <row r="48">
          <cell r="E48" t="str">
            <v>高树围新村</v>
          </cell>
          <cell r="F48">
            <v>0.94</v>
          </cell>
          <cell r="G48">
            <v>2194.2</v>
          </cell>
          <cell r="H48">
            <v>2943.6</v>
          </cell>
        </row>
        <row r="49">
          <cell r="E49" t="str">
            <v>流塘旧村</v>
          </cell>
          <cell r="F49">
            <v>0.94</v>
          </cell>
          <cell r="G49">
            <v>2186.6</v>
          </cell>
          <cell r="H49">
            <v>2937.4</v>
          </cell>
        </row>
        <row r="50">
          <cell r="E50" t="str">
            <v>金雅园</v>
          </cell>
          <cell r="F50">
            <v>0.93</v>
          </cell>
          <cell r="G50">
            <v>2169.6</v>
          </cell>
          <cell r="H50">
            <v>2890.1</v>
          </cell>
        </row>
        <row r="51">
          <cell r="E51" t="str">
            <v>东泉新村</v>
          </cell>
          <cell r="F51">
            <v>0.92</v>
          </cell>
          <cell r="G51">
            <v>2149.8</v>
          </cell>
          <cell r="H51">
            <v>2903.4</v>
          </cell>
        </row>
        <row r="52">
          <cell r="E52" t="str">
            <v>逸秀新村</v>
          </cell>
          <cell r="F52">
            <v>0.91</v>
          </cell>
          <cell r="G52">
            <v>2133.4</v>
          </cell>
          <cell r="H52">
            <v>2889.6</v>
          </cell>
        </row>
        <row r="53">
          <cell r="E53" t="str">
            <v>创业花园</v>
          </cell>
          <cell r="F53">
            <v>0.9</v>
          </cell>
          <cell r="G53">
            <v>2109.5</v>
          </cell>
          <cell r="H53">
            <v>2869.3</v>
          </cell>
        </row>
        <row r="54">
          <cell r="E54" t="str">
            <v>禾坪岗村</v>
          </cell>
          <cell r="F54">
            <v>0.89</v>
          </cell>
          <cell r="G54">
            <v>2080.7</v>
          </cell>
          <cell r="H54">
            <v>2851.9</v>
          </cell>
        </row>
        <row r="55">
          <cell r="E55" t="str">
            <v>中心围村</v>
          </cell>
          <cell r="F55">
            <v>0.89</v>
          </cell>
          <cell r="G55">
            <v>2075.2</v>
          </cell>
          <cell r="H55">
            <v>2847.3</v>
          </cell>
        </row>
        <row r="56">
          <cell r="E56" t="str">
            <v>马蹄山村</v>
          </cell>
          <cell r="F56">
            <v>0.89</v>
          </cell>
          <cell r="G56">
            <v>2075.1</v>
          </cell>
          <cell r="H56">
            <v>2847.2</v>
          </cell>
        </row>
        <row r="57">
          <cell r="E57" t="str">
            <v>横岭村三区</v>
          </cell>
          <cell r="F57">
            <v>0.86</v>
          </cell>
          <cell r="G57">
            <v>2016.8</v>
          </cell>
          <cell r="H57">
            <v>2790.7</v>
          </cell>
        </row>
        <row r="58">
          <cell r="E58" t="str">
            <v>塘水围二区</v>
          </cell>
          <cell r="F58">
            <v>0.83</v>
          </cell>
          <cell r="G58">
            <v>1943.3</v>
          </cell>
          <cell r="H58">
            <v>2720.1</v>
          </cell>
        </row>
        <row r="59">
          <cell r="E59" t="str">
            <v>东边新村</v>
          </cell>
          <cell r="F59">
            <v>0.81</v>
          </cell>
          <cell r="G59">
            <v>1889.9</v>
          </cell>
          <cell r="H59">
            <v>2669.3</v>
          </cell>
        </row>
        <row r="60">
          <cell r="E60" t="str">
            <v>龙胜村</v>
          </cell>
          <cell r="F60">
            <v>0.8</v>
          </cell>
          <cell r="G60">
            <v>1866.4</v>
          </cell>
          <cell r="H60">
            <v>2646.5</v>
          </cell>
        </row>
        <row r="61">
          <cell r="E61" t="str">
            <v>旺塘</v>
          </cell>
          <cell r="F61">
            <v>0.78</v>
          </cell>
          <cell r="G61">
            <v>1827</v>
          </cell>
          <cell r="H61">
            <v>2562.5</v>
          </cell>
        </row>
        <row r="62">
          <cell r="E62" t="str">
            <v>雪象花园新村</v>
          </cell>
          <cell r="F62">
            <v>0.77</v>
          </cell>
          <cell r="G62">
            <v>1789.9</v>
          </cell>
          <cell r="H62">
            <v>2571.3</v>
          </cell>
        </row>
        <row r="63">
          <cell r="E63" t="str">
            <v>后瑞村</v>
          </cell>
          <cell r="F63">
            <v>0.77</v>
          </cell>
          <cell r="G63">
            <v>1789.4</v>
          </cell>
          <cell r="H63">
            <v>2576.7</v>
          </cell>
        </row>
        <row r="64">
          <cell r="E64" t="str">
            <v>弓村</v>
          </cell>
          <cell r="F64">
            <v>0.76</v>
          </cell>
          <cell r="G64">
            <v>1771.8</v>
          </cell>
          <cell r="H64">
            <v>2552.2</v>
          </cell>
        </row>
        <row r="65">
          <cell r="E65" t="str">
            <v>红湾新村</v>
          </cell>
          <cell r="F65">
            <v>0.75</v>
          </cell>
          <cell r="G65">
            <v>1755.8</v>
          </cell>
          <cell r="H65">
            <v>2538.5</v>
          </cell>
        </row>
        <row r="66">
          <cell r="E66" t="str">
            <v>赤岭头村</v>
          </cell>
          <cell r="F66">
            <v>0.75</v>
          </cell>
          <cell r="G66">
            <v>1748.1</v>
          </cell>
          <cell r="H66">
            <v>2528</v>
          </cell>
        </row>
        <row r="67">
          <cell r="E67" t="str">
            <v>马安堂新围仔村</v>
          </cell>
          <cell r="F67">
            <v>0.74</v>
          </cell>
          <cell r="G67">
            <v>1735.9</v>
          </cell>
          <cell r="H67">
            <v>2474.6</v>
          </cell>
        </row>
        <row r="68">
          <cell r="E68" t="str">
            <v>大芬村</v>
          </cell>
          <cell r="F68">
            <v>0.74</v>
          </cell>
          <cell r="G68">
            <v>1726.4</v>
          </cell>
          <cell r="H68">
            <v>2508.2</v>
          </cell>
        </row>
        <row r="69">
          <cell r="E69" t="str">
            <v>桔子村芬桔&amp;芬龙</v>
          </cell>
          <cell r="F69">
            <v>0.74</v>
          </cell>
          <cell r="G69">
            <v>1721.7</v>
          </cell>
          <cell r="H69">
            <v>2503.2</v>
          </cell>
        </row>
        <row r="70">
          <cell r="E70" t="str">
            <v>元芬新村</v>
          </cell>
          <cell r="F70">
            <v>0.73</v>
          </cell>
          <cell r="G70">
            <v>1707.9</v>
          </cell>
          <cell r="H70">
            <v>2486.2</v>
          </cell>
        </row>
        <row r="71">
          <cell r="E71" t="str">
            <v>鹊山新村</v>
          </cell>
          <cell r="F71">
            <v>0.73</v>
          </cell>
          <cell r="G71">
            <v>1701.1</v>
          </cell>
          <cell r="H71">
            <v>2479</v>
          </cell>
        </row>
        <row r="72">
          <cell r="E72" t="str">
            <v>兴围村</v>
          </cell>
          <cell r="F72">
            <v>0.7</v>
          </cell>
          <cell r="G72">
            <v>1634.8</v>
          </cell>
          <cell r="H72">
            <v>2426.1</v>
          </cell>
        </row>
        <row r="73">
          <cell r="E73" t="str">
            <v>下早新村</v>
          </cell>
          <cell r="F73">
            <v>0.7</v>
          </cell>
          <cell r="G73">
            <v>1624.6</v>
          </cell>
          <cell r="H73">
            <v>2397.1</v>
          </cell>
        </row>
        <row r="74">
          <cell r="E74" t="str">
            <v>桔子村山顶</v>
          </cell>
          <cell r="F74">
            <v>0.69</v>
          </cell>
          <cell r="G74">
            <v>1621.9</v>
          </cell>
          <cell r="H74">
            <v>2396.6</v>
          </cell>
        </row>
        <row r="75">
          <cell r="E75" t="str">
            <v>福围村</v>
          </cell>
          <cell r="F75">
            <v>0.69</v>
          </cell>
          <cell r="G75">
            <v>1612.1</v>
          </cell>
          <cell r="H75">
            <v>2402.5</v>
          </cell>
        </row>
        <row r="76">
          <cell r="E76" t="str">
            <v>富联新村</v>
          </cell>
          <cell r="F76">
            <v>0.69</v>
          </cell>
          <cell r="G76">
            <v>1605.2</v>
          </cell>
          <cell r="H76">
            <v>2378.4</v>
          </cell>
        </row>
        <row r="77">
          <cell r="E77" t="str">
            <v>新和一区/二区</v>
          </cell>
          <cell r="F77">
            <v>0.68</v>
          </cell>
          <cell r="G77">
            <v>1594.1</v>
          </cell>
          <cell r="H77">
            <v>2402.5</v>
          </cell>
        </row>
        <row r="78">
          <cell r="E78" t="str">
            <v>陶吓新村</v>
          </cell>
          <cell r="F78">
            <v>0.68</v>
          </cell>
          <cell r="G78">
            <v>1585.3</v>
          </cell>
          <cell r="H78">
            <v>2353.9</v>
          </cell>
        </row>
        <row r="79">
          <cell r="E79" t="str">
            <v>清湖新村</v>
          </cell>
          <cell r="F79">
            <v>0.66</v>
          </cell>
          <cell r="G79">
            <v>1549.9</v>
          </cell>
          <cell r="H79">
            <v>2316.8</v>
          </cell>
        </row>
        <row r="80">
          <cell r="E80" t="str">
            <v>谭罗华侨新村</v>
          </cell>
          <cell r="F80">
            <v>0.66</v>
          </cell>
          <cell r="G80">
            <v>1530.7</v>
          </cell>
          <cell r="H80">
            <v>2292.8</v>
          </cell>
        </row>
        <row r="81">
          <cell r="E81" t="str">
            <v>三合新二村</v>
          </cell>
          <cell r="F81">
            <v>0.66</v>
          </cell>
          <cell r="G81">
            <v>1530.5</v>
          </cell>
          <cell r="H81">
            <v>2292.6</v>
          </cell>
        </row>
        <row r="82">
          <cell r="E82" t="str">
            <v>三合华侨新村</v>
          </cell>
          <cell r="F82">
            <v>0.66</v>
          </cell>
          <cell r="G82">
            <v>1530.2</v>
          </cell>
          <cell r="H82">
            <v>2292.2</v>
          </cell>
        </row>
        <row r="83">
          <cell r="E83" t="str">
            <v>下横朗新村</v>
          </cell>
          <cell r="F83">
            <v>0.65</v>
          </cell>
          <cell r="G83">
            <v>1521.6</v>
          </cell>
          <cell r="H83">
            <v>2282.4</v>
          </cell>
        </row>
        <row r="84">
          <cell r="E84" t="str">
            <v>鹤州旧村</v>
          </cell>
          <cell r="F84">
            <v>0.65</v>
          </cell>
          <cell r="G84">
            <v>1514.9</v>
          </cell>
          <cell r="H84">
            <v>2277.1</v>
          </cell>
        </row>
        <row r="85">
          <cell r="E85" t="str">
            <v>鹤洲东区</v>
          </cell>
          <cell r="F85">
            <v>0.64</v>
          </cell>
          <cell r="G85">
            <v>1485.7</v>
          </cell>
          <cell r="H85">
            <v>2243.5</v>
          </cell>
        </row>
        <row r="86">
          <cell r="E86" t="str">
            <v>桥南/桥荣/桥头</v>
          </cell>
          <cell r="F86">
            <v>0.63</v>
          </cell>
          <cell r="G86">
            <v>1480.2</v>
          </cell>
          <cell r="H86">
            <v>2237.2</v>
          </cell>
        </row>
        <row r="87">
          <cell r="E87" t="str">
            <v>应人石</v>
          </cell>
          <cell r="F87">
            <v>0.63</v>
          </cell>
          <cell r="G87">
            <v>1469.6</v>
          </cell>
          <cell r="H87">
            <v>2224.8</v>
          </cell>
        </row>
        <row r="88">
          <cell r="E88" t="str">
            <v>咸田</v>
          </cell>
          <cell r="F88">
            <v>0.62</v>
          </cell>
          <cell r="G88">
            <v>1454.9</v>
          </cell>
          <cell r="H88">
            <v>2207.7</v>
          </cell>
        </row>
        <row r="89">
          <cell r="E89" t="str">
            <v>福永新村</v>
          </cell>
          <cell r="F89">
            <v>0.62</v>
          </cell>
          <cell r="G89">
            <v>1450.9</v>
          </cell>
          <cell r="H89">
            <v>2202.1</v>
          </cell>
        </row>
        <row r="90">
          <cell r="E90" t="str">
            <v>翠岗</v>
          </cell>
          <cell r="F90">
            <v>0.62</v>
          </cell>
          <cell r="G90">
            <v>1450.1</v>
          </cell>
          <cell r="H90">
            <v>2202.1</v>
          </cell>
        </row>
        <row r="91">
          <cell r="E91" t="str">
            <v>聚福园小区</v>
          </cell>
          <cell r="F91">
            <v>0.61</v>
          </cell>
          <cell r="G91">
            <v>1421.1</v>
          </cell>
          <cell r="H91">
            <v>2167.8</v>
          </cell>
        </row>
        <row r="92">
          <cell r="E92" t="str">
            <v>鹤州西区</v>
          </cell>
          <cell r="F92">
            <v>0.6</v>
          </cell>
          <cell r="G92">
            <v>1408.4</v>
          </cell>
          <cell r="H92">
            <v>2152.7</v>
          </cell>
        </row>
        <row r="93">
          <cell r="E93" t="str">
            <v>新和西/新和东</v>
          </cell>
          <cell r="F93">
            <v>0.6</v>
          </cell>
          <cell r="G93">
            <v>1398.1</v>
          </cell>
          <cell r="H93">
            <v>2140.3</v>
          </cell>
        </row>
        <row r="94">
          <cell r="E94" t="str">
            <v>鹤洲新村</v>
          </cell>
          <cell r="F94">
            <v>0.6</v>
          </cell>
          <cell r="G94">
            <v>1391.9</v>
          </cell>
          <cell r="H94">
            <v>2132.9</v>
          </cell>
        </row>
        <row r="95">
          <cell r="E95" t="str">
            <v>龙腾阁（望牛亭)</v>
          </cell>
          <cell r="F95">
            <v>0.59</v>
          </cell>
          <cell r="G95">
            <v>1383.9</v>
          </cell>
          <cell r="H95">
            <v>2123.3</v>
          </cell>
        </row>
        <row r="96">
          <cell r="E96" t="str">
            <v>马山小区</v>
          </cell>
          <cell r="F96">
            <v>0.59</v>
          </cell>
          <cell r="G96">
            <v>1376.8</v>
          </cell>
          <cell r="H96">
            <v>2133.5</v>
          </cell>
        </row>
        <row r="97">
          <cell r="E97" t="str">
            <v>石龙头村</v>
          </cell>
          <cell r="F97">
            <v>0.58</v>
          </cell>
          <cell r="G97">
            <v>1362.3</v>
          </cell>
          <cell r="H97">
            <v>2097.1</v>
          </cell>
        </row>
        <row r="98">
          <cell r="E98" t="str">
            <v>新和三区、华达村</v>
          </cell>
          <cell r="F98">
            <v>0.58</v>
          </cell>
          <cell r="G98">
            <v>1358.1</v>
          </cell>
          <cell r="H98">
            <v>2092.1</v>
          </cell>
        </row>
        <row r="99">
          <cell r="E99" t="str">
            <v>芳华</v>
          </cell>
          <cell r="F99">
            <v>0.58</v>
          </cell>
          <cell r="G99">
            <v>1345.7</v>
          </cell>
          <cell r="H99">
            <v>2077</v>
          </cell>
        </row>
        <row r="100">
          <cell r="E100" t="str">
            <v>裕华园</v>
          </cell>
          <cell r="F100">
            <v>0.58</v>
          </cell>
          <cell r="G100">
            <v>1345.5</v>
          </cell>
          <cell r="H100">
            <v>2076.6</v>
          </cell>
        </row>
        <row r="101">
          <cell r="E101" t="str">
            <v>罗租村</v>
          </cell>
          <cell r="F101">
            <v>0.57</v>
          </cell>
          <cell r="G101">
            <v>1340.5</v>
          </cell>
          <cell r="H101">
            <v>2070.6</v>
          </cell>
        </row>
        <row r="102">
          <cell r="E102" t="str">
            <v>福海路小区</v>
          </cell>
          <cell r="F102">
            <v>0.57</v>
          </cell>
          <cell r="G102">
            <v>1323.7</v>
          </cell>
          <cell r="H102">
            <v>2049.9</v>
          </cell>
        </row>
        <row r="103">
          <cell r="E103" t="str">
            <v>塘尾村</v>
          </cell>
          <cell r="F103">
            <v>0.57</v>
          </cell>
          <cell r="G103">
            <v>1318.6</v>
          </cell>
          <cell r="H103">
            <v>2043.6</v>
          </cell>
        </row>
        <row r="104">
          <cell r="E104" t="str">
            <v>宝罗小区</v>
          </cell>
          <cell r="F104">
            <v>0.56</v>
          </cell>
          <cell r="G104">
            <v>1305.5</v>
          </cell>
          <cell r="H104">
            <v>2027.3</v>
          </cell>
        </row>
        <row r="105">
          <cell r="E105" t="str">
            <v>大万新村</v>
          </cell>
          <cell r="F105">
            <v>0.54</v>
          </cell>
          <cell r="G105">
            <v>1256.7</v>
          </cell>
          <cell r="H105">
            <v>1966.2</v>
          </cell>
        </row>
        <row r="106">
          <cell r="E106" t="str">
            <v>后亭村</v>
          </cell>
          <cell r="F106">
            <v>0.52</v>
          </cell>
          <cell r="G106">
            <v>1221.3</v>
          </cell>
          <cell r="H106">
            <v>1941.9</v>
          </cell>
        </row>
        <row r="107">
          <cell r="E107" t="str">
            <v>同益新村西</v>
          </cell>
          <cell r="F107">
            <v>0.51</v>
          </cell>
          <cell r="G107">
            <v>1197.6</v>
          </cell>
          <cell r="H107">
            <v>1890.5</v>
          </cell>
        </row>
        <row r="108">
          <cell r="E108" t="str">
            <v>瓦窑头</v>
          </cell>
          <cell r="F108">
            <v>0.5</v>
          </cell>
          <cell r="G108">
            <v>1176.7</v>
          </cell>
          <cell r="H108">
            <v>1750.7</v>
          </cell>
        </row>
        <row r="109">
          <cell r="E109" t="str">
            <v>和顺新村/玻璃围</v>
          </cell>
          <cell r="F109">
            <v>0.5</v>
          </cell>
          <cell r="G109">
            <v>1155.7</v>
          </cell>
          <cell r="H109">
            <v>1835.8</v>
          </cell>
        </row>
        <row r="110">
          <cell r="E110" t="str">
            <v>东方二街</v>
          </cell>
          <cell r="F110">
            <v>0.42</v>
          </cell>
          <cell r="G110">
            <v>974.7</v>
          </cell>
          <cell r="H110">
            <v>1610.2</v>
          </cell>
        </row>
        <row r="111">
          <cell r="E111" t="str">
            <v>洪田</v>
          </cell>
          <cell r="F111">
            <v>0.39</v>
          </cell>
          <cell r="G111">
            <v>917.9</v>
          </cell>
          <cell r="H111">
            <v>1510.1</v>
          </cell>
        </row>
        <row r="112">
          <cell r="E112" t="str">
            <v>塘下涌</v>
          </cell>
          <cell r="F112">
            <v>0.37</v>
          </cell>
          <cell r="G112">
            <v>860.6</v>
          </cell>
          <cell r="H112">
            <v>1427.5</v>
          </cell>
        </row>
        <row r="113">
          <cell r="E113" t="str">
            <v>新湖村</v>
          </cell>
        </row>
        <row r="113">
          <cell r="G113">
            <v>2203.7</v>
          </cell>
          <cell r="H113">
            <v>2937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workbookViewId="0">
      <selection activeCell="J8" sqref="J8"/>
    </sheetView>
  </sheetViews>
  <sheetFormatPr defaultColWidth="9" defaultRowHeight="14.1" outlineLevelCol="5"/>
  <cols>
    <col min="2" max="2" width="7.91666666666667" customWidth="1"/>
    <col min="3" max="3" width="16.0833333333333" style="342" customWidth="1"/>
    <col min="4" max="4" width="44" style="343" customWidth="1"/>
    <col min="5" max="5" width="13.9166666666667" customWidth="1"/>
    <col min="6" max="6" width="16.0833333333333" style="342" customWidth="1"/>
  </cols>
  <sheetData>
    <row r="1" ht="14.85"/>
    <row r="2" ht="16.25" spans="2:6">
      <c r="B2" s="344" t="s">
        <v>0</v>
      </c>
      <c r="C2" s="345" t="s">
        <v>1</v>
      </c>
      <c r="D2" s="346" t="s">
        <v>2</v>
      </c>
      <c r="E2" s="346" t="s">
        <v>3</v>
      </c>
      <c r="F2" s="347" t="s">
        <v>4</v>
      </c>
    </row>
    <row r="3" ht="14.9" spans="2:6">
      <c r="B3" s="348" t="s">
        <v>5</v>
      </c>
      <c r="C3" s="348">
        <v>44036</v>
      </c>
      <c r="D3" s="349" t="s">
        <v>6</v>
      </c>
      <c r="E3" s="348"/>
      <c r="F3" s="348">
        <v>44039</v>
      </c>
    </row>
    <row r="4" ht="43.2" spans="2:6">
      <c r="B4" s="348" t="s">
        <v>7</v>
      </c>
      <c r="C4" s="348">
        <v>44056</v>
      </c>
      <c r="D4" s="349" t="s">
        <v>8</v>
      </c>
      <c r="E4" s="348" t="s">
        <v>9</v>
      </c>
      <c r="F4" s="348">
        <v>44056</v>
      </c>
    </row>
    <row r="5" ht="71.45" spans="2:6">
      <c r="B5" s="348" t="s">
        <v>10</v>
      </c>
      <c r="C5" s="348">
        <v>44131</v>
      </c>
      <c r="D5" s="349" t="s">
        <v>11</v>
      </c>
      <c r="E5" s="348" t="s">
        <v>12</v>
      </c>
      <c r="F5" s="348">
        <v>44132</v>
      </c>
    </row>
    <row r="6" ht="163.6" spans="2:6">
      <c r="B6" s="348" t="s">
        <v>13</v>
      </c>
      <c r="C6" s="348">
        <v>44281</v>
      </c>
      <c r="D6" s="349" t="s">
        <v>14</v>
      </c>
      <c r="E6" s="348"/>
      <c r="F6" s="348">
        <v>44287</v>
      </c>
    </row>
    <row r="7" ht="71.45" spans="2:6">
      <c r="B7" s="348" t="s">
        <v>15</v>
      </c>
      <c r="C7" s="348">
        <v>44670</v>
      </c>
      <c r="D7" s="349" t="s">
        <v>16</v>
      </c>
      <c r="E7" s="348"/>
      <c r="F7" s="348">
        <v>44670</v>
      </c>
    </row>
    <row r="8" ht="71.45" spans="2:6">
      <c r="B8" s="348" t="s">
        <v>17</v>
      </c>
      <c r="C8" s="348">
        <v>45127</v>
      </c>
      <c r="D8" s="349" t="s">
        <v>18</v>
      </c>
      <c r="E8" s="348"/>
      <c r="F8" s="348">
        <v>45127</v>
      </c>
    </row>
    <row r="9" ht="14.9" spans="2:6">
      <c r="B9" s="348" t="s">
        <v>19</v>
      </c>
      <c r="C9" s="348">
        <v>45468</v>
      </c>
      <c r="D9" s="350" t="s">
        <v>20</v>
      </c>
      <c r="E9" s="348"/>
      <c r="F9" s="348">
        <v>45468</v>
      </c>
    </row>
    <row r="10" ht="14.9" spans="2:6">
      <c r="B10" s="348" t="s">
        <v>21</v>
      </c>
      <c r="C10" s="348">
        <v>45482</v>
      </c>
      <c r="D10" s="349" t="s">
        <v>22</v>
      </c>
      <c r="E10" s="348"/>
      <c r="F10" s="348">
        <v>45482</v>
      </c>
    </row>
    <row r="11" ht="14.9" spans="2:6">
      <c r="B11" s="348" t="s">
        <v>23</v>
      </c>
      <c r="C11" s="348">
        <v>45483</v>
      </c>
      <c r="D11" s="349" t="s">
        <v>24</v>
      </c>
      <c r="E11" s="348"/>
      <c r="F11" s="348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88"/>
  <sheetViews>
    <sheetView workbookViewId="0">
      <pane xSplit="3" ySplit="1" topLeftCell="I2" activePane="bottomRight" state="frozen"/>
      <selection/>
      <selection pane="topRight"/>
      <selection pane="bottomLeft"/>
      <selection pane="bottomRight" activeCell="M5" sqref="M5"/>
    </sheetView>
  </sheetViews>
  <sheetFormatPr defaultColWidth="9" defaultRowHeight="36.15" customHeight="1"/>
  <cols>
    <col min="1" max="1" width="32.5" customWidth="1"/>
    <col min="2" max="2" width="9" customWidth="1"/>
    <col min="3" max="3" width="20.75" style="278" customWidth="1"/>
    <col min="4" max="4" width="29.25" style="279" customWidth="1"/>
    <col min="5" max="5" width="49.25" style="279" customWidth="1"/>
    <col min="6" max="6" width="18.9166666666667" style="280" customWidth="1"/>
    <col min="7" max="7" width="170.5" style="278" customWidth="1"/>
    <col min="8" max="8" width="38.25" style="281" customWidth="1"/>
    <col min="9" max="9" width="6.08333333333333" style="160" customWidth="1"/>
    <col min="10" max="10" width="5.16666666666667" customWidth="1"/>
    <col min="11" max="11" width="23.25" style="2" customWidth="1"/>
    <col min="12" max="12" width="19.4166666666667" customWidth="1"/>
    <col min="13" max="13" width="30.75" customWidth="1"/>
    <col min="14" max="14" width="37.1666666666667" customWidth="1"/>
    <col min="15" max="15" width="9.83333333333333" customWidth="1"/>
  </cols>
  <sheetData>
    <row r="1" s="275" customFormat="1" customHeight="1" spans="1:15">
      <c r="A1" s="282"/>
      <c r="B1" s="282" t="s">
        <v>25</v>
      </c>
      <c r="C1" s="282" t="s">
        <v>26</v>
      </c>
      <c r="D1" s="283" t="s">
        <v>27</v>
      </c>
      <c r="E1" s="283" t="s">
        <v>28</v>
      </c>
      <c r="F1" s="284" t="s">
        <v>29</v>
      </c>
      <c r="G1" s="285" t="s">
        <v>30</v>
      </c>
      <c r="H1" s="286"/>
      <c r="I1" s="287"/>
      <c r="K1" s="288"/>
      <c r="L1" s="289" t="s">
        <v>31</v>
      </c>
      <c r="M1" s="289">
        <f>VLOOKUP('【2】运营中心填-基本信息&amp;审核标准'!C2,[1]Sheet1!$E:$H,3,FALSE)</f>
        <v>1612.1</v>
      </c>
      <c r="N1" s="2"/>
    </row>
    <row r="2" customHeight="1" spans="1:15">
      <c r="A2" s="290" t="s">
        <v>32</v>
      </c>
      <c r="B2" s="290">
        <v>1</v>
      </c>
      <c r="C2" s="291" t="s">
        <v>33</v>
      </c>
      <c r="D2" s="292" t="s">
        <v>34</v>
      </c>
      <c r="E2" s="292" t="str">
        <f>$C$2&amp;D2</f>
        <v>区位交通很便利</v>
      </c>
      <c r="F2" s="293">
        <v>1.04</v>
      </c>
      <c r="G2" s="294" t="s">
        <v>35</v>
      </c>
      <c r="H2" s="295"/>
      <c r="I2" s="160" t="e">
        <f>J2*#REF!-J2</f>
        <v>#REF!</v>
      </c>
      <c r="J2">
        <v>1350</v>
      </c>
      <c r="L2" s="296" t="s">
        <v>36</v>
      </c>
      <c r="M2" s="296" t="s">
        <v>37</v>
      </c>
    </row>
    <row r="3" customHeight="1" spans="1:15">
      <c r="A3" s="297"/>
      <c r="B3" s="297"/>
      <c r="C3" s="291"/>
      <c r="D3" s="292" t="s">
        <v>38</v>
      </c>
      <c r="E3" s="292" t="str">
        <f>$C$2&amp;D3</f>
        <v>区位交通较便利</v>
      </c>
      <c r="F3" s="293">
        <v>1.02</v>
      </c>
      <c r="G3" s="294" t="s">
        <v>39</v>
      </c>
      <c r="H3" s="295"/>
      <c r="I3" s="160" t="e">
        <f>J3*#REF!-J3</f>
        <v>#REF!</v>
      </c>
      <c r="J3">
        <v>1350</v>
      </c>
      <c r="K3" s="2">
        <v>1</v>
      </c>
      <c r="L3" s="298" t="s">
        <v>40</v>
      </c>
      <c r="M3" s="262">
        <f>$M$1*K3</f>
        <v>1612.1</v>
      </c>
    </row>
    <row r="4" customHeight="1" spans="1:15">
      <c r="A4" s="297"/>
      <c r="B4" s="297"/>
      <c r="C4" s="291"/>
      <c r="D4" s="292" t="s">
        <v>41</v>
      </c>
      <c r="E4" s="292" t="str">
        <f>$C$2&amp;D4</f>
        <v>区位中心位置</v>
      </c>
      <c r="F4" s="293">
        <v>1</v>
      </c>
      <c r="G4" s="294" t="s">
        <v>42</v>
      </c>
      <c r="H4" s="295"/>
      <c r="I4" s="160">
        <f>J4*F2-J4</f>
        <v>54</v>
      </c>
      <c r="J4">
        <v>1350</v>
      </c>
      <c r="K4" s="2">
        <v>1.5</v>
      </c>
      <c r="L4" s="298" t="s">
        <v>43</v>
      </c>
      <c r="M4" s="262">
        <f>VLOOKUP('【2】运营中心填-基本信息&amp;审核标准'!C2,[1]Sheet1!$E:$H,4,FALSE)</f>
        <v>2402.5</v>
      </c>
    </row>
    <row r="5" customHeight="1" spans="1:15">
      <c r="A5" s="297"/>
      <c r="B5" s="297"/>
      <c r="C5" s="291"/>
      <c r="D5" s="292" t="s">
        <v>44</v>
      </c>
      <c r="E5" s="292" t="str">
        <f>$C$2&amp;D5</f>
        <v>区位交通较不便</v>
      </c>
      <c r="F5" s="293">
        <v>0.98</v>
      </c>
      <c r="G5" s="294" t="s">
        <v>45</v>
      </c>
      <c r="H5" s="295"/>
      <c r="I5" s="160">
        <f>J5*F3-J5</f>
        <v>27</v>
      </c>
      <c r="J5">
        <v>1350</v>
      </c>
      <c r="K5" s="2">
        <v>2</v>
      </c>
      <c r="L5" s="299" t="s">
        <v>46</v>
      </c>
      <c r="M5" s="262">
        <f t="shared" ref="M5:M11" si="0">$M$1*K5</f>
        <v>3224.2</v>
      </c>
    </row>
    <row r="6" customHeight="1" spans="1:15">
      <c r="A6" s="297"/>
      <c r="B6" s="300"/>
      <c r="C6" s="291"/>
      <c r="D6" s="292" t="s">
        <v>47</v>
      </c>
      <c r="E6" s="292" t="str">
        <f>$C$2&amp;D6</f>
        <v>区位交通很不便</v>
      </c>
      <c r="F6" s="293">
        <v>0.96</v>
      </c>
      <c r="G6" s="294" t="s">
        <v>48</v>
      </c>
      <c r="H6" s="295"/>
      <c r="I6" s="160">
        <v>100</v>
      </c>
      <c r="J6">
        <v>1350</v>
      </c>
      <c r="K6" s="2">
        <v>1</v>
      </c>
      <c r="L6" s="299" t="s">
        <v>49</v>
      </c>
      <c r="M6" s="262">
        <f t="shared" si="0"/>
        <v>1612.1</v>
      </c>
    </row>
    <row r="7" customHeight="1" spans="1:15">
      <c r="A7" s="297"/>
      <c r="B7" s="290">
        <v>2</v>
      </c>
      <c r="C7" s="301" t="s">
        <v>50</v>
      </c>
      <c r="D7" s="1" t="s">
        <v>51</v>
      </c>
      <c r="E7" s="1" t="str">
        <f>$C$7&amp;D7</f>
        <v>有无电梯有</v>
      </c>
      <c r="F7" s="293">
        <v>1.05</v>
      </c>
      <c r="G7" s="302" t="s">
        <v>52</v>
      </c>
      <c r="H7" s="303"/>
      <c r="I7" s="160">
        <v>80</v>
      </c>
      <c r="J7">
        <v>1350</v>
      </c>
      <c r="K7" s="2">
        <v>1</v>
      </c>
      <c r="L7" s="299" t="s">
        <v>53</v>
      </c>
      <c r="M7" s="262">
        <f t="shared" si="0"/>
        <v>1612.1</v>
      </c>
    </row>
    <row r="8" customHeight="1" spans="1:15">
      <c r="A8" s="300"/>
      <c r="B8" s="300"/>
      <c r="C8" s="301"/>
      <c r="D8" s="1" t="s">
        <v>54</v>
      </c>
      <c r="E8" s="1" t="str">
        <f>$C$7&amp;D8</f>
        <v>有无电梯无</v>
      </c>
      <c r="F8" s="293">
        <v>1</v>
      </c>
      <c r="G8" s="302"/>
      <c r="H8" s="303"/>
      <c r="I8" s="160">
        <f>J8*F6-J8</f>
        <v>-54</v>
      </c>
      <c r="J8">
        <v>1350</v>
      </c>
      <c r="K8" s="2">
        <v>1.5</v>
      </c>
      <c r="L8" s="299" t="s">
        <v>55</v>
      </c>
      <c r="M8" s="262">
        <f>M4</f>
        <v>2402.5</v>
      </c>
    </row>
    <row r="9" customHeight="1" spans="1:15">
      <c r="A9" s="304" t="s">
        <v>56</v>
      </c>
      <c r="B9" s="305">
        <v>1</v>
      </c>
      <c r="C9" s="306" t="s">
        <v>57</v>
      </c>
      <c r="D9" s="1" t="s">
        <v>58</v>
      </c>
      <c r="E9" s="1" t="str">
        <f>$C$9&amp;D9</f>
        <v>套内空间很宽敞</v>
      </c>
      <c r="F9" s="293">
        <v>1.1</v>
      </c>
      <c r="G9" s="302" t="s">
        <v>59</v>
      </c>
      <c r="H9" s="303"/>
      <c r="I9" s="160">
        <f>J9*F7-J9</f>
        <v>0</v>
      </c>
      <c r="K9" s="2">
        <v>2</v>
      </c>
      <c r="L9" s="299" t="s">
        <v>60</v>
      </c>
      <c r="M9" s="262">
        <f t="shared" si="0"/>
        <v>3224.2</v>
      </c>
    </row>
    <row r="10" customHeight="1" spans="1:15">
      <c r="A10" s="307"/>
      <c r="B10" s="305"/>
      <c r="C10" s="306"/>
      <c r="D10" s="1" t="s">
        <v>61</v>
      </c>
      <c r="E10" s="1" t="str">
        <f>$C$9&amp;D10</f>
        <v>套内空间较宽敞</v>
      </c>
      <c r="F10" s="293">
        <v>1.06</v>
      </c>
      <c r="G10" s="302"/>
      <c r="H10" s="303"/>
      <c r="I10" s="160">
        <f>J10*F8-J10</f>
        <v>0</v>
      </c>
      <c r="K10" s="2">
        <v>2</v>
      </c>
      <c r="L10" s="299" t="s">
        <v>62</v>
      </c>
      <c r="M10" s="262">
        <f t="shared" si="0"/>
        <v>3224.2</v>
      </c>
    </row>
    <row r="11" customHeight="1" spans="1:15">
      <c r="A11" s="307"/>
      <c r="B11" s="305"/>
      <c r="C11" s="306"/>
      <c r="D11" s="1" t="s">
        <v>63</v>
      </c>
      <c r="E11" s="1" t="str">
        <f>$C$9&amp;D11</f>
        <v>套内空间适中</v>
      </c>
      <c r="F11" s="293">
        <v>1</v>
      </c>
      <c r="G11" s="302"/>
      <c r="H11" s="303"/>
      <c r="I11" s="160" t="e">
        <f>J11*#REF!-J11</f>
        <v>#REF!</v>
      </c>
      <c r="K11" s="2">
        <v>2</v>
      </c>
      <c r="L11" s="299" t="s">
        <v>64</v>
      </c>
      <c r="M11" s="262">
        <f t="shared" si="0"/>
        <v>3224.2</v>
      </c>
    </row>
    <row r="12" customHeight="1" spans="1:15">
      <c r="A12" s="307"/>
      <c r="B12" s="305"/>
      <c r="C12" s="306"/>
      <c r="D12" s="1" t="s">
        <v>65</v>
      </c>
      <c r="E12" s="1" t="str">
        <f>$C$9&amp;D12</f>
        <v>套内空间较狭小</v>
      </c>
      <c r="F12" s="293">
        <v>0.95</v>
      </c>
      <c r="G12" s="302"/>
      <c r="H12" s="303"/>
      <c r="I12" s="160" t="e">
        <f>J12*#REF!-J12</f>
        <v>#REF!</v>
      </c>
    </row>
    <row r="13" customHeight="1" spans="1:15">
      <c r="A13" s="307"/>
      <c r="B13" s="305"/>
      <c r="C13" s="306"/>
      <c r="D13" s="1" t="s">
        <v>66</v>
      </c>
      <c r="E13" s="1" t="str">
        <f>$C$9&amp;D13</f>
        <v>套内空间很狭小</v>
      </c>
      <c r="F13" s="293">
        <v>0.9</v>
      </c>
      <c r="G13" s="302"/>
      <c r="H13" s="303"/>
      <c r="I13" s="160" t="e">
        <f>J13*#REF!-J13</f>
        <v>#REF!</v>
      </c>
    </row>
    <row r="14" s="276" customFormat="1" customHeight="1" spans="1:15">
      <c r="A14" s="307"/>
      <c r="B14" s="304">
        <v>3</v>
      </c>
      <c r="C14" s="306" t="s">
        <v>67</v>
      </c>
      <c r="D14" s="1" t="s">
        <v>51</v>
      </c>
      <c r="E14" s="1" t="str">
        <f>$C$14&amp;D14</f>
        <v>阳台有</v>
      </c>
      <c r="F14" s="293">
        <v>1.07</v>
      </c>
      <c r="G14" s="302"/>
      <c r="H14" s="303"/>
      <c r="I14" s="160" t="e">
        <f>J14*#REF!-J14</f>
        <v>#REF!</v>
      </c>
      <c r="K14" s="308"/>
    </row>
    <row r="15" s="276" customFormat="1" customHeight="1" spans="1:15">
      <c r="A15" s="307"/>
      <c r="B15" s="307"/>
      <c r="C15" s="306"/>
      <c r="D15" s="1" t="s">
        <v>54</v>
      </c>
      <c r="E15" s="1" t="str">
        <f>$C$14&amp;D15</f>
        <v>阳台无</v>
      </c>
      <c r="F15" s="293">
        <v>1</v>
      </c>
      <c r="G15" s="294"/>
      <c r="H15" s="295"/>
      <c r="I15" s="160"/>
      <c r="K15" s="308"/>
    </row>
    <row r="16" customHeight="1" spans="1:15">
      <c r="A16" s="307"/>
      <c r="B16" s="304">
        <v>4</v>
      </c>
      <c r="C16" s="306" t="s">
        <v>68</v>
      </c>
      <c r="D16" s="1" t="s">
        <v>54</v>
      </c>
      <c r="E16" s="1" t="str">
        <f>$C$16&amp;D16</f>
        <v>楼梯房楼层无</v>
      </c>
      <c r="F16" s="293">
        <v>1</v>
      </c>
      <c r="G16" s="302" t="s">
        <v>69</v>
      </c>
      <c r="H16" s="303"/>
      <c r="I16" s="160">
        <f>J16*F11-J16</f>
        <v>0</v>
      </c>
      <c r="J16">
        <v>1350</v>
      </c>
      <c r="K16" s="309" t="s">
        <v>70</v>
      </c>
      <c r="L16" s="310" t="s">
        <v>71</v>
      </c>
      <c r="M16" s="310" t="s">
        <v>72</v>
      </c>
      <c r="N16" s="310" t="s">
        <v>73</v>
      </c>
      <c r="O16" s="310" t="s">
        <v>74</v>
      </c>
    </row>
    <row r="17" customHeight="1" spans="1:15">
      <c r="A17" s="307"/>
      <c r="B17" s="307"/>
      <c r="C17" s="306"/>
      <c r="D17" s="1" t="s">
        <v>75</v>
      </c>
      <c r="E17" s="1" t="str">
        <f>$C$16&amp;D17</f>
        <v>楼梯房楼层1F</v>
      </c>
      <c r="F17" s="293">
        <v>0.91</v>
      </c>
      <c r="G17" s="302"/>
      <c r="H17" s="303"/>
      <c r="I17" s="160">
        <f>J17*F12-J17</f>
        <v>-67.5</v>
      </c>
      <c r="J17">
        <v>1350</v>
      </c>
      <c r="K17" s="311" t="s">
        <v>58</v>
      </c>
      <c r="L17" s="312" t="s">
        <v>76</v>
      </c>
      <c r="M17" s="312" t="s">
        <v>77</v>
      </c>
      <c r="N17" s="312" t="s">
        <v>78</v>
      </c>
      <c r="O17" s="312" t="s">
        <v>79</v>
      </c>
    </row>
    <row r="18" customHeight="1" spans="1:15">
      <c r="A18" s="307"/>
      <c r="B18" s="307"/>
      <c r="C18" s="306"/>
      <c r="D18" s="1" t="s">
        <v>80</v>
      </c>
      <c r="E18" s="1" t="str">
        <f t="shared" ref="E18:E25" si="1">$C$16&amp;D18</f>
        <v>楼梯房楼层2F</v>
      </c>
      <c r="F18" s="293">
        <v>1.02</v>
      </c>
      <c r="G18" s="302"/>
      <c r="H18" s="303"/>
      <c r="I18" s="160">
        <f>J18*F13-J18</f>
        <v>-135</v>
      </c>
      <c r="J18">
        <v>1350</v>
      </c>
      <c r="K18" s="311" t="s">
        <v>61</v>
      </c>
      <c r="L18" s="312" t="s">
        <v>81</v>
      </c>
      <c r="M18" s="312" t="s">
        <v>82</v>
      </c>
      <c r="N18" s="312" t="s">
        <v>83</v>
      </c>
      <c r="O18" s="312" t="s">
        <v>84</v>
      </c>
    </row>
    <row r="19" customHeight="1" spans="1:15">
      <c r="A19" s="307"/>
      <c r="B19" s="307"/>
      <c r="C19" s="306"/>
      <c r="D19" s="1" t="s">
        <v>85</v>
      </c>
      <c r="E19" s="1" t="str">
        <f t="shared" si="1"/>
        <v>楼梯房楼层3F</v>
      </c>
      <c r="F19" s="293">
        <v>1.01</v>
      </c>
      <c r="G19" s="302"/>
      <c r="H19" s="303"/>
      <c r="I19" s="160" t="e">
        <f>J19*#REF!-J19</f>
        <v>#REF!</v>
      </c>
      <c r="J19">
        <v>1350</v>
      </c>
      <c r="K19" s="311" t="s">
        <v>63</v>
      </c>
      <c r="L19" s="312" t="s">
        <v>86</v>
      </c>
      <c r="M19" s="312" t="s">
        <v>87</v>
      </c>
      <c r="N19" s="312" t="s">
        <v>88</v>
      </c>
      <c r="O19" s="312" t="s">
        <v>89</v>
      </c>
    </row>
    <row r="20" customHeight="1" spans="1:15">
      <c r="A20" s="307"/>
      <c r="B20" s="307"/>
      <c r="C20" s="306"/>
      <c r="D20" s="1" t="s">
        <v>90</v>
      </c>
      <c r="E20" s="1" t="str">
        <f t="shared" si="1"/>
        <v>楼梯房楼层4F</v>
      </c>
      <c r="F20" s="293">
        <v>1</v>
      </c>
      <c r="G20" s="302"/>
      <c r="H20" s="303"/>
      <c r="I20" s="160" t="e">
        <f>J20*#REF!-J20</f>
        <v>#REF!</v>
      </c>
      <c r="J20">
        <v>1350</v>
      </c>
      <c r="K20" s="311" t="s">
        <v>65</v>
      </c>
      <c r="L20" s="312" t="s">
        <v>91</v>
      </c>
      <c r="M20" s="312" t="s">
        <v>92</v>
      </c>
      <c r="N20" s="312" t="s">
        <v>93</v>
      </c>
      <c r="O20" s="312" t="s">
        <v>94</v>
      </c>
    </row>
    <row r="21" customHeight="1" spans="1:15">
      <c r="A21" s="307"/>
      <c r="B21" s="307"/>
      <c r="C21" s="306"/>
      <c r="D21" s="1" t="s">
        <v>95</v>
      </c>
      <c r="E21" s="1" t="str">
        <f t="shared" si="1"/>
        <v>楼梯房楼层5F</v>
      </c>
      <c r="F21" s="293">
        <v>0.99</v>
      </c>
      <c r="G21" s="302"/>
      <c r="H21" s="303"/>
      <c r="I21" s="160" t="e">
        <f>J21*#REF!-J21</f>
        <v>#REF!</v>
      </c>
      <c r="J21">
        <v>1350</v>
      </c>
      <c r="K21" s="311" t="s">
        <v>66</v>
      </c>
      <c r="L21" s="312" t="s">
        <v>96</v>
      </c>
      <c r="M21" s="312" t="s">
        <v>97</v>
      </c>
      <c r="N21" s="312" t="s">
        <v>98</v>
      </c>
      <c r="O21" s="312" t="s">
        <v>99</v>
      </c>
    </row>
    <row r="22" customHeight="1" spans="1:15">
      <c r="A22" s="307"/>
      <c r="B22" s="307"/>
      <c r="C22" s="306"/>
      <c r="D22" s="1" t="s">
        <v>100</v>
      </c>
      <c r="E22" s="1" t="str">
        <f t="shared" si="1"/>
        <v>楼梯房楼层6F</v>
      </c>
      <c r="F22" s="293">
        <v>0.98</v>
      </c>
      <c r="G22" s="302"/>
      <c r="H22" s="303"/>
      <c r="I22" s="160" t="e">
        <f>J22*#REF!-J22</f>
        <v>#REF!</v>
      </c>
      <c r="J22">
        <v>1350</v>
      </c>
    </row>
    <row r="23" customHeight="1" spans="1:15">
      <c r="A23" s="307"/>
      <c r="B23" s="307"/>
      <c r="C23" s="306"/>
      <c r="D23" s="1" t="s">
        <v>101</v>
      </c>
      <c r="E23" s="1" t="str">
        <f t="shared" si="1"/>
        <v>楼梯房楼层7F</v>
      </c>
      <c r="F23" s="293">
        <v>0.96</v>
      </c>
      <c r="G23" s="302"/>
      <c r="H23" s="303"/>
      <c r="I23" s="160" t="e">
        <f>J23*#REF!-J23</f>
        <v>#REF!</v>
      </c>
      <c r="J23">
        <v>1350</v>
      </c>
    </row>
    <row r="24" customHeight="1" spans="1:15">
      <c r="A24" s="307"/>
      <c r="B24" s="307"/>
      <c r="C24" s="306"/>
      <c r="D24" s="1" t="s">
        <v>102</v>
      </c>
      <c r="E24" s="1" t="str">
        <f t="shared" si="1"/>
        <v>楼梯房楼层8F</v>
      </c>
      <c r="F24" s="293">
        <v>0.93</v>
      </c>
      <c r="G24" s="302"/>
      <c r="H24" s="303"/>
      <c r="I24" s="160">
        <f>J24*F14-J24</f>
        <v>94.5</v>
      </c>
      <c r="J24">
        <v>1350</v>
      </c>
    </row>
    <row r="25" customHeight="1" spans="1:15">
      <c r="A25" s="307"/>
      <c r="B25" s="313"/>
      <c r="C25" s="306"/>
      <c r="D25" s="1" t="s">
        <v>103</v>
      </c>
      <c r="E25" s="1" t="str">
        <f t="shared" si="1"/>
        <v>楼梯房楼层9F</v>
      </c>
      <c r="F25" s="293">
        <v>0.9</v>
      </c>
      <c r="G25" s="302"/>
      <c r="H25" s="303"/>
      <c r="I25" s="160">
        <f>J25*F15-J25</f>
        <v>0</v>
      </c>
      <c r="J25">
        <v>1350</v>
      </c>
    </row>
    <row r="26" customHeight="1" spans="1:15">
      <c r="A26" s="307"/>
      <c r="B26" s="304">
        <v>5</v>
      </c>
      <c r="C26" s="314" t="s">
        <v>104</v>
      </c>
      <c r="D26" s="1" t="s">
        <v>54</v>
      </c>
      <c r="E26" s="1" t="str">
        <f t="shared" ref="E26:E34" si="2">$C$26&amp;D26</f>
        <v>电梯房楼层无</v>
      </c>
      <c r="F26" s="293">
        <v>1</v>
      </c>
      <c r="G26" s="302"/>
      <c r="H26" s="303"/>
      <c r="I26" s="160" t="e">
        <f>J26*#REF!-J26</f>
        <v>#REF!</v>
      </c>
      <c r="J26">
        <v>1350</v>
      </c>
      <c r="K26" s="315"/>
    </row>
    <row r="27" customHeight="1" spans="1:15">
      <c r="A27" s="307"/>
      <c r="B27" s="307"/>
      <c r="C27" s="316"/>
      <c r="D27" s="1" t="s">
        <v>75</v>
      </c>
      <c r="E27" s="1" t="str">
        <f t="shared" si="2"/>
        <v>电梯房楼层1F</v>
      </c>
      <c r="F27" s="293">
        <v>0.87</v>
      </c>
      <c r="G27" s="302" t="s">
        <v>69</v>
      </c>
      <c r="H27" s="303"/>
    </row>
    <row r="28" customHeight="1" spans="1:15">
      <c r="A28" s="307"/>
      <c r="B28" s="307"/>
      <c r="C28" s="316"/>
      <c r="D28" s="1" t="s">
        <v>105</v>
      </c>
      <c r="E28" s="1" t="str">
        <f t="shared" si="2"/>
        <v>电梯房楼层2-3F</v>
      </c>
      <c r="F28" s="293">
        <v>0.99</v>
      </c>
      <c r="G28" s="302"/>
      <c r="H28" s="303"/>
      <c r="I28" s="160" t="e">
        <f>J28*#REF!-J28</f>
        <v>#REF!</v>
      </c>
    </row>
    <row r="29" customHeight="1" spans="1:15">
      <c r="A29" s="307"/>
      <c r="B29" s="307"/>
      <c r="C29" s="316"/>
      <c r="D29" s="1" t="s">
        <v>90</v>
      </c>
      <c r="E29" s="1" t="str">
        <f t="shared" si="2"/>
        <v>电梯房楼层4F</v>
      </c>
      <c r="F29" s="293">
        <v>1</v>
      </c>
      <c r="G29" s="302"/>
      <c r="H29" s="303"/>
      <c r="I29" s="160">
        <f t="shared" ref="I29" si="3">1325*F16-1325</f>
        <v>0</v>
      </c>
    </row>
    <row r="30" customHeight="1" spans="1:15">
      <c r="A30" s="307"/>
      <c r="B30" s="307"/>
      <c r="C30" s="316"/>
      <c r="D30" s="1" t="s">
        <v>106</v>
      </c>
      <c r="E30" s="1" t="str">
        <f t="shared" si="2"/>
        <v>电梯房楼层5-6F</v>
      </c>
      <c r="F30" s="293">
        <v>1.01</v>
      </c>
      <c r="G30" s="302"/>
      <c r="H30" s="303"/>
    </row>
    <row r="31" customHeight="1" spans="1:15">
      <c r="A31" s="307"/>
      <c r="B31" s="307"/>
      <c r="C31" s="316"/>
      <c r="D31" s="1" t="s">
        <v>107</v>
      </c>
      <c r="E31" s="1" t="str">
        <f t="shared" si="2"/>
        <v>电梯房楼层7-8F</v>
      </c>
      <c r="F31" s="293">
        <v>1.02</v>
      </c>
      <c r="G31" s="302"/>
      <c r="H31" s="303"/>
      <c r="I31" s="160">
        <f>1325*F18-1325</f>
        <v>26.5</v>
      </c>
    </row>
    <row r="32" customHeight="1" spans="1:15">
      <c r="A32" s="307"/>
      <c r="B32" s="307"/>
      <c r="C32" s="316"/>
      <c r="D32" s="1" t="s">
        <v>108</v>
      </c>
      <c r="E32" s="1" t="str">
        <f t="shared" si="2"/>
        <v>电梯房楼层9-10F</v>
      </c>
      <c r="F32" s="293">
        <v>1.03</v>
      </c>
      <c r="G32" s="302"/>
      <c r="H32" s="303"/>
      <c r="I32" s="160">
        <f>1325*F19-1325</f>
        <v>13.25</v>
      </c>
    </row>
    <row r="33" customHeight="1" spans="1:14">
      <c r="A33" s="307"/>
      <c r="B33" s="307"/>
      <c r="C33" s="316"/>
      <c r="D33" s="1" t="s">
        <v>109</v>
      </c>
      <c r="E33" s="1" t="str">
        <f t="shared" si="2"/>
        <v>电梯房楼层11-12F</v>
      </c>
      <c r="F33" s="293">
        <v>1.04</v>
      </c>
      <c r="G33" s="302"/>
      <c r="H33" s="303"/>
      <c r="I33" s="160">
        <f>1325*F20-1325</f>
        <v>0</v>
      </c>
    </row>
    <row r="34" customHeight="1" spans="1:14">
      <c r="A34" s="307"/>
      <c r="B34" s="313"/>
      <c r="C34" s="317"/>
      <c r="D34" s="1" t="s">
        <v>110</v>
      </c>
      <c r="E34" s="1" t="str">
        <f t="shared" si="2"/>
        <v>电梯房楼层13以上F</v>
      </c>
      <c r="F34" s="293">
        <v>1.05</v>
      </c>
      <c r="G34" s="302"/>
      <c r="H34" s="303"/>
      <c r="I34" s="160">
        <f>1325*F21-1325</f>
        <v>-13.25</v>
      </c>
    </row>
    <row r="35" customHeight="1" spans="1:14">
      <c r="A35" s="307"/>
      <c r="B35" s="307">
        <v>6</v>
      </c>
      <c r="C35" s="316" t="s">
        <v>111</v>
      </c>
      <c r="D35" s="1" t="s">
        <v>112</v>
      </c>
      <c r="E35" s="1" t="str">
        <f t="shared" ref="E35:E41" si="4">$C$35&amp;D35</f>
        <v>功能配置（开间）缺失</v>
      </c>
      <c r="F35" s="293">
        <v>0.93</v>
      </c>
      <c r="G35" s="302"/>
      <c r="H35" s="303"/>
    </row>
    <row r="36" customHeight="1" spans="1:14">
      <c r="A36" s="307"/>
      <c r="B36" s="307"/>
      <c r="C36" s="316"/>
      <c r="D36" s="1" t="s">
        <v>113</v>
      </c>
      <c r="E36" s="1" t="str">
        <f t="shared" si="4"/>
        <v>功能配置（开间）缺失（书桌）</v>
      </c>
      <c r="F36" s="293">
        <v>0.98</v>
      </c>
      <c r="G36" s="302"/>
      <c r="H36" s="303"/>
      <c r="I36" s="160">
        <f>1325*F22-1325</f>
        <v>-26.5</v>
      </c>
    </row>
    <row r="37" customHeight="1" spans="1:14">
      <c r="A37" s="307"/>
      <c r="B37" s="307"/>
      <c r="C37" s="316"/>
      <c r="D37" s="1" t="s">
        <v>114</v>
      </c>
      <c r="E37" s="1" t="str">
        <f t="shared" si="4"/>
        <v>功能配置（开间）缺失（操作台）</v>
      </c>
      <c r="F37" s="293">
        <v>0.96</v>
      </c>
      <c r="G37" s="302"/>
      <c r="H37" s="303"/>
      <c r="I37" s="160">
        <f>1325*F23-1325</f>
        <v>-53</v>
      </c>
    </row>
    <row r="38" customHeight="1" spans="1:14">
      <c r="A38" s="307"/>
      <c r="B38" s="307"/>
      <c r="C38" s="316"/>
      <c r="D38" s="1" t="s">
        <v>63</v>
      </c>
      <c r="E38" s="1" t="str">
        <f t="shared" si="4"/>
        <v>功能配置（开间）适中</v>
      </c>
      <c r="F38" s="293">
        <v>1</v>
      </c>
      <c r="G38" s="294"/>
      <c r="H38" s="295"/>
      <c r="I38" s="160">
        <f>1325*F24-1325</f>
        <v>-92.75</v>
      </c>
    </row>
    <row r="39" customHeight="1" spans="1:14">
      <c r="A39" s="307"/>
      <c r="B39" s="307"/>
      <c r="C39" s="316"/>
      <c r="D39" s="1" t="s">
        <v>115</v>
      </c>
      <c r="E39" s="1" t="str">
        <f t="shared" si="4"/>
        <v>功能配置（开间）充足（油烟机/双人沙发）</v>
      </c>
      <c r="F39" s="293">
        <v>1.04</v>
      </c>
      <c r="G39" s="294"/>
      <c r="H39" s="295"/>
      <c r="I39" s="160">
        <f>1325*F25-1325</f>
        <v>-132.5</v>
      </c>
    </row>
    <row r="40" customHeight="1" spans="1:14">
      <c r="A40" s="307"/>
      <c r="B40" s="307"/>
      <c r="C40" s="316"/>
      <c r="D40" s="1" t="s">
        <v>116</v>
      </c>
      <c r="E40" s="1" t="str">
        <f t="shared" si="4"/>
        <v>功能配置（开间）充足（单人沙发/餐桌）</v>
      </c>
      <c r="F40" s="293">
        <v>1.03</v>
      </c>
      <c r="G40" s="294"/>
      <c r="H40" s="295"/>
    </row>
    <row r="41" customHeight="1" spans="1:14">
      <c r="A41" s="307"/>
      <c r="B41" s="313"/>
      <c r="C41" s="317"/>
      <c r="D41" s="1" t="s">
        <v>117</v>
      </c>
      <c r="E41" s="1" t="str">
        <f t="shared" si="4"/>
        <v>功能配置（开间）非常充足</v>
      </c>
      <c r="F41" s="293">
        <v>1.06</v>
      </c>
      <c r="G41" s="294"/>
      <c r="H41" s="295"/>
      <c r="I41" s="160">
        <f>1325*F27-1325</f>
        <v>-172.25</v>
      </c>
    </row>
    <row r="42" customHeight="1" spans="1:14">
      <c r="A42" s="307"/>
      <c r="B42" s="307"/>
      <c r="C42" s="314" t="s">
        <v>118</v>
      </c>
      <c r="D42" s="1">
        <v>5</v>
      </c>
      <c r="E42" s="1" t="str">
        <f>$C$42&amp;D42</f>
        <v>采光5</v>
      </c>
      <c r="F42" s="293">
        <v>1.06</v>
      </c>
      <c r="G42" s="294" t="s">
        <v>119</v>
      </c>
      <c r="H42" s="318"/>
    </row>
    <row r="43" customHeight="1" spans="1:14">
      <c r="A43" s="307"/>
      <c r="B43" s="307"/>
      <c r="C43" s="316"/>
      <c r="D43" s="1">
        <v>4</v>
      </c>
      <c r="E43" s="1" t="str">
        <f>$C$42&amp;D43</f>
        <v>采光4</v>
      </c>
      <c r="F43" s="293">
        <v>1.03</v>
      </c>
      <c r="G43" s="294"/>
      <c r="H43" s="319"/>
    </row>
    <row r="44" customHeight="1" spans="1:14">
      <c r="A44" s="307"/>
      <c r="B44" s="307"/>
      <c r="C44" s="316"/>
      <c r="D44" s="1">
        <v>3</v>
      </c>
      <c r="E44" s="1" t="str">
        <f>$C$42&amp;D44</f>
        <v>采光3</v>
      </c>
      <c r="F44" s="293">
        <v>1</v>
      </c>
      <c r="G44" s="302"/>
      <c r="H44" s="318"/>
      <c r="I44" s="160">
        <f>1325*F31-1325</f>
        <v>26.5</v>
      </c>
    </row>
    <row r="45" customHeight="1" spans="1:14">
      <c r="A45" s="307"/>
      <c r="B45" s="307"/>
      <c r="C45" s="316"/>
      <c r="D45" s="1">
        <v>2</v>
      </c>
      <c r="E45" s="1" t="str">
        <f>$C$42&amp;D45</f>
        <v>采光2</v>
      </c>
      <c r="F45" s="293">
        <v>0.96</v>
      </c>
      <c r="G45" s="294"/>
      <c r="H45" s="319"/>
      <c r="I45" s="160">
        <f t="shared" ref="I45:I46" si="5">1325*F32-1325</f>
        <v>39.75</v>
      </c>
    </row>
    <row r="46" customHeight="1" spans="1:14">
      <c r="A46" s="307"/>
      <c r="B46" s="307"/>
      <c r="C46" s="317"/>
      <c r="D46" s="1">
        <v>1</v>
      </c>
      <c r="E46" s="1" t="str">
        <f>$C$42&amp;D46</f>
        <v>采光1</v>
      </c>
      <c r="F46" s="293">
        <v>0.91</v>
      </c>
      <c r="G46" s="302"/>
      <c r="H46" s="319"/>
      <c r="I46" s="160">
        <f t="shared" si="5"/>
        <v>53</v>
      </c>
      <c r="L46" s="277"/>
      <c r="M46" s="277"/>
      <c r="N46" s="277"/>
    </row>
    <row r="47" customHeight="1" spans="1:14">
      <c r="A47" s="307"/>
      <c r="B47" s="307">
        <v>8</v>
      </c>
      <c r="C47" s="320" t="s">
        <v>120</v>
      </c>
      <c r="D47" s="1" t="s">
        <v>112</v>
      </c>
      <c r="E47" s="321" t="str">
        <f t="shared" ref="E47:E53" si="6">$C$47&amp;D47</f>
        <v>功能配置（一居）缺失</v>
      </c>
      <c r="F47" s="293">
        <v>0.93</v>
      </c>
      <c r="G47" s="302"/>
      <c r="H47" s="319"/>
      <c r="L47" s="277"/>
      <c r="M47" s="277"/>
      <c r="N47" s="277"/>
    </row>
    <row r="48" customHeight="1" spans="1:14">
      <c r="A48" s="307"/>
      <c r="B48" s="307"/>
      <c r="C48" s="322"/>
      <c r="D48" s="321" t="s">
        <v>121</v>
      </c>
      <c r="E48" s="321" t="str">
        <f t="shared" si="6"/>
        <v>功能配置（一居）缺失（操作台/双人沙发）</v>
      </c>
      <c r="F48" s="293">
        <v>0.96</v>
      </c>
      <c r="G48" s="294"/>
      <c r="H48" s="321"/>
      <c r="K48" s="323" t="s">
        <v>122</v>
      </c>
      <c r="L48" s="324" t="s">
        <v>123</v>
      </c>
      <c r="M48" s="324" t="s">
        <v>73</v>
      </c>
      <c r="N48" s="325" t="s">
        <v>74</v>
      </c>
    </row>
    <row r="49" customHeight="1" spans="1:14">
      <c r="A49" s="307"/>
      <c r="B49" s="307"/>
      <c r="C49" s="322"/>
      <c r="D49" s="321" t="s">
        <v>124</v>
      </c>
      <c r="E49" s="321" t="str">
        <f t="shared" si="6"/>
        <v>功能配置（一居）缺失（餐桌）</v>
      </c>
      <c r="F49" s="293">
        <v>0.98</v>
      </c>
      <c r="G49" s="294"/>
      <c r="H49" s="321"/>
      <c r="I49" s="160">
        <f>J49*F36-J49</f>
        <v>-27</v>
      </c>
      <c r="J49">
        <v>1350</v>
      </c>
      <c r="K49" s="326" t="s">
        <v>112</v>
      </c>
      <c r="L49" s="327" t="s">
        <v>125</v>
      </c>
      <c r="M49" s="328" t="s">
        <v>126</v>
      </c>
      <c r="N49" s="329" t="s">
        <v>127</v>
      </c>
    </row>
    <row r="50" customHeight="1" spans="1:14">
      <c r="A50" s="307"/>
      <c r="B50" s="307"/>
      <c r="C50" s="322"/>
      <c r="D50" s="321" t="s">
        <v>63</v>
      </c>
      <c r="E50" s="321" t="str">
        <f t="shared" si="6"/>
        <v>功能配置（一居）适中</v>
      </c>
      <c r="F50" s="293">
        <v>1</v>
      </c>
      <c r="G50" s="294"/>
      <c r="H50" s="321"/>
      <c r="K50" s="326" t="s">
        <v>63</v>
      </c>
      <c r="L50" s="328" t="s">
        <v>128</v>
      </c>
      <c r="M50" s="328" t="s">
        <v>129</v>
      </c>
      <c r="N50" s="329" t="s">
        <v>130</v>
      </c>
    </row>
    <row r="51" customHeight="1" spans="1:14">
      <c r="A51" s="307"/>
      <c r="B51" s="307"/>
      <c r="C51" s="322"/>
      <c r="D51" s="321" t="s">
        <v>131</v>
      </c>
      <c r="E51" s="321" t="str">
        <f t="shared" si="6"/>
        <v>功能配置（一居）充配（书桌）</v>
      </c>
      <c r="F51" s="293">
        <v>1.02</v>
      </c>
      <c r="G51" s="294"/>
      <c r="H51" s="321"/>
      <c r="I51" s="160">
        <f>J51*F38-J51</f>
        <v>0</v>
      </c>
      <c r="J51">
        <v>1350</v>
      </c>
      <c r="K51" s="326" t="s">
        <v>132</v>
      </c>
      <c r="L51" s="330" t="s">
        <v>133</v>
      </c>
      <c r="M51" s="330" t="s">
        <v>134</v>
      </c>
      <c r="N51" s="331" t="s">
        <v>135</v>
      </c>
    </row>
    <row r="52" customHeight="1" spans="1:14">
      <c r="A52" s="307"/>
      <c r="B52" s="307"/>
      <c r="C52" s="322"/>
      <c r="D52" s="321" t="s">
        <v>136</v>
      </c>
      <c r="E52" s="321" t="str">
        <f t="shared" si="6"/>
        <v>功能配置（一居）充配（油烟机）</v>
      </c>
      <c r="F52" s="293">
        <v>1.04</v>
      </c>
      <c r="G52" s="294"/>
      <c r="H52" s="321"/>
      <c r="I52" s="160">
        <f>J52*F39-J52</f>
        <v>54</v>
      </c>
      <c r="J52">
        <v>1350</v>
      </c>
      <c r="K52" s="326" t="s">
        <v>117</v>
      </c>
      <c r="L52" s="330" t="s">
        <v>137</v>
      </c>
      <c r="M52" s="330" t="s">
        <v>138</v>
      </c>
      <c r="N52" s="331" t="s">
        <v>139</v>
      </c>
    </row>
    <row r="53" customHeight="1" spans="1:14">
      <c r="A53" s="307"/>
      <c r="B53" s="313"/>
      <c r="C53" s="332"/>
      <c r="D53" s="321" t="s">
        <v>140</v>
      </c>
      <c r="E53" s="321" t="str">
        <f t="shared" si="6"/>
        <v>功能配置（一居）非常充配</v>
      </c>
      <c r="F53" s="293">
        <v>1.06</v>
      </c>
      <c r="G53" s="294"/>
      <c r="H53" s="321"/>
    </row>
    <row r="54" customHeight="1" spans="1:14">
      <c r="A54" s="307"/>
      <c r="B54" s="305">
        <v>9</v>
      </c>
      <c r="C54" s="320" t="s">
        <v>141</v>
      </c>
      <c r="D54" s="1" t="s">
        <v>112</v>
      </c>
      <c r="E54" s="321" t="str">
        <f t="shared" ref="E54:E59" si="7">$C$54&amp;D54</f>
        <v>功能配置（二居）缺失</v>
      </c>
      <c r="F54" s="333">
        <v>0.93</v>
      </c>
      <c r="G54" s="294"/>
      <c r="H54" s="321"/>
    </row>
    <row r="55" customHeight="1" spans="1:14">
      <c r="A55" s="307"/>
      <c r="B55" s="305"/>
      <c r="C55" s="322"/>
      <c r="D55" s="321" t="s">
        <v>142</v>
      </c>
      <c r="E55" s="321" t="str">
        <f t="shared" si="7"/>
        <v>功能配置（二居）缺失（沙发/餐桌）</v>
      </c>
      <c r="F55" s="333">
        <v>0.96</v>
      </c>
      <c r="G55" s="294"/>
      <c r="H55" s="321"/>
    </row>
    <row r="56" customHeight="1" spans="1:14">
      <c r="A56" s="307"/>
      <c r="B56" s="305"/>
      <c r="C56" s="322"/>
      <c r="D56" s="321" t="s">
        <v>143</v>
      </c>
      <c r="E56" s="321" t="str">
        <f t="shared" si="7"/>
        <v>功能配置（二居）缺失（电视柜/操作台）</v>
      </c>
      <c r="F56" s="333">
        <v>0.98</v>
      </c>
      <c r="G56" s="294"/>
      <c r="H56" s="321"/>
    </row>
    <row r="57" customHeight="1" spans="1:14">
      <c r="A57" s="307"/>
      <c r="B57" s="305"/>
      <c r="C57" s="322"/>
      <c r="D57" s="321" t="s">
        <v>63</v>
      </c>
      <c r="E57" s="321" t="str">
        <f t="shared" si="7"/>
        <v>功能配置（二居）适中</v>
      </c>
      <c r="F57" s="333">
        <v>1</v>
      </c>
      <c r="G57" s="294"/>
      <c r="H57" s="321"/>
    </row>
    <row r="58" customHeight="1" spans="1:14">
      <c r="A58" s="307"/>
      <c r="B58" s="305"/>
      <c r="C58" s="322"/>
      <c r="D58" s="321" t="s">
        <v>144</v>
      </c>
      <c r="E58" s="321" t="str">
        <f t="shared" si="7"/>
        <v>功能配置（二居）充配（油烟机/冰箱）</v>
      </c>
      <c r="F58" s="333">
        <v>1.04</v>
      </c>
      <c r="G58" s="294"/>
      <c r="H58" s="321"/>
    </row>
    <row r="59" customHeight="1" spans="1:14">
      <c r="A59" s="307"/>
      <c r="B59" s="305"/>
      <c r="C59" s="332"/>
      <c r="D59" s="321" t="s">
        <v>140</v>
      </c>
      <c r="E59" s="321" t="str">
        <f t="shared" si="7"/>
        <v>功能配置（二居）非常充配</v>
      </c>
      <c r="F59" s="333">
        <v>1.06</v>
      </c>
      <c r="G59" s="294"/>
      <c r="H59" s="321"/>
    </row>
    <row r="60" customHeight="1" spans="1:14">
      <c r="A60" s="334"/>
      <c r="B60" s="99"/>
      <c r="C60" s="335" t="s">
        <v>145</v>
      </c>
      <c r="D60" s="336" t="s">
        <v>146</v>
      </c>
      <c r="E60" s="336"/>
      <c r="F60" s="337">
        <v>1</v>
      </c>
      <c r="G60" s="338"/>
      <c r="H60" s="338" t="s">
        <v>147</v>
      </c>
    </row>
    <row r="61" customHeight="1" spans="1:14">
      <c r="A61" s="334"/>
      <c r="B61" s="99"/>
      <c r="C61" s="335"/>
      <c r="D61" s="336" t="s">
        <v>148</v>
      </c>
      <c r="E61" s="336"/>
      <c r="F61" s="337">
        <v>0.975</v>
      </c>
      <c r="G61" s="338"/>
      <c r="H61" s="338" t="s">
        <v>147</v>
      </c>
      <c r="I61" s="160" t="e">
        <f>J61*#REF!-J61</f>
        <v>#REF!</v>
      </c>
      <c r="J61">
        <v>1350</v>
      </c>
    </row>
    <row r="62" customHeight="1" spans="1:14">
      <c r="A62" s="334"/>
      <c r="B62" s="99"/>
      <c r="C62" s="335"/>
      <c r="D62" s="336" t="s">
        <v>149</v>
      </c>
      <c r="E62" s="336"/>
      <c r="F62" s="337">
        <v>0.95</v>
      </c>
      <c r="G62" s="338"/>
      <c r="H62" s="338" t="s">
        <v>147</v>
      </c>
      <c r="I62" s="160">
        <f>J62*F42-J62</f>
        <v>81</v>
      </c>
      <c r="J62">
        <v>1350</v>
      </c>
    </row>
    <row r="63" customHeight="1" spans="1:14">
      <c r="A63" s="334"/>
      <c r="B63" s="99"/>
      <c r="C63" s="335"/>
      <c r="D63" s="336" t="s">
        <v>150</v>
      </c>
      <c r="E63" s="336"/>
      <c r="F63" s="337">
        <v>0.91</v>
      </c>
      <c r="G63" s="338"/>
      <c r="H63" s="338" t="s">
        <v>147</v>
      </c>
      <c r="I63" s="160">
        <f t="shared" ref="I63:I65" si="8">J63*F43-J63</f>
        <v>40.5</v>
      </c>
      <c r="J63">
        <v>1350</v>
      </c>
    </row>
    <row r="64" customHeight="1" spans="1:14">
      <c r="A64" s="334"/>
      <c r="B64" s="99"/>
      <c r="C64" s="335" t="s">
        <v>151</v>
      </c>
      <c r="D64" s="336" t="s">
        <v>152</v>
      </c>
      <c r="E64" s="336"/>
      <c r="F64" s="337">
        <v>1.045</v>
      </c>
      <c r="G64" s="338" t="s">
        <v>153</v>
      </c>
      <c r="H64" s="338" t="s">
        <v>147</v>
      </c>
      <c r="I64" s="160">
        <f t="shared" si="8"/>
        <v>0</v>
      </c>
      <c r="J64">
        <v>1350</v>
      </c>
    </row>
    <row r="65" customHeight="1" spans="1:14">
      <c r="A65" s="334"/>
      <c r="B65" s="99"/>
      <c r="C65" s="335"/>
      <c r="D65" s="336" t="s">
        <v>154</v>
      </c>
      <c r="E65" s="336"/>
      <c r="F65" s="337">
        <v>1.02</v>
      </c>
      <c r="G65" s="338" t="s">
        <v>155</v>
      </c>
      <c r="H65" s="338" t="s">
        <v>147</v>
      </c>
      <c r="I65" s="160">
        <f t="shared" si="8"/>
        <v>-54</v>
      </c>
      <c r="J65">
        <v>1350</v>
      </c>
      <c r="K65" s="339"/>
      <c r="L65" s="277"/>
      <c r="M65" s="277"/>
      <c r="N65" s="277"/>
    </row>
    <row r="66" customHeight="1" spans="1:14">
      <c r="A66" s="334"/>
      <c r="B66" s="99"/>
      <c r="C66" s="335"/>
      <c r="D66" s="336" t="s">
        <v>63</v>
      </c>
      <c r="E66" s="336"/>
      <c r="F66" s="337">
        <v>1</v>
      </c>
      <c r="G66" s="338" t="s">
        <v>156</v>
      </c>
      <c r="H66" s="338" t="s">
        <v>147</v>
      </c>
      <c r="K66" s="339"/>
      <c r="L66" s="277"/>
      <c r="M66" s="277"/>
      <c r="N66" s="277"/>
    </row>
    <row r="67" s="277" customFormat="1" customHeight="1" spans="1:14">
      <c r="A67" s="334"/>
      <c r="B67" s="99"/>
      <c r="C67" s="335"/>
      <c r="D67" s="336" t="s">
        <v>157</v>
      </c>
      <c r="E67" s="336"/>
      <c r="F67" s="337">
        <v>0.95</v>
      </c>
      <c r="G67" s="338" t="s">
        <v>158</v>
      </c>
      <c r="H67" s="338" t="s">
        <v>147</v>
      </c>
      <c r="I67" s="340">
        <f>J67*F48-J67</f>
        <v>-58</v>
      </c>
      <c r="J67" s="277">
        <v>1450</v>
      </c>
      <c r="K67" s="339"/>
    </row>
    <row r="68" s="277" customFormat="1" customHeight="1" spans="1:14">
      <c r="A68" s="334"/>
      <c r="B68" s="99"/>
      <c r="C68" s="335" t="s">
        <v>159</v>
      </c>
      <c r="D68" s="336" t="s">
        <v>54</v>
      </c>
      <c r="E68" s="336"/>
      <c r="F68" s="337">
        <v>1</v>
      </c>
      <c r="G68" s="341" t="s">
        <v>160</v>
      </c>
      <c r="H68" s="338" t="s">
        <v>147</v>
      </c>
      <c r="I68" s="340">
        <f>J68*F49-J68</f>
        <v>-29</v>
      </c>
      <c r="J68" s="277">
        <v>1450</v>
      </c>
      <c r="K68" s="339"/>
    </row>
    <row r="69" s="277" customFormat="1" customHeight="1" spans="1:14">
      <c r="A69" s="334"/>
      <c r="B69" s="99"/>
      <c r="C69" s="335"/>
      <c r="D69" s="336" t="s">
        <v>161</v>
      </c>
      <c r="E69" s="336"/>
      <c r="F69" s="337">
        <v>0.975</v>
      </c>
      <c r="G69" s="341"/>
      <c r="H69" s="338" t="s">
        <v>147</v>
      </c>
      <c r="I69" s="340">
        <f>J69*F50-J69</f>
        <v>0</v>
      </c>
      <c r="J69" s="277">
        <v>1450</v>
      </c>
      <c r="K69" s="339"/>
    </row>
    <row r="70" s="277" customFormat="1" customHeight="1" spans="1:14">
      <c r="A70" s="334"/>
      <c r="B70" s="99"/>
      <c r="C70" s="335"/>
      <c r="D70" s="336" t="s">
        <v>162</v>
      </c>
      <c r="E70" s="336"/>
      <c r="F70" s="337">
        <v>0.95</v>
      </c>
      <c r="G70" s="341"/>
      <c r="H70" s="338" t="s">
        <v>147</v>
      </c>
      <c r="I70" s="340"/>
      <c r="K70" s="339"/>
    </row>
    <row r="71" s="277" customFormat="1" customHeight="1" spans="1:14">
      <c r="A71" s="334"/>
      <c r="B71" s="99"/>
      <c r="C71" s="335"/>
      <c r="D71" s="336" t="s">
        <v>163</v>
      </c>
      <c r="E71" s="336"/>
      <c r="F71" s="337">
        <v>0.91</v>
      </c>
      <c r="G71" s="341"/>
      <c r="H71" s="338" t="s">
        <v>147</v>
      </c>
      <c r="I71" s="340"/>
      <c r="K71" s="2"/>
      <c r="L71"/>
      <c r="M71"/>
      <c r="N71"/>
    </row>
    <row r="72" s="277" customFormat="1" customHeight="1" spans="1:14">
      <c r="A72" s="334"/>
      <c r="B72" s="99"/>
      <c r="C72" s="335" t="s">
        <v>164</v>
      </c>
      <c r="D72" s="336" t="s">
        <v>54</v>
      </c>
      <c r="E72" s="336"/>
      <c r="F72" s="337">
        <v>1</v>
      </c>
      <c r="G72" s="341" t="s">
        <v>165</v>
      </c>
      <c r="H72" s="338" t="s">
        <v>147</v>
      </c>
      <c r="I72" s="340">
        <f>J72*F53-J72</f>
        <v>180</v>
      </c>
      <c r="J72" s="277">
        <v>3000</v>
      </c>
      <c r="K72" s="2"/>
      <c r="L72"/>
      <c r="M72"/>
      <c r="N72"/>
    </row>
    <row r="73" customHeight="1" spans="1:14">
      <c r="A73" s="334"/>
      <c r="B73" s="99"/>
      <c r="C73" s="335"/>
      <c r="D73" s="336" t="s">
        <v>161</v>
      </c>
      <c r="E73" s="336"/>
      <c r="F73" s="337">
        <v>0.975</v>
      </c>
      <c r="G73" s="341"/>
      <c r="H73" s="338" t="s">
        <v>147</v>
      </c>
    </row>
    <row r="74" customHeight="1" spans="1:14">
      <c r="A74" s="334"/>
      <c r="B74" s="99"/>
      <c r="C74" s="335"/>
      <c r="D74" s="336" t="s">
        <v>162</v>
      </c>
      <c r="E74" s="336"/>
      <c r="F74" s="337">
        <v>0.945</v>
      </c>
      <c r="G74" s="341"/>
      <c r="H74" s="338" t="s">
        <v>147</v>
      </c>
    </row>
    <row r="75" customHeight="1" spans="1:14">
      <c r="A75" s="334"/>
      <c r="B75" s="99"/>
      <c r="C75" s="335"/>
      <c r="D75" s="336" t="s">
        <v>163</v>
      </c>
      <c r="E75" s="336"/>
      <c r="F75" s="337">
        <v>0.9</v>
      </c>
      <c r="G75" s="341"/>
      <c r="H75" s="338" t="s">
        <v>147</v>
      </c>
    </row>
    <row r="81" customHeight="1" spans="9:9">
      <c r="I81" s="160">
        <f t="shared" ref="I81:I88" si="9">J81*F68-J81</f>
        <v>0</v>
      </c>
    </row>
    <row r="82" customHeight="1" spans="9:9">
      <c r="I82" s="160">
        <f t="shared" si="9"/>
        <v>0</v>
      </c>
    </row>
    <row r="83" customHeight="1" spans="9:9">
      <c r="I83" s="160">
        <f t="shared" si="9"/>
        <v>0</v>
      </c>
    </row>
    <row r="84" customHeight="1" spans="9:9">
      <c r="I84" s="160">
        <f t="shared" si="9"/>
        <v>0</v>
      </c>
    </row>
    <row r="85" customHeight="1" spans="9:9">
      <c r="I85" s="160">
        <f t="shared" si="9"/>
        <v>0</v>
      </c>
    </row>
    <row r="86" customHeight="1" spans="9:9">
      <c r="I86" s="160">
        <f t="shared" si="9"/>
        <v>0</v>
      </c>
    </row>
    <row r="87" customHeight="1" spans="9:9">
      <c r="I87" s="160">
        <f t="shared" si="9"/>
        <v>0</v>
      </c>
    </row>
    <row r="88" customHeight="1" spans="9:9">
      <c r="I88" s="160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88"/>
  <sheetViews>
    <sheetView workbookViewId="0">
      <selection activeCell="A2" sqref="A2"/>
    </sheetView>
  </sheetViews>
  <sheetFormatPr defaultColWidth="11" defaultRowHeight="14.1" outlineLevelCol="5"/>
  <cols>
    <col min="1" max="1" width="16" customWidth="1"/>
    <col min="2" max="3" width="8.75" customWidth="1"/>
  </cols>
  <sheetData>
    <row r="1" ht="16.25" spans="1:6">
      <c r="A1" s="265" t="s">
        <v>166</v>
      </c>
      <c r="B1" s="266" t="s">
        <v>40</v>
      </c>
      <c r="C1" s="266" t="s">
        <v>43</v>
      </c>
    </row>
    <row r="2" ht="16.25" spans="1:6">
      <c r="A2" s="267" t="s">
        <v>167</v>
      </c>
      <c r="B2" s="268">
        <v>2075.1</v>
      </c>
      <c r="C2" s="268">
        <v>2847.2</v>
      </c>
      <c r="E2" s="269"/>
      <c r="F2" s="269"/>
    </row>
    <row r="3" ht="16.25" spans="1:6">
      <c r="A3" s="267" t="s">
        <v>168</v>
      </c>
      <c r="B3" s="268">
        <v>2080.7</v>
      </c>
      <c r="C3" s="268">
        <v>2851.9</v>
      </c>
      <c r="E3" s="269"/>
      <c r="F3" s="269"/>
    </row>
    <row r="4" ht="16.25" spans="1:6">
      <c r="A4" s="267" t="s">
        <v>169</v>
      </c>
      <c r="B4" s="268">
        <v>2075.2</v>
      </c>
      <c r="C4" s="268">
        <v>2847.3</v>
      </c>
      <c r="E4" s="269"/>
      <c r="F4" s="269"/>
    </row>
    <row r="5" ht="16.3" spans="1:6">
      <c r="A5" s="270" t="s">
        <v>170</v>
      </c>
      <c r="B5" s="268">
        <v>2200.7</v>
      </c>
      <c r="C5" s="268">
        <v>2945.6</v>
      </c>
      <c r="E5" s="269"/>
      <c r="F5" s="269"/>
    </row>
    <row r="6" ht="16.25" spans="1:6">
      <c r="A6" s="267" t="s">
        <v>171</v>
      </c>
      <c r="B6" s="268">
        <v>1889.9</v>
      </c>
      <c r="C6" s="268">
        <v>2669.3</v>
      </c>
      <c r="E6" s="269"/>
      <c r="F6" s="269"/>
    </row>
    <row r="7" ht="16.25" spans="1:6">
      <c r="A7" s="267" t="s">
        <v>172</v>
      </c>
      <c r="B7" s="268">
        <v>1585.3</v>
      </c>
      <c r="C7" s="268">
        <v>2353.9</v>
      </c>
      <c r="E7" s="269"/>
      <c r="F7" s="269"/>
    </row>
    <row r="8" ht="16.25" spans="1:6">
      <c r="A8" s="267" t="s">
        <v>173</v>
      </c>
      <c r="B8" s="268">
        <v>1707.9</v>
      </c>
      <c r="C8" s="268">
        <v>2486.2</v>
      </c>
      <c r="E8" s="269"/>
      <c r="F8" s="269"/>
    </row>
    <row r="9" ht="16.25" spans="1:6">
      <c r="A9" s="267" t="s">
        <v>174</v>
      </c>
      <c r="B9" s="268">
        <v>1943.3</v>
      </c>
      <c r="C9" s="268">
        <v>2720.1</v>
      </c>
      <c r="E9" s="269"/>
      <c r="F9" s="269"/>
    </row>
    <row r="10" ht="16.25" spans="1:6">
      <c r="A10" s="267" t="s">
        <v>175</v>
      </c>
      <c r="B10" s="268">
        <v>1530.2</v>
      </c>
      <c r="C10" s="268">
        <v>2292.2</v>
      </c>
      <c r="E10" s="269"/>
      <c r="F10" s="269"/>
    </row>
    <row r="11" ht="16.25" spans="1:6">
      <c r="A11" s="267" t="s">
        <v>176</v>
      </c>
      <c r="B11" s="268">
        <v>1530.7</v>
      </c>
      <c r="C11" s="268">
        <v>2292.8</v>
      </c>
      <c r="E11" s="269"/>
      <c r="F11" s="269"/>
    </row>
    <row r="12" ht="16.25" spans="1:6">
      <c r="A12" s="267" t="s">
        <v>177</v>
      </c>
      <c r="B12" s="268">
        <v>1624.6</v>
      </c>
      <c r="C12" s="268">
        <v>2397.1</v>
      </c>
      <c r="E12" s="269"/>
      <c r="F12" s="269"/>
    </row>
    <row r="13" ht="16.25" spans="1:6">
      <c r="A13" s="267" t="s">
        <v>178</v>
      </c>
      <c r="B13" s="268">
        <v>1748.1</v>
      </c>
      <c r="C13" s="268">
        <v>2528</v>
      </c>
      <c r="E13" s="269"/>
      <c r="F13" s="269"/>
    </row>
    <row r="14" ht="16.25" spans="1:6">
      <c r="A14" s="267" t="s">
        <v>179</v>
      </c>
      <c r="B14" s="268">
        <v>1771.8</v>
      </c>
      <c r="C14" s="268">
        <v>2552.2</v>
      </c>
      <c r="E14" s="269"/>
      <c r="F14" s="269"/>
    </row>
    <row r="15" ht="16.25" spans="1:6">
      <c r="A15" s="267" t="s">
        <v>180</v>
      </c>
      <c r="B15" s="268">
        <v>2149.8</v>
      </c>
      <c r="C15" s="268">
        <v>2903.4</v>
      </c>
      <c r="E15" s="269"/>
      <c r="F15" s="269"/>
    </row>
    <row r="16" ht="16.25" spans="1:6">
      <c r="A16" s="267" t="s">
        <v>181</v>
      </c>
      <c r="B16" s="268">
        <v>2133.4</v>
      </c>
      <c r="C16" s="268">
        <v>2889.6</v>
      </c>
      <c r="E16" s="269"/>
      <c r="F16" s="269"/>
    </row>
    <row r="17" ht="16.25" spans="1:6">
      <c r="A17" s="267" t="s">
        <v>182</v>
      </c>
      <c r="B17" s="268">
        <v>2287.2</v>
      </c>
      <c r="C17" s="268">
        <v>3014.3</v>
      </c>
      <c r="E17" s="269"/>
      <c r="F17" s="269"/>
    </row>
    <row r="18" ht="16.25" spans="1:6">
      <c r="A18" s="267" t="s">
        <v>183</v>
      </c>
      <c r="B18" s="268">
        <v>2223.2</v>
      </c>
      <c r="C18" s="268">
        <v>2963.8</v>
      </c>
      <c r="E18" s="269"/>
      <c r="F18" s="269"/>
    </row>
    <row r="19" ht="16.25" spans="1:6">
      <c r="A19" s="267" t="s">
        <v>184</v>
      </c>
      <c r="B19" s="268">
        <v>1612.1</v>
      </c>
      <c r="C19" s="268">
        <v>2402.5</v>
      </c>
      <c r="E19" s="269"/>
      <c r="F19" s="269"/>
    </row>
    <row r="20" ht="16.25" spans="1:6">
      <c r="A20" s="267" t="s">
        <v>185</v>
      </c>
      <c r="B20" s="268">
        <v>1594.1</v>
      </c>
      <c r="C20" s="268">
        <v>2402.5</v>
      </c>
      <c r="E20" s="269"/>
      <c r="F20" s="269"/>
    </row>
    <row r="21" ht="16.25" spans="1:6">
      <c r="A21" s="267" t="s">
        <v>186</v>
      </c>
      <c r="B21" s="268">
        <v>1594.1</v>
      </c>
      <c r="C21" s="268">
        <v>2402.5</v>
      </c>
      <c r="E21" s="269"/>
      <c r="F21" s="269"/>
    </row>
    <row r="22" ht="16.25" spans="1:6">
      <c r="A22" s="267" t="s">
        <v>187</v>
      </c>
      <c r="B22" s="268">
        <v>2755.7</v>
      </c>
      <c r="C22" s="268">
        <v>3302.1</v>
      </c>
      <c r="E22" s="269"/>
      <c r="F22" s="269"/>
    </row>
    <row r="23" ht="16.25" spans="1:6">
      <c r="A23" s="267" t="s">
        <v>188</v>
      </c>
      <c r="B23" s="268">
        <v>1221.3</v>
      </c>
      <c r="C23" s="268">
        <v>1941.9</v>
      </c>
      <c r="E23" s="269"/>
      <c r="F23" s="269"/>
    </row>
    <row r="24" ht="16.25" spans="1:6">
      <c r="A24" s="267" t="s">
        <v>189</v>
      </c>
      <c r="B24" s="268">
        <v>1634.8</v>
      </c>
      <c r="C24" s="268">
        <v>2426.1</v>
      </c>
      <c r="E24" s="269"/>
      <c r="F24" s="269"/>
    </row>
    <row r="25" ht="16.25" spans="1:6">
      <c r="A25" s="267" t="s">
        <v>190</v>
      </c>
      <c r="B25" s="268">
        <v>1376.8</v>
      </c>
      <c r="C25" s="268">
        <v>2133.5</v>
      </c>
      <c r="E25" s="269"/>
      <c r="F25" s="269"/>
    </row>
    <row r="26" ht="16.25" spans="1:6">
      <c r="A26" s="271" t="s">
        <v>191</v>
      </c>
      <c r="B26" s="272">
        <v>974.7</v>
      </c>
      <c r="C26" s="272">
        <v>1610.2</v>
      </c>
      <c r="E26" s="269"/>
      <c r="F26" s="269"/>
    </row>
    <row r="27" ht="16.25" spans="1:6">
      <c r="A27" s="267" t="s">
        <v>192</v>
      </c>
      <c r="B27" s="268">
        <v>2522.7</v>
      </c>
      <c r="C27" s="268">
        <v>3173.7</v>
      </c>
      <c r="E27" s="269"/>
      <c r="F27" s="269"/>
    </row>
    <row r="28" ht="16.25" spans="1:6">
      <c r="A28" s="267" t="s">
        <v>193</v>
      </c>
      <c r="B28" s="268">
        <v>1176.7</v>
      </c>
      <c r="C28" s="268">
        <v>1750.7</v>
      </c>
      <c r="E28" s="269"/>
      <c r="F28" s="269"/>
    </row>
    <row r="29" ht="16.25" spans="1:6">
      <c r="A29" s="267" t="s">
        <v>194</v>
      </c>
      <c r="B29" s="268">
        <v>1450.9</v>
      </c>
      <c r="C29" s="268">
        <v>2202.1</v>
      </c>
      <c r="E29" s="269"/>
      <c r="F29" s="269"/>
    </row>
    <row r="30" ht="16.25" spans="1:6">
      <c r="A30" s="271" t="s">
        <v>195</v>
      </c>
      <c r="B30" s="273">
        <v>1530.5</v>
      </c>
      <c r="C30" s="273">
        <v>2292.6</v>
      </c>
      <c r="E30" s="269"/>
      <c r="F30" s="269"/>
    </row>
    <row r="31" ht="16.25" spans="1:6">
      <c r="A31" s="267" t="s">
        <v>196</v>
      </c>
      <c r="B31" s="268">
        <v>1789.4</v>
      </c>
      <c r="C31" s="268">
        <v>2576.7</v>
      </c>
      <c r="E31" s="269"/>
      <c r="F31" s="269"/>
    </row>
    <row r="32" ht="16.25" spans="1:6">
      <c r="A32" s="267" t="s">
        <v>197</v>
      </c>
      <c r="B32" s="268">
        <v>1345.7</v>
      </c>
      <c r="C32" s="268">
        <v>2077</v>
      </c>
      <c r="E32" s="269"/>
      <c r="F32" s="269"/>
    </row>
    <row r="33" ht="16.25" spans="1:6">
      <c r="A33" s="267" t="s">
        <v>198</v>
      </c>
      <c r="B33" s="268">
        <v>917.9</v>
      </c>
      <c r="C33" s="268">
        <v>1510.1</v>
      </c>
      <c r="E33" s="269"/>
      <c r="F33" s="269"/>
    </row>
    <row r="34" ht="16.25" spans="1:6">
      <c r="A34" s="267" t="s">
        <v>199</v>
      </c>
      <c r="B34" s="268">
        <v>1383.9</v>
      </c>
      <c r="C34" s="268">
        <v>2123.3</v>
      </c>
      <c r="E34" s="269"/>
      <c r="F34" s="269"/>
    </row>
    <row r="35" ht="16.25" spans="1:6">
      <c r="A35" s="267" t="s">
        <v>200</v>
      </c>
      <c r="B35" s="268">
        <v>1383.9</v>
      </c>
      <c r="C35" s="268">
        <v>2123.3</v>
      </c>
      <c r="E35" s="269"/>
      <c r="F35" s="269"/>
    </row>
    <row r="36" ht="16.25" spans="1:6">
      <c r="A36" s="267" t="s">
        <v>201</v>
      </c>
      <c r="B36" s="268">
        <v>1362.3</v>
      </c>
      <c r="C36" s="268">
        <v>2097.1</v>
      </c>
      <c r="E36" s="269"/>
      <c r="F36" s="269"/>
    </row>
    <row r="37" ht="16.25" spans="1:6">
      <c r="A37" s="267" t="s">
        <v>202</v>
      </c>
      <c r="B37" s="268">
        <v>1454.9</v>
      </c>
      <c r="C37" s="268">
        <v>2207.7</v>
      </c>
      <c r="E37" s="269"/>
      <c r="F37" s="269"/>
    </row>
    <row r="38" ht="16.25" spans="1:6">
      <c r="A38" s="267" t="s">
        <v>203</v>
      </c>
      <c r="B38" s="268">
        <v>1345.5</v>
      </c>
      <c r="C38" s="268">
        <v>2076.6</v>
      </c>
      <c r="E38" s="269"/>
      <c r="F38" s="269"/>
    </row>
    <row r="39" ht="16.25" spans="1:6">
      <c r="A39" s="267" t="s">
        <v>204</v>
      </c>
      <c r="B39" s="268">
        <v>1450.1</v>
      </c>
      <c r="C39" s="268">
        <v>2202.1</v>
      </c>
      <c r="E39" s="269"/>
      <c r="F39" s="269"/>
    </row>
    <row r="40" ht="16.25" spans="1:6">
      <c r="A40" s="267" t="s">
        <v>205</v>
      </c>
      <c r="B40" s="268">
        <v>1421.1</v>
      </c>
      <c r="C40" s="268">
        <v>2167.8</v>
      </c>
      <c r="E40" s="269"/>
      <c r="F40" s="269"/>
    </row>
    <row r="41" ht="16.25" spans="1:6">
      <c r="A41" s="267" t="s">
        <v>206</v>
      </c>
      <c r="B41" s="268">
        <v>2919.3</v>
      </c>
      <c r="C41" s="268">
        <v>3649.1</v>
      </c>
      <c r="E41" s="269"/>
      <c r="F41" s="269"/>
    </row>
    <row r="42" ht="16.25" spans="1:6">
      <c r="A42" s="267" t="s">
        <v>207</v>
      </c>
      <c r="B42" s="268">
        <v>2999.5</v>
      </c>
      <c r="C42" s="268">
        <v>3749.4</v>
      </c>
      <c r="E42" s="269"/>
      <c r="F42" s="269"/>
    </row>
    <row r="43" ht="16.25" spans="1:6">
      <c r="A43" s="267" t="s">
        <v>208</v>
      </c>
      <c r="B43" s="268">
        <v>3072.6</v>
      </c>
      <c r="C43" s="268">
        <v>3840.8</v>
      </c>
      <c r="E43" s="269"/>
      <c r="F43" s="269"/>
    </row>
    <row r="44" ht="16.25" spans="1:6">
      <c r="A44" s="267" t="s">
        <v>209</v>
      </c>
      <c r="B44" s="268">
        <v>2880.1</v>
      </c>
      <c r="C44" s="268">
        <v>3600.1</v>
      </c>
      <c r="E44" s="269"/>
      <c r="F44" s="269"/>
    </row>
    <row r="45" ht="16.25" spans="1:6">
      <c r="A45" s="267" t="s">
        <v>210</v>
      </c>
      <c r="B45" s="268">
        <v>3075.3</v>
      </c>
      <c r="C45" s="268">
        <v>3844.1</v>
      </c>
      <c r="E45" s="269"/>
      <c r="F45" s="269"/>
    </row>
    <row r="46" ht="16.25" spans="1:6">
      <c r="A46" s="267" t="s">
        <v>211</v>
      </c>
      <c r="B46" s="268">
        <v>2186.6</v>
      </c>
      <c r="C46" s="268">
        <v>2937.4</v>
      </c>
      <c r="E46" s="269"/>
      <c r="F46" s="269"/>
    </row>
    <row r="47" ht="16.25" spans="1:6">
      <c r="A47" s="267" t="s">
        <v>212</v>
      </c>
      <c r="B47" s="268">
        <v>1549.9</v>
      </c>
      <c r="C47" s="268">
        <v>2316.8</v>
      </c>
      <c r="E47" s="269"/>
      <c r="F47" s="269"/>
    </row>
    <row r="48" ht="16.25" spans="1:6">
      <c r="A48" s="267" t="s">
        <v>213</v>
      </c>
      <c r="B48" s="268">
        <v>1480.2</v>
      </c>
      <c r="C48" s="268">
        <v>2237.2</v>
      </c>
      <c r="E48" s="269"/>
      <c r="F48" s="269"/>
    </row>
    <row r="49" ht="16.25" spans="1:6">
      <c r="A49" s="267" t="s">
        <v>214</v>
      </c>
      <c r="B49" s="268">
        <v>1155.7</v>
      </c>
      <c r="C49" s="268">
        <v>1835.8</v>
      </c>
      <c r="E49" s="269"/>
      <c r="F49" s="269"/>
    </row>
    <row r="50" ht="16.25" spans="1:6">
      <c r="A50" s="267" t="s">
        <v>215</v>
      </c>
      <c r="B50" s="268">
        <v>1155.7</v>
      </c>
      <c r="C50" s="268">
        <v>1835.8</v>
      </c>
      <c r="E50" s="269"/>
      <c r="F50" s="269"/>
    </row>
    <row r="51" ht="16.25" spans="1:6">
      <c r="A51" s="267" t="s">
        <v>216</v>
      </c>
      <c r="B51" s="268">
        <v>2244</v>
      </c>
      <c r="C51" s="268">
        <v>2983.9</v>
      </c>
      <c r="E51" s="269"/>
      <c r="F51" s="269"/>
    </row>
    <row r="52" ht="16.25" spans="1:6">
      <c r="A52" s="267" t="s">
        <v>217</v>
      </c>
      <c r="B52" s="268">
        <v>2939</v>
      </c>
      <c r="C52" s="268">
        <v>3673.8</v>
      </c>
      <c r="E52" s="269"/>
      <c r="F52" s="269"/>
    </row>
    <row r="53" ht="16.25" spans="1:6">
      <c r="A53" s="267" t="s">
        <v>218</v>
      </c>
      <c r="B53" s="268">
        <v>2907.6</v>
      </c>
      <c r="C53" s="268">
        <v>3634.5</v>
      </c>
      <c r="E53" s="269"/>
      <c r="F53" s="269"/>
    </row>
    <row r="54" ht="16.25" spans="1:6">
      <c r="A54" s="267" t="s">
        <v>219</v>
      </c>
      <c r="B54" s="268">
        <v>3014.8</v>
      </c>
      <c r="C54" s="268">
        <v>3768.5</v>
      </c>
      <c r="E54" s="269"/>
      <c r="F54" s="269"/>
    </row>
    <row r="55" ht="16.25" spans="1:6">
      <c r="A55" s="267" t="s">
        <v>220</v>
      </c>
      <c r="B55" s="268">
        <v>3010.6</v>
      </c>
      <c r="C55" s="268">
        <v>3763.3</v>
      </c>
      <c r="E55" s="269"/>
      <c r="F55" s="269"/>
    </row>
    <row r="56" ht="16.25" spans="1:6">
      <c r="A56" s="271" t="s">
        <v>221</v>
      </c>
      <c r="B56" s="272">
        <v>1408.4</v>
      </c>
      <c r="C56" s="268">
        <v>2152.7</v>
      </c>
      <c r="E56" s="269"/>
      <c r="F56" s="269"/>
    </row>
    <row r="57" ht="16.25" spans="1:6">
      <c r="A57" s="267" t="s">
        <v>222</v>
      </c>
      <c r="B57" s="268">
        <v>1514.9</v>
      </c>
      <c r="C57" s="268">
        <v>2277.1</v>
      </c>
      <c r="E57" s="269"/>
      <c r="F57" s="269"/>
    </row>
    <row r="58" ht="16.25" spans="1:6">
      <c r="A58" s="267" t="s">
        <v>223</v>
      </c>
      <c r="B58" s="274">
        <v>2573.3</v>
      </c>
      <c r="C58" s="268">
        <v>3220.2</v>
      </c>
      <c r="E58" s="269"/>
      <c r="F58" s="269"/>
    </row>
    <row r="59" ht="16.25" spans="1:6">
      <c r="A59" s="267" t="s">
        <v>224</v>
      </c>
      <c r="B59" s="268">
        <v>1391.9</v>
      </c>
      <c r="C59" s="268">
        <v>2132.9</v>
      </c>
      <c r="E59" s="269"/>
      <c r="F59" s="269"/>
    </row>
    <row r="60" ht="16.25" spans="1:6">
      <c r="A60" s="267" t="s">
        <v>225</v>
      </c>
      <c r="B60" s="268">
        <v>2829.1</v>
      </c>
      <c r="C60" s="268">
        <v>3536.3</v>
      </c>
      <c r="E60" s="269"/>
      <c r="F60" s="269"/>
    </row>
    <row r="61" ht="16.25" spans="1:6">
      <c r="A61" s="267" t="s">
        <v>226</v>
      </c>
      <c r="B61" s="268">
        <v>2783.5</v>
      </c>
      <c r="C61" s="268">
        <v>3479.3</v>
      </c>
      <c r="E61" s="269"/>
      <c r="F61" s="269"/>
    </row>
    <row r="62" ht="16.25" spans="1:6">
      <c r="A62" s="267" t="s">
        <v>227</v>
      </c>
      <c r="B62" s="268">
        <v>1318.6</v>
      </c>
      <c r="C62" s="268">
        <v>2043.6</v>
      </c>
      <c r="E62" s="269"/>
      <c r="F62" s="269"/>
    </row>
    <row r="63" ht="16.25" spans="1:6">
      <c r="A63" s="267" t="s">
        <v>228</v>
      </c>
      <c r="B63" s="268">
        <v>1701.1</v>
      </c>
      <c r="C63" s="268">
        <v>2479</v>
      </c>
      <c r="E63" s="269"/>
      <c r="F63" s="269"/>
    </row>
    <row r="64" ht="16.25" spans="1:6">
      <c r="A64" s="267" t="s">
        <v>229</v>
      </c>
      <c r="B64" s="268">
        <v>1521.6</v>
      </c>
      <c r="C64" s="268">
        <v>2282.4</v>
      </c>
      <c r="E64" s="269"/>
      <c r="F64" s="269"/>
    </row>
    <row r="65" ht="16.25" spans="1:6">
      <c r="A65" s="267" t="s">
        <v>230</v>
      </c>
      <c r="B65" s="268">
        <v>2109.5</v>
      </c>
      <c r="C65" s="268">
        <v>2869.3</v>
      </c>
      <c r="E65" s="269"/>
      <c r="F65" s="269"/>
    </row>
    <row r="66" ht="16.25" spans="1:6">
      <c r="A66" s="267" t="s">
        <v>231</v>
      </c>
      <c r="B66" s="268">
        <v>1866.4</v>
      </c>
      <c r="C66" s="268">
        <v>2646.5</v>
      </c>
      <c r="E66" s="269"/>
      <c r="F66" s="269"/>
    </row>
    <row r="67" ht="16.25" spans="1:6">
      <c r="A67" s="267" t="s">
        <v>232</v>
      </c>
      <c r="B67" s="268">
        <v>1485.7</v>
      </c>
      <c r="C67" s="268">
        <v>2243.5</v>
      </c>
      <c r="E67" s="269"/>
      <c r="F67" s="269"/>
    </row>
    <row r="68" ht="16.25" spans="1:6">
      <c r="A68" s="267" t="s">
        <v>233</v>
      </c>
      <c r="B68" s="268">
        <v>3181</v>
      </c>
      <c r="C68" s="268">
        <v>3976.3</v>
      </c>
      <c r="E68" s="269"/>
      <c r="F68" s="269"/>
    </row>
    <row r="69" ht="16.25" spans="1:6">
      <c r="A69" s="267" t="s">
        <v>234</v>
      </c>
      <c r="B69" s="268">
        <v>3181</v>
      </c>
      <c r="C69" s="268">
        <v>3976.3</v>
      </c>
      <c r="E69" s="269"/>
      <c r="F69" s="269"/>
    </row>
    <row r="70" ht="16.25" spans="1:6">
      <c r="A70" s="267" t="s">
        <v>235</v>
      </c>
      <c r="B70" s="268">
        <v>3181</v>
      </c>
      <c r="C70" s="268">
        <v>3976.3</v>
      </c>
      <c r="E70" s="269"/>
      <c r="F70" s="269"/>
    </row>
    <row r="71" ht="16.25" spans="1:6">
      <c r="A71" s="267" t="s">
        <v>236</v>
      </c>
      <c r="B71" s="268">
        <v>3181</v>
      </c>
      <c r="C71" s="268">
        <v>3976.3</v>
      </c>
      <c r="E71" s="269"/>
      <c r="F71" s="269"/>
    </row>
    <row r="72" ht="16.25" spans="1:6">
      <c r="A72" s="267" t="s">
        <v>237</v>
      </c>
      <c r="B72" s="268">
        <v>3181</v>
      </c>
      <c r="C72" s="268">
        <v>3976.3</v>
      </c>
      <c r="E72" s="269"/>
      <c r="F72" s="269"/>
    </row>
    <row r="73" ht="16.25" spans="1:6">
      <c r="A73" s="267" t="s">
        <v>238</v>
      </c>
      <c r="B73" s="268">
        <v>1340.5</v>
      </c>
      <c r="C73" s="268">
        <v>2070.6</v>
      </c>
      <c r="E73" s="269"/>
      <c r="F73" s="269"/>
    </row>
    <row r="74" ht="16.25" spans="1:6">
      <c r="A74" s="267" t="s">
        <v>239</v>
      </c>
      <c r="B74" s="268">
        <v>1469.6</v>
      </c>
      <c r="C74" s="268">
        <v>2224.8</v>
      </c>
      <c r="E74" s="269"/>
      <c r="F74" s="269"/>
    </row>
    <row r="75" ht="16.25" spans="1:6">
      <c r="A75" s="267" t="s">
        <v>240</v>
      </c>
      <c r="B75" s="268">
        <v>1398.1</v>
      </c>
      <c r="C75" s="268">
        <v>2140.3</v>
      </c>
      <c r="E75" s="269"/>
      <c r="F75" s="269"/>
    </row>
    <row r="76" ht="16.25" spans="1:6">
      <c r="A76" s="267" t="s">
        <v>241</v>
      </c>
      <c r="B76" s="268">
        <v>1398.1</v>
      </c>
      <c r="C76" s="268">
        <v>2140.3</v>
      </c>
      <c r="E76" s="269"/>
      <c r="F76" s="269"/>
    </row>
    <row r="77" ht="16.25" spans="1:6">
      <c r="A77" s="267" t="s">
        <v>242</v>
      </c>
      <c r="B77" s="268">
        <v>860.6</v>
      </c>
      <c r="C77" s="268">
        <v>1427.5</v>
      </c>
      <c r="E77" s="269"/>
      <c r="F77" s="269"/>
    </row>
    <row r="78" ht="16.25" spans="1:6">
      <c r="A78" s="267" t="s">
        <v>243</v>
      </c>
      <c r="B78" s="268">
        <v>2941.6</v>
      </c>
      <c r="C78" s="268">
        <v>3677.1</v>
      </c>
      <c r="E78" s="269"/>
      <c r="F78" s="269"/>
    </row>
    <row r="79" ht="16.25" spans="1:6">
      <c r="A79" s="267" t="s">
        <v>244</v>
      </c>
      <c r="B79" s="268">
        <v>2399.7</v>
      </c>
      <c r="C79" s="268">
        <v>3102</v>
      </c>
      <c r="E79" s="269"/>
      <c r="F79" s="269"/>
    </row>
    <row r="80" ht="16.25" spans="1:6">
      <c r="A80" s="4" t="s">
        <v>245</v>
      </c>
      <c r="B80" s="268">
        <v>2780.1</v>
      </c>
      <c r="C80" s="268">
        <v>3475.1</v>
      </c>
    </row>
    <row r="81" ht="16.25" spans="1:3">
      <c r="A81" s="4" t="s">
        <v>246</v>
      </c>
      <c r="B81" s="268">
        <v>3003.4</v>
      </c>
      <c r="C81" s="268">
        <v>3754.2</v>
      </c>
    </row>
    <row r="82" ht="16.25" spans="1:3">
      <c r="A82" s="4" t="s">
        <v>247</v>
      </c>
      <c r="B82" s="268">
        <v>2677.7</v>
      </c>
      <c r="C82" s="268">
        <v>3347.1</v>
      </c>
    </row>
    <row r="83" ht="16.25" spans="1:3">
      <c r="A83" s="4" t="s">
        <v>248</v>
      </c>
      <c r="B83" s="268">
        <v>2727.2</v>
      </c>
      <c r="C83" s="268">
        <v>3409</v>
      </c>
    </row>
    <row r="84" ht="16.25" spans="1:3">
      <c r="A84" s="4" t="s">
        <v>249</v>
      </c>
      <c r="B84" s="268">
        <v>2718.9</v>
      </c>
      <c r="C84" s="268">
        <v>3398.6</v>
      </c>
    </row>
    <row r="85" ht="16.25" spans="1:3">
      <c r="A85" s="4" t="s">
        <v>250</v>
      </c>
      <c r="B85" s="268">
        <v>2782.7</v>
      </c>
      <c r="C85" s="268">
        <v>3478.4</v>
      </c>
    </row>
    <row r="86" ht="16.25" spans="1:3">
      <c r="A86" s="4" t="s">
        <v>251</v>
      </c>
      <c r="B86" s="268">
        <v>2490.2</v>
      </c>
      <c r="C86" s="268">
        <v>3165.4</v>
      </c>
    </row>
    <row r="87" ht="16.25" spans="1:3">
      <c r="A87" s="4" t="s">
        <v>252</v>
      </c>
      <c r="B87" s="268">
        <v>2490.2</v>
      </c>
      <c r="C87" s="268">
        <v>3165.4</v>
      </c>
    </row>
    <row r="88" ht="16.25" spans="1:3">
      <c r="A88" s="4" t="s">
        <v>253</v>
      </c>
      <c r="B88" s="268">
        <v>2306.2</v>
      </c>
      <c r="C88" s="268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H39"/>
  <sheetViews>
    <sheetView workbookViewId="0">
      <selection activeCell="C5" sqref="C5"/>
    </sheetView>
  </sheetViews>
  <sheetFormatPr defaultColWidth="8.66666666666667" defaultRowHeight="14.1" outlineLevelCol="7"/>
  <cols>
    <col min="2" max="2" width="18.4166666666667" customWidth="1"/>
    <col min="3" max="5" width="19.75" customWidth="1"/>
    <col min="6" max="6" width="13.4166666666667" customWidth="1"/>
    <col min="8" max="8" width="10.5833333333333"/>
    <col min="9" max="9" width="12.6666666666667"/>
  </cols>
  <sheetData>
    <row r="3" ht="16.25" spans="2:8">
      <c r="B3" s="254"/>
      <c r="C3" s="255" t="s">
        <v>254</v>
      </c>
      <c r="D3" s="255"/>
      <c r="E3" s="256" t="s">
        <v>255</v>
      </c>
      <c r="F3" s="256"/>
      <c r="G3" s="99"/>
      <c r="H3" s="99"/>
    </row>
    <row r="4" ht="16.25" spans="2:8">
      <c r="B4" s="257" t="s">
        <v>166</v>
      </c>
      <c r="C4" s="258" t="s">
        <v>256</v>
      </c>
      <c r="D4" s="259" t="s">
        <v>257</v>
      </c>
      <c r="E4" s="260" t="s">
        <v>258</v>
      </c>
      <c r="F4" s="260" t="s">
        <v>259</v>
      </c>
      <c r="G4" s="261" t="s">
        <v>260</v>
      </c>
      <c r="H4" s="99"/>
    </row>
    <row r="5" ht="16.25" spans="2:8">
      <c r="B5" s="13" t="s">
        <v>187</v>
      </c>
      <c r="C5" s="262">
        <v>76.4885649998321</v>
      </c>
      <c r="D5" s="263">
        <v>84.3937277113488</v>
      </c>
      <c r="E5" s="262">
        <v>114.570529827272</v>
      </c>
      <c r="F5" s="256"/>
      <c r="G5" s="262">
        <v>893.31</v>
      </c>
      <c r="H5" s="262">
        <f>C5*G5</f>
        <v>68328</v>
      </c>
    </row>
    <row r="6" ht="16.25" spans="2:8">
      <c r="B6" s="13" t="s">
        <v>216</v>
      </c>
      <c r="C6" s="262">
        <v>62.2623439988709</v>
      </c>
      <c r="D6" s="263">
        <v>104.988888888889</v>
      </c>
      <c r="E6" s="262">
        <v>95.1228855420472</v>
      </c>
      <c r="F6" s="256"/>
      <c r="G6" s="262">
        <v>4959.9</v>
      </c>
      <c r="H6" s="262">
        <f t="shared" ref="H6:H39" si="0">C6*G6</f>
        <v>308815</v>
      </c>
    </row>
    <row r="7" ht="16.25" spans="2:8">
      <c r="B7" s="13" t="s">
        <v>183</v>
      </c>
      <c r="C7" s="262">
        <v>59.7621050102127</v>
      </c>
      <c r="D7" s="263">
        <v>79.9555555555556</v>
      </c>
      <c r="E7" s="262">
        <v>102.006488045176</v>
      </c>
      <c r="F7" s="256"/>
      <c r="G7" s="262">
        <v>832.3</v>
      </c>
      <c r="H7" s="262">
        <f t="shared" si="0"/>
        <v>49740</v>
      </c>
    </row>
    <row r="8" ht="16.25" spans="2:8">
      <c r="B8" s="13" t="s">
        <v>170</v>
      </c>
      <c r="C8" s="262">
        <v>58.7240334322711</v>
      </c>
      <c r="D8" s="263">
        <v>79.2</v>
      </c>
      <c r="E8" s="262">
        <v>91.1367632149686</v>
      </c>
      <c r="F8" s="256"/>
      <c r="G8" s="262">
        <v>10909.22</v>
      </c>
      <c r="H8" s="262">
        <f t="shared" si="0"/>
        <v>640633.4</v>
      </c>
    </row>
    <row r="9" spans="2:8">
      <c r="B9" s="13" t="s">
        <v>182</v>
      </c>
      <c r="C9" s="262">
        <v>60.2008360596147</v>
      </c>
      <c r="D9" s="262"/>
      <c r="E9" s="262">
        <v>109.891857506361</v>
      </c>
      <c r="F9" s="262"/>
      <c r="G9" s="262">
        <v>1100.4</v>
      </c>
      <c r="H9" s="262">
        <f t="shared" si="0"/>
        <v>66245</v>
      </c>
    </row>
    <row r="10" spans="2:8">
      <c r="B10" s="13" t="s">
        <v>261</v>
      </c>
      <c r="C10" s="262">
        <v>86.9969008264463</v>
      </c>
      <c r="D10" s="262"/>
      <c r="E10" s="262">
        <v>118.246900826446</v>
      </c>
      <c r="F10" s="262"/>
      <c r="G10" s="262">
        <v>968</v>
      </c>
      <c r="H10" s="262">
        <f t="shared" si="0"/>
        <v>84213</v>
      </c>
    </row>
    <row r="11" spans="2:8">
      <c r="B11" s="13" t="s">
        <v>262</v>
      </c>
      <c r="C11" s="262">
        <v>47.8292794860028</v>
      </c>
      <c r="D11" s="262"/>
      <c r="E11" s="262">
        <v>82.2900413033502</v>
      </c>
      <c r="F11" s="262"/>
      <c r="G11" s="262">
        <v>1089.5</v>
      </c>
      <c r="H11" s="262">
        <f t="shared" si="0"/>
        <v>52110</v>
      </c>
    </row>
    <row r="12" spans="2:8">
      <c r="B12" s="13" t="s">
        <v>263</v>
      </c>
      <c r="C12" s="262">
        <v>31.947912602419</v>
      </c>
      <c r="D12" s="262"/>
      <c r="E12" s="262">
        <v>60.0936402653141</v>
      </c>
      <c r="F12" s="262"/>
      <c r="G12" s="262">
        <v>1025.2</v>
      </c>
      <c r="H12" s="262">
        <f t="shared" si="0"/>
        <v>32753</v>
      </c>
    </row>
    <row r="13" spans="2:8">
      <c r="B13" s="13" t="s">
        <v>171</v>
      </c>
      <c r="C13" s="262">
        <v>59.7116014856893</v>
      </c>
      <c r="D13" s="262"/>
      <c r="E13" s="262">
        <v>91.0203189862355</v>
      </c>
      <c r="F13" s="262"/>
      <c r="G13" s="262">
        <v>915.4</v>
      </c>
      <c r="H13" s="262">
        <f t="shared" si="0"/>
        <v>54660</v>
      </c>
    </row>
    <row r="14" spans="2:8">
      <c r="B14" s="13" t="s">
        <v>191</v>
      </c>
      <c r="C14" s="262">
        <v>28.0623482692648</v>
      </c>
      <c r="D14" s="262"/>
      <c r="E14" s="262">
        <v>52.0370102413222</v>
      </c>
      <c r="F14" s="262"/>
      <c r="G14" s="262">
        <v>2487.96</v>
      </c>
      <c r="H14" s="262">
        <f t="shared" si="0"/>
        <v>69818</v>
      </c>
    </row>
    <row r="15" spans="2:8">
      <c r="B15" s="264" t="s">
        <v>184</v>
      </c>
      <c r="C15" s="262">
        <v>51.9406451105032</v>
      </c>
      <c r="D15" s="262"/>
      <c r="E15" s="262">
        <v>77.358156377305</v>
      </c>
      <c r="F15" s="262"/>
      <c r="G15" s="262">
        <v>2540.65</v>
      </c>
      <c r="H15" s="262">
        <f t="shared" si="0"/>
        <v>131963</v>
      </c>
    </row>
    <row r="16" spans="2:8">
      <c r="B16" s="13" t="s">
        <v>194</v>
      </c>
      <c r="C16" s="262">
        <v>46.0776229690945</v>
      </c>
      <c r="D16" s="262"/>
      <c r="E16" s="262">
        <v>73.4126998170371</v>
      </c>
      <c r="F16" s="262"/>
      <c r="G16" s="262">
        <v>2825.71</v>
      </c>
      <c r="H16" s="262">
        <f t="shared" si="0"/>
        <v>130202</v>
      </c>
    </row>
    <row r="17" spans="2:8">
      <c r="B17" s="13" t="s">
        <v>179</v>
      </c>
      <c r="C17" s="262">
        <v>44.8384666889856</v>
      </c>
      <c r="D17" s="262"/>
      <c r="E17" s="262">
        <v>79.8766878696574</v>
      </c>
      <c r="F17" s="262"/>
      <c r="G17" s="262">
        <v>3584.4</v>
      </c>
      <c r="H17" s="262">
        <f t="shared" si="0"/>
        <v>160719</v>
      </c>
    </row>
    <row r="18" spans="2:8">
      <c r="B18" s="13" t="s">
        <v>215</v>
      </c>
      <c r="C18" s="262">
        <v>38.9745082815735</v>
      </c>
      <c r="D18" s="262"/>
      <c r="E18" s="262">
        <v>64.7612577639752</v>
      </c>
      <c r="F18" s="262"/>
      <c r="G18" s="262">
        <v>1545.6</v>
      </c>
      <c r="H18" s="262">
        <f t="shared" si="0"/>
        <v>60239</v>
      </c>
    </row>
    <row r="19" spans="2:8">
      <c r="B19" s="13" t="s">
        <v>196</v>
      </c>
      <c r="C19" s="262">
        <v>53.2721044238379</v>
      </c>
      <c r="D19" s="262"/>
      <c r="E19" s="262">
        <v>83.7133069517453</v>
      </c>
      <c r="F19" s="262"/>
      <c r="G19" s="262">
        <v>338.62</v>
      </c>
      <c r="H19" s="262">
        <f t="shared" si="0"/>
        <v>18039</v>
      </c>
    </row>
    <row r="20" spans="2:8">
      <c r="B20" s="13" t="s">
        <v>188</v>
      </c>
      <c r="C20" s="262">
        <v>32.113960867266</v>
      </c>
      <c r="D20" s="262"/>
      <c r="E20" s="262">
        <v>63.0691433104178</v>
      </c>
      <c r="F20" s="262"/>
      <c r="G20" s="262">
        <v>1512.8</v>
      </c>
      <c r="H20" s="262">
        <f t="shared" si="0"/>
        <v>48582</v>
      </c>
    </row>
    <row r="21" spans="2:8">
      <c r="B21" s="13" t="s">
        <v>211</v>
      </c>
      <c r="C21" s="262">
        <v>63.0059948615472</v>
      </c>
      <c r="D21" s="262"/>
      <c r="E21" s="262">
        <v>90.23598820059</v>
      </c>
      <c r="F21" s="262"/>
      <c r="G21" s="262">
        <v>1050.9</v>
      </c>
      <c r="H21" s="262">
        <f t="shared" si="0"/>
        <v>66213</v>
      </c>
    </row>
    <row r="22" spans="2:8">
      <c r="B22" s="13" t="s">
        <v>190</v>
      </c>
      <c r="C22" s="262">
        <v>41.7996678266371</v>
      </c>
      <c r="D22" s="262"/>
      <c r="E22" s="262">
        <v>66.8933881683012</v>
      </c>
      <c r="F22" s="262"/>
      <c r="G22" s="262">
        <v>1264.4</v>
      </c>
      <c r="H22" s="262">
        <f t="shared" si="0"/>
        <v>52851.4999999999</v>
      </c>
    </row>
    <row r="23" spans="2:8">
      <c r="B23" s="13" t="s">
        <v>167</v>
      </c>
      <c r="C23" s="262">
        <v>62.4010444301712</v>
      </c>
      <c r="D23" s="262"/>
      <c r="E23" s="262">
        <v>94.9437292300818</v>
      </c>
      <c r="F23" s="262"/>
      <c r="G23" s="262">
        <v>17904.5</v>
      </c>
      <c r="H23" s="262">
        <f t="shared" si="0"/>
        <v>1117259.5</v>
      </c>
    </row>
    <row r="24" spans="2:8">
      <c r="B24" s="13" t="s">
        <v>264</v>
      </c>
      <c r="C24" s="262">
        <v>43.5750932835821</v>
      </c>
      <c r="D24" s="262"/>
      <c r="E24" s="262">
        <v>71.1753731343284</v>
      </c>
      <c r="F24" s="262"/>
      <c r="G24" s="262">
        <v>428.8</v>
      </c>
      <c r="H24" s="262">
        <f t="shared" si="0"/>
        <v>18685</v>
      </c>
    </row>
    <row r="25" spans="2:8">
      <c r="B25" s="13" t="s">
        <v>213</v>
      </c>
      <c r="C25" s="262">
        <v>43.6043360433604</v>
      </c>
      <c r="D25" s="262"/>
      <c r="E25" s="262">
        <v>71.0414246999613</v>
      </c>
      <c r="F25" s="262"/>
      <c r="G25" s="262">
        <v>516.6</v>
      </c>
      <c r="H25" s="262">
        <f t="shared" si="0"/>
        <v>22526</v>
      </c>
    </row>
    <row r="26" spans="2:8">
      <c r="B26" s="13" t="s">
        <v>212</v>
      </c>
      <c r="C26" s="262">
        <v>42.2454439901055</v>
      </c>
      <c r="D26" s="262"/>
      <c r="E26" s="262">
        <v>70.3526174970973</v>
      </c>
      <c r="F26" s="262"/>
      <c r="G26" s="262">
        <v>3961.8</v>
      </c>
      <c r="H26" s="262">
        <f t="shared" si="0"/>
        <v>167368</v>
      </c>
    </row>
    <row r="27" spans="2:8">
      <c r="B27" s="13" t="s">
        <v>195</v>
      </c>
      <c r="C27" s="262">
        <v>41.6918429003021</v>
      </c>
      <c r="D27" s="262"/>
      <c r="E27" s="262">
        <v>76.348726801899</v>
      </c>
      <c r="F27" s="262"/>
      <c r="G27" s="262">
        <v>463.4</v>
      </c>
      <c r="H27" s="262">
        <f t="shared" si="0"/>
        <v>19320</v>
      </c>
    </row>
    <row r="28" spans="2:8">
      <c r="B28" s="13" t="s">
        <v>206</v>
      </c>
      <c r="C28" s="262">
        <v>88.7350095918095</v>
      </c>
      <c r="D28" s="262"/>
      <c r="E28" s="262">
        <v>118.620420808584</v>
      </c>
      <c r="F28" s="262"/>
      <c r="G28" s="262">
        <v>974.79</v>
      </c>
      <c r="H28" s="262">
        <f t="shared" si="0"/>
        <v>86498</v>
      </c>
    </row>
    <row r="29" spans="2:8">
      <c r="B29" s="13" t="s">
        <v>210</v>
      </c>
      <c r="C29" s="262">
        <v>88.9981617647059</v>
      </c>
      <c r="D29" s="262"/>
      <c r="E29" s="262">
        <v>124.852941176471</v>
      </c>
      <c r="F29" s="262"/>
      <c r="G29" s="262">
        <v>544</v>
      </c>
      <c r="H29" s="262">
        <f t="shared" si="0"/>
        <v>48415</v>
      </c>
    </row>
    <row r="30" spans="2:8">
      <c r="B30" s="13" t="s">
        <v>209</v>
      </c>
      <c r="C30" s="262">
        <v>90.5917089878351</v>
      </c>
      <c r="D30" s="262"/>
      <c r="E30" s="262">
        <v>122.097555214362</v>
      </c>
      <c r="F30" s="262"/>
      <c r="G30" s="262">
        <v>846.7</v>
      </c>
      <c r="H30" s="262">
        <f t="shared" si="0"/>
        <v>76704</v>
      </c>
    </row>
    <row r="31" spans="2:8">
      <c r="B31" s="13" t="s">
        <v>176</v>
      </c>
      <c r="C31" s="262">
        <v>43.0648104077423</v>
      </c>
      <c r="D31" s="262"/>
      <c r="E31" s="262">
        <v>78.5974932571791</v>
      </c>
      <c r="F31" s="262"/>
      <c r="G31" s="262">
        <v>1260.6</v>
      </c>
      <c r="H31" s="262">
        <f t="shared" si="0"/>
        <v>54287.4999999999</v>
      </c>
    </row>
    <row r="32" spans="2:8">
      <c r="B32" s="13" t="s">
        <v>172</v>
      </c>
      <c r="C32" s="262">
        <v>42.8466128466128</v>
      </c>
      <c r="D32" s="262"/>
      <c r="E32" s="262">
        <v>76.4244764244764</v>
      </c>
      <c r="F32" s="262"/>
      <c r="G32" s="262">
        <v>854.7</v>
      </c>
      <c r="H32" s="262">
        <f t="shared" si="0"/>
        <v>36621</v>
      </c>
    </row>
    <row r="33" spans="2:8">
      <c r="B33" s="13" t="s">
        <v>193</v>
      </c>
      <c r="C33" s="262">
        <v>37.345793224153</v>
      </c>
      <c r="D33" s="262"/>
      <c r="E33" s="262">
        <v>62.4328041005126</v>
      </c>
      <c r="F33" s="262"/>
      <c r="G33" s="262">
        <v>3199.6</v>
      </c>
      <c r="H33" s="262">
        <f t="shared" si="0"/>
        <v>119491.6</v>
      </c>
    </row>
    <row r="34" spans="2:8">
      <c r="B34" s="13" t="s">
        <v>177</v>
      </c>
      <c r="C34" s="262">
        <v>44.097985685826</v>
      </c>
      <c r="D34" s="262"/>
      <c r="E34" s="262">
        <v>74.5960303991736</v>
      </c>
      <c r="F34" s="262"/>
      <c r="G34" s="262">
        <v>1355.3</v>
      </c>
      <c r="H34" s="262">
        <f t="shared" si="0"/>
        <v>59766</v>
      </c>
    </row>
    <row r="35" spans="2:8">
      <c r="B35" s="13" t="s">
        <v>185</v>
      </c>
      <c r="C35" s="262">
        <v>50.453727463081</v>
      </c>
      <c r="D35" s="262"/>
      <c r="E35" s="262">
        <v>78.2425418548256</v>
      </c>
      <c r="F35" s="262"/>
      <c r="G35" s="262">
        <v>6523.74</v>
      </c>
      <c r="H35" s="262">
        <f t="shared" ref="H35" si="1">C35*G35</f>
        <v>329147</v>
      </c>
    </row>
    <row r="36" spans="2:8">
      <c r="B36" s="264" t="s">
        <v>186</v>
      </c>
      <c r="C36" s="262">
        <v>50.453727463081</v>
      </c>
      <c r="D36" s="262"/>
      <c r="E36" s="262">
        <v>78.2425418548256</v>
      </c>
      <c r="F36" s="262"/>
      <c r="G36" s="262">
        <v>6523.74</v>
      </c>
      <c r="H36" s="262">
        <f t="shared" si="0"/>
        <v>329147</v>
      </c>
    </row>
    <row r="37" spans="2:8">
      <c r="B37" s="13" t="s">
        <v>208</v>
      </c>
      <c r="C37" s="262">
        <v>92.3106490783611</v>
      </c>
      <c r="D37" s="262"/>
      <c r="E37" s="262">
        <v>146.527474447453</v>
      </c>
      <c r="F37" s="262"/>
      <c r="G37" s="262">
        <v>1144.7</v>
      </c>
      <c r="H37" s="262">
        <f t="shared" si="0"/>
        <v>105668</v>
      </c>
    </row>
    <row r="38" spans="2:8">
      <c r="B38" s="13" t="s">
        <v>189</v>
      </c>
      <c r="C38" s="262">
        <v>50.5743096363407</v>
      </c>
      <c r="D38" s="262"/>
      <c r="E38" s="262">
        <v>81.7244716211099</v>
      </c>
      <c r="F38" s="262"/>
      <c r="G38" s="262">
        <v>1426.06</v>
      </c>
      <c r="H38" s="262">
        <f t="shared" si="0"/>
        <v>72122</v>
      </c>
    </row>
    <row r="39" spans="2:8">
      <c r="B39" s="264" t="s">
        <v>173</v>
      </c>
      <c r="C39" s="262">
        <v>43.5669707153145</v>
      </c>
      <c r="D39" s="262"/>
      <c r="E39" s="262">
        <v>86.4298287726036</v>
      </c>
      <c r="F39" s="262"/>
      <c r="G39" s="262">
        <v>624.9</v>
      </c>
      <c r="H39" s="262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7"/>
  <sheetViews>
    <sheetView showGridLines="0" zoomScale="71" zoomScaleNormal="71" workbookViewId="0">
      <selection activeCell="H41" sqref="H41"/>
    </sheetView>
  </sheetViews>
  <sheetFormatPr defaultColWidth="8.66666666666667" defaultRowHeight="14.1"/>
  <cols>
    <col min="1" max="1" width="6" customWidth="1"/>
    <col min="2" max="2" width="14.25" customWidth="1"/>
    <col min="3" max="3" width="12.0833333333333" style="2" customWidth="1"/>
    <col min="4" max="4" width="16.5833333333333" style="2" customWidth="1"/>
    <col min="5" max="5" width="29.1666666666667" style="2" customWidth="1"/>
    <col min="6" max="6" width="18.75" style="2" customWidth="1"/>
    <col min="7" max="7" width="14.25" style="2" customWidth="1"/>
    <col min="8" max="8" width="14.25" customWidth="1"/>
    <col min="9" max="11" width="9.91666666666667" customWidth="1"/>
    <col min="12" max="12" width="23.3333333333333" customWidth="1"/>
    <col min="13" max="13" width="14.25" customWidth="1"/>
    <col min="14" max="16" width="12.75" customWidth="1"/>
    <col min="17" max="17" width="12.75" hidden="1" customWidth="1"/>
  </cols>
  <sheetData>
    <row r="1" ht="17" spans="1:17">
      <c r="A1" s="37"/>
      <c r="B1" s="189"/>
      <c r="C1" s="190"/>
      <c r="D1" s="190"/>
      <c r="E1" s="190"/>
    </row>
    <row r="2" ht="24" customHeight="1" spans="1:17">
      <c r="A2" s="37"/>
      <c r="B2" s="191" t="s">
        <v>265</v>
      </c>
      <c r="C2" s="192" t="s">
        <v>266</v>
      </c>
      <c r="D2" s="193" t="s">
        <v>267</v>
      </c>
      <c r="E2" s="194" t="s">
        <v>268</v>
      </c>
      <c r="F2"/>
      <c r="G2"/>
    </row>
    <row r="3" ht="17" spans="1:17">
      <c r="A3" s="37"/>
      <c r="B3" s="195" t="s">
        <v>269</v>
      </c>
      <c r="C3" s="196" t="s">
        <v>270</v>
      </c>
      <c r="D3" s="197" t="s">
        <v>271</v>
      </c>
      <c r="E3" s="97" t="s">
        <v>272</v>
      </c>
      <c r="F3" s="192" t="s">
        <v>273</v>
      </c>
      <c r="G3" s="192" t="s">
        <v>274</v>
      </c>
      <c r="H3" s="194" t="s">
        <v>275</v>
      </c>
      <c r="I3" s="198" t="s">
        <v>276</v>
      </c>
      <c r="J3" s="192" t="s">
        <v>277</v>
      </c>
      <c r="K3" s="199" t="s">
        <v>278</v>
      </c>
      <c r="L3" s="200" t="s">
        <v>279</v>
      </c>
      <c r="M3" s="192" t="s">
        <v>280</v>
      </c>
      <c r="N3" s="194" t="s">
        <v>281</v>
      </c>
      <c r="O3" s="201" t="s">
        <v>282</v>
      </c>
      <c r="P3" s="201" t="s">
        <v>283</v>
      </c>
      <c r="Q3" s="201" t="s">
        <v>284</v>
      </c>
    </row>
    <row r="4" ht="17" spans="1:17">
      <c r="A4" s="37"/>
      <c r="B4" s="202"/>
      <c r="C4" s="203" t="s">
        <v>285</v>
      </c>
      <c r="D4" s="203" t="s">
        <v>286</v>
      </c>
      <c r="E4" s="204" t="str">
        <f t="array" ref="E4">_xlfn.TEXTJOIN("&amp;",TRUE,_xlfn._xlws.FILTER('【3-2】大区&amp;运营中心填-房间模型价'!K2:K10,'【3-2】大区&amp;运营中心填-房间模型价'!K2:K10&lt;&gt;""))</f>
        <v>开间&amp;一居室</v>
      </c>
      <c r="F4" s="204">
        <f t="array" ref="F4">INT(LOOKUP(2,1/(NOT(ISBLANK('【3-2】大区&amp;运营中心填-房间模型价'!H:H))),'【3-2】大区&amp;运营中心填-房间模型价'!H:H)/100)</f>
        <v>7</v>
      </c>
      <c r="G4" s="205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91.5</v>
      </c>
      <c r="H4" s="206">
        <f>'【3-2】大区&amp;运营中心填-房间模型价'!G2</f>
        <v>14</v>
      </c>
      <c r="I4" s="207">
        <f>AVERAGEIF('【3-2】大区&amp;运营中心填-房间模型价'!J:J,"开间",'【3-2】大区&amp;运营中心填-房间模型价'!AM:AM)</f>
        <v>1412.05128205128</v>
      </c>
      <c r="J4" s="205">
        <f>AVERAGEIF('【3-2】大区&amp;运营中心填-房间模型价'!J:J,"一居室",'【3-2】大区&amp;运营中心填-房间模型价'!AM:AM)</f>
        <v>1961.42857142857</v>
      </c>
      <c r="K4" s="208">
        <f>SUMIF('【3-2】大区&amp;运营中心填-房间模型价'!A:A,E2,'【3-2】大区&amp;运营中心填-房间模型价'!AM:AM)/G4</f>
        <v>1352.13114754098</v>
      </c>
      <c r="L4" s="209">
        <f>AVERAGEIF('【3-2】大区&amp;运营中心填-房间模型价'!J:J,"开间",'【3-2】大区&amp;运营中心填-房间模型价'!N:N)</f>
        <v>17.3497435897436</v>
      </c>
      <c r="M4" s="205">
        <f>AVERAGEIF('【3-2】大区&amp;运营中心填-房间模型价'!J:J,"一居室",'【3-2】大区&amp;运营中心填-房间模型价'!N:N)</f>
        <v>23.666</v>
      </c>
      <c r="N4" s="210">
        <v>389.82</v>
      </c>
      <c r="O4" s="210">
        <v>1989.14</v>
      </c>
      <c r="P4" s="211">
        <v>99418</v>
      </c>
      <c r="Q4" s="212" t="e">
        <f>VLOOKUP(C2,piovt_各村均价!B:G,6,0)</f>
        <v>#N/A</v>
      </c>
    </row>
    <row r="5" ht="14.85" spans="1:17">
      <c r="A5" s="37"/>
    </row>
    <row r="6" ht="14.85" spans="1:17">
      <c r="A6" s="37"/>
    </row>
    <row r="7" ht="23" customHeight="1" spans="1:17">
      <c r="A7" s="37"/>
      <c r="B7" s="213" t="s">
        <v>287</v>
      </c>
      <c r="C7" s="214"/>
      <c r="D7" s="214"/>
      <c r="E7" s="215"/>
    </row>
    <row r="8" ht="17" spans="1:17">
      <c r="A8" s="37"/>
      <c r="B8" s="216" t="s">
        <v>288</v>
      </c>
      <c r="C8" s="200" t="s">
        <v>289</v>
      </c>
      <c r="D8" s="192" t="s">
        <v>290</v>
      </c>
      <c r="E8" s="192" t="s">
        <v>291</v>
      </c>
      <c r="F8" s="192" t="s">
        <v>292</v>
      </c>
      <c r="G8" s="192" t="s">
        <v>293</v>
      </c>
      <c r="H8" s="192" t="s">
        <v>294</v>
      </c>
      <c r="I8" s="217" t="s">
        <v>295</v>
      </c>
    </row>
    <row r="9" ht="18" customHeight="1" spans="1:17">
      <c r="A9" s="37"/>
      <c r="B9" s="218"/>
      <c r="C9" s="219"/>
      <c r="D9" s="25">
        <f>P4/O4</f>
        <v>49.9803935369054</v>
      </c>
      <c r="E9" s="25">
        <f>(D9+18)/0.9</f>
        <v>75.5337705965616</v>
      </c>
      <c r="F9" s="25">
        <f>SUMIF('【3-2】大区&amp;运营中心填-房间模型价'!A:A,E2,'【3-2】大区&amp;运营中心填-房间模型价'!AM:AM)/O4</f>
        <v>62.1977336939582</v>
      </c>
      <c r="G9" s="181">
        <f>F9/D9</f>
        <v>1.24444265625943</v>
      </c>
      <c r="H9" s="181">
        <f>F9/E9</f>
        <v>0.823442722410438</v>
      </c>
      <c r="I9" s="220" t="str">
        <f>IF(H9&lt;1,"不通过","通过")</f>
        <v>不通过</v>
      </c>
    </row>
    <row r="10" ht="6" customHeight="1" spans="1:17">
      <c r="A10" s="37"/>
      <c r="B10" s="218"/>
      <c r="C10" s="219"/>
      <c r="D10" s="4"/>
      <c r="E10" s="4"/>
      <c r="F10" s="4"/>
      <c r="G10" s="4"/>
      <c r="H10" s="4"/>
      <c r="I10" s="221"/>
    </row>
    <row r="11" ht="16.25" spans="1:17">
      <c r="A11" s="37"/>
      <c r="B11" s="218"/>
      <c r="C11" s="219" t="s">
        <v>296</v>
      </c>
      <c r="D11" s="25" t="s">
        <v>297</v>
      </c>
      <c r="E11" s="25" t="s">
        <v>298</v>
      </c>
      <c r="F11" s="25" t="s">
        <v>299</v>
      </c>
      <c r="G11" s="4" t="s">
        <v>293</v>
      </c>
      <c r="H11" s="4" t="s">
        <v>294</v>
      </c>
      <c r="I11" s="220" t="s">
        <v>295</v>
      </c>
    </row>
    <row r="12" ht="21" customHeight="1" spans="1:17">
      <c r="A12" s="37"/>
      <c r="B12" s="222"/>
      <c r="C12" s="223"/>
      <c r="D12" s="205">
        <f>D9</f>
        <v>49.9803935369054</v>
      </c>
      <c r="E12" s="205">
        <f>(D12+18)/0.9</f>
        <v>75.5337705965616</v>
      </c>
      <c r="F12" s="205">
        <f>F9</f>
        <v>62.1977336939582</v>
      </c>
      <c r="G12" s="224">
        <f>F12/D12</f>
        <v>1.24444265625943</v>
      </c>
      <c r="H12" s="224">
        <f>F12/E12</f>
        <v>0.823442722410438</v>
      </c>
      <c r="I12" s="225" t="str">
        <f>IF(H12&lt;1.05,"不通过","通过")</f>
        <v>不通过</v>
      </c>
    </row>
    <row r="13" ht="13" customHeight="1" spans="1:17">
      <c r="A13" s="37"/>
      <c r="B13" s="226"/>
    </row>
    <row r="14" ht="12" customHeight="1" spans="1:17">
      <c r="A14" s="37"/>
      <c r="B14" s="227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</row>
    <row r="15" ht="14.85" spans="1:17">
      <c r="A15" s="37"/>
      <c r="B15" s="228" t="s">
        <v>300</v>
      </c>
      <c r="C15" s="229" t="s">
        <v>301</v>
      </c>
      <c r="D15" s="192" t="s">
        <v>302</v>
      </c>
      <c r="E15" s="192" t="s">
        <v>303</v>
      </c>
      <c r="F15" s="192"/>
      <c r="G15" s="192"/>
      <c r="H15" s="192"/>
      <c r="I15" s="192"/>
      <c r="J15" s="192" t="s">
        <v>304</v>
      </c>
      <c r="K15" s="192" t="s">
        <v>305</v>
      </c>
      <c r="L15" s="230" t="s">
        <v>306</v>
      </c>
      <c r="M15" s="217" t="s">
        <v>295</v>
      </c>
    </row>
    <row r="16" spans="1:17">
      <c r="A16" s="37"/>
      <c r="B16" s="231"/>
      <c r="C16" s="232"/>
      <c r="D16" s="4"/>
      <c r="E16" s="4"/>
      <c r="F16" s="4"/>
      <c r="G16" s="4"/>
      <c r="H16" s="4"/>
      <c r="I16" s="4"/>
      <c r="J16" s="4"/>
      <c r="K16" s="4"/>
      <c r="L16" s="233"/>
      <c r="M16" s="220"/>
    </row>
    <row r="17" ht="19" customHeight="1" spans="1:15">
      <c r="A17" s="37"/>
      <c r="B17" s="231"/>
      <c r="C17" s="232"/>
      <c r="D17" s="4"/>
      <c r="E17" s="4"/>
      <c r="F17" s="4"/>
      <c r="G17" s="4"/>
      <c r="H17" s="4"/>
      <c r="I17" s="4"/>
      <c r="J17" s="4"/>
      <c r="K17" s="4"/>
      <c r="L17" s="96"/>
      <c r="M17" s="234" t="e">
        <f>L17/J17</f>
        <v>#DIV/0!</v>
      </c>
    </row>
    <row r="18" ht="16.25" spans="1:15">
      <c r="A18" s="37"/>
      <c r="B18" s="231"/>
      <c r="C18" s="232"/>
      <c r="D18" s="4"/>
      <c r="E18" s="4"/>
      <c r="F18" s="4"/>
      <c r="G18" s="4"/>
      <c r="H18" s="4"/>
      <c r="I18" s="4"/>
      <c r="J18" s="4"/>
      <c r="K18" s="4"/>
      <c r="L18" s="96"/>
      <c r="M18" s="234" t="e">
        <f>L18/J18</f>
        <v>#DIV/0!</v>
      </c>
    </row>
    <row r="19" ht="17" spans="1:15">
      <c r="A19" s="37"/>
      <c r="B19" s="235"/>
      <c r="C19" s="236"/>
      <c r="D19" s="204"/>
      <c r="E19" s="204"/>
      <c r="F19" s="204"/>
      <c r="G19" s="204"/>
      <c r="H19" s="204"/>
      <c r="I19" s="204"/>
      <c r="J19" s="204"/>
      <c r="K19" s="204"/>
      <c r="L19" s="237"/>
      <c r="M19" s="238" t="e">
        <f>L19/J19</f>
        <v>#DIV/0!</v>
      </c>
    </row>
    <row r="20" ht="15.6" spans="1:15">
      <c r="B20" s="239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</row>
    <row r="21" ht="16.15" spans="1:15">
      <c r="B21" s="216" t="s">
        <v>307</v>
      </c>
      <c r="C21" s="200" t="s">
        <v>308</v>
      </c>
      <c r="D21" s="240" t="s">
        <v>309</v>
      </c>
      <c r="E21" s="240" t="s">
        <v>310</v>
      </c>
      <c r="F21" s="241" t="s">
        <v>295</v>
      </c>
      <c r="G21" s="217"/>
    </row>
    <row r="22" spans="1:15">
      <c r="B22" s="218"/>
      <c r="C22" s="219"/>
      <c r="D22" s="242">
        <f>MIN('【3-2】大区&amp;运营中心填-房间模型价'!AN:AN)</f>
        <v>-0.367664056515839</v>
      </c>
      <c r="E22" s="242">
        <f>MAX('【3-2】大区&amp;运营中心填-房间模型价'!AN:AN)</f>
        <v>-0.0331583424127184</v>
      </c>
      <c r="F22" s="13" t="str">
        <f>IF(OR(D22&lt;-10%,E22&gt;10%),"不通过","通过")</f>
        <v>不通过</v>
      </c>
      <c r="G22" s="243"/>
      <c r="I22" s="37"/>
    </row>
    <row r="23" ht="14.85" spans="1:15">
      <c r="B23" s="218"/>
      <c r="C23" s="223"/>
      <c r="D23" s="244"/>
      <c r="E23" s="244"/>
      <c r="F23" s="245"/>
      <c r="G23" s="246"/>
      <c r="I23" s="37"/>
    </row>
    <row r="24" ht="15.6" spans="1:15">
      <c r="B24" s="218"/>
      <c r="C24" s="247"/>
      <c r="D24" s="3"/>
      <c r="E24" s="3"/>
      <c r="F24" s="3"/>
      <c r="G24" s="248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218"/>
      <c r="C25" s="249" t="s">
        <v>311</v>
      </c>
      <c r="D25" s="240" t="s">
        <v>312</v>
      </c>
      <c r="E25" s="240" t="s">
        <v>313</v>
      </c>
      <c r="F25" s="241" t="s">
        <v>295</v>
      </c>
      <c r="G25" s="217"/>
      <c r="I25" s="37"/>
    </row>
    <row r="26" ht="34" customHeight="1" spans="1:15">
      <c r="B26" s="222"/>
      <c r="C26" s="250"/>
      <c r="D26" s="251">
        <f>AVERAGE('【3-2】大区&amp;运营中心填-房间模型价'!AL:AL)</f>
        <v>1872.36529700547</v>
      </c>
      <c r="E26" s="251">
        <f>AVERAGE('【3-2】大区&amp;运营中心填-房间模型价'!AM:AM)</f>
        <v>1671.89189189189</v>
      </c>
      <c r="F26" s="252">
        <f>E26/D26</f>
        <v>0.892930399087079</v>
      </c>
      <c r="G26" s="253"/>
      <c r="I26" s="37"/>
    </row>
    <row r="27" ht="14.8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J22"/>
  <sheetViews>
    <sheetView workbookViewId="0">
      <selection activeCell="A70" sqref="A70"/>
    </sheetView>
  </sheetViews>
  <sheetFormatPr defaultColWidth="8.41666666666667" defaultRowHeight="14.1"/>
  <cols>
    <col min="1" max="1" width="1.33333333333333" customWidth="1"/>
    <col min="2" max="2" width="12.4166666666667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166666666667" style="2" hidden="1" customWidth="1"/>
    <col min="11" max="11" width="12.0833333333333" customWidth="1"/>
  </cols>
  <sheetData>
    <row r="2" ht="16.25" spans="2:10">
      <c r="B2" s="4" t="s">
        <v>314</v>
      </c>
      <c r="C2" s="13" t="s">
        <v>315</v>
      </c>
      <c r="D2" s="2"/>
      <c r="E2" s="2"/>
      <c r="F2" s="2"/>
      <c r="G2" s="2"/>
      <c r="H2" s="2"/>
      <c r="I2" s="2"/>
    </row>
    <row r="3" spans="2:10">
      <c r="B3" s="4" t="s">
        <v>316</v>
      </c>
      <c r="C3" s="170" t="s">
        <v>271</v>
      </c>
      <c r="D3" s="171" t="s">
        <v>317</v>
      </c>
      <c r="E3" s="172" t="s">
        <v>272</v>
      </c>
      <c r="F3" s="2"/>
      <c r="G3" s="2"/>
      <c r="H3" s="2"/>
      <c r="I3" s="2"/>
    </row>
    <row r="4" ht="25.25" customHeight="1" spans="2:10">
      <c r="B4" s="4"/>
      <c r="C4" s="13" t="s">
        <v>54</v>
      </c>
      <c r="D4" s="173" t="s">
        <v>54</v>
      </c>
      <c r="E4" s="13" t="s">
        <v>318</v>
      </c>
      <c r="F4" s="2"/>
      <c r="G4" s="2"/>
      <c r="H4" s="2"/>
      <c r="I4" s="2"/>
    </row>
    <row r="5" ht="23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273</v>
      </c>
      <c r="C6" s="6" t="s">
        <v>274</v>
      </c>
      <c r="D6" s="6" t="s">
        <v>275</v>
      </c>
      <c r="E6" s="6" t="s">
        <v>276</v>
      </c>
      <c r="F6" s="6" t="s">
        <v>277</v>
      </c>
      <c r="G6" s="6" t="s">
        <v>278</v>
      </c>
      <c r="H6" s="6" t="s">
        <v>281</v>
      </c>
      <c r="I6" s="6" t="s">
        <v>282</v>
      </c>
      <c r="J6" s="174" t="s">
        <v>312</v>
      </c>
    </row>
    <row r="7" ht="24" customHeight="1" spans="2:10">
      <c r="B7" s="4">
        <v>5</v>
      </c>
      <c r="C7" s="25">
        <v>34</v>
      </c>
      <c r="D7" s="25">
        <v>7.5</v>
      </c>
      <c r="E7" s="25">
        <f>AVERAGEIF('【3-2】大区&amp;运营中心填-房间模型价'!J:J,"开间",'【3-2】大区&amp;运营中心填-房间模型价'!AM:AM)</f>
        <v>1412.05128205128</v>
      </c>
      <c r="F7" s="25">
        <f>AVERAGEIF('【3-2】大区&amp;运营中心填-房间模型价'!J:J,"一居室",'【3-2】大区&amp;运营中心填-房间模型价'!AM:AM)</f>
        <v>1961.42857142857</v>
      </c>
      <c r="G7" s="25">
        <v>1681.05882352941</v>
      </c>
      <c r="H7" s="175">
        <v>135.73</v>
      </c>
      <c r="I7" s="175">
        <v>662</v>
      </c>
      <c r="J7" s="25">
        <f>SUMIF('【3-2】大区&amp;运营中心填-房间模型价'!A:A,C2,'【3-2】大区&amp;运营中心填-房间模型价'!AL:AL)/C7</f>
        <v>0</v>
      </c>
    </row>
    <row r="8" ht="26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76" t="s">
        <v>319</v>
      </c>
      <c r="D9" s="176" t="s">
        <v>320</v>
      </c>
      <c r="E9" s="177" t="s">
        <v>321</v>
      </c>
      <c r="F9" s="178" t="s">
        <v>292</v>
      </c>
      <c r="G9" s="178" t="s">
        <v>293</v>
      </c>
      <c r="H9" s="178" t="s">
        <v>294</v>
      </c>
    </row>
    <row r="10" ht="29" customHeight="1" spans="2:10">
      <c r="B10" s="4" t="s">
        <v>322</v>
      </c>
      <c r="C10" s="179">
        <v>45</v>
      </c>
      <c r="D10" s="179">
        <v>55</v>
      </c>
      <c r="E10" s="180">
        <f>(C10+21)/0.96</f>
        <v>68.75</v>
      </c>
      <c r="F10" s="180">
        <f>SUMIF('【3-2】大区&amp;运营中心填-房间模型价'!A:A,C2,'【3-2】大区&amp;运营中心填-房间模型价'!AM:AM)/I7</f>
        <v>0</v>
      </c>
      <c r="G10" s="181">
        <f>F10/C10</f>
        <v>0</v>
      </c>
      <c r="H10" s="182">
        <f>F10/E10</f>
        <v>0</v>
      </c>
    </row>
    <row r="11" ht="18" customHeight="1" spans="2:10">
      <c r="B11" s="183" t="s">
        <v>30</v>
      </c>
      <c r="C11" s="183" t="s">
        <v>323</v>
      </c>
      <c r="D11" s="183"/>
    </row>
    <row r="12" ht="19.25" customHeight="1" spans="2:10">
      <c r="B12" s="184" t="s">
        <v>302</v>
      </c>
      <c r="C12" s="185" t="s">
        <v>324</v>
      </c>
      <c r="D12" s="186"/>
      <c r="E12" s="186"/>
      <c r="F12" s="187"/>
      <c r="G12" s="184" t="s">
        <v>325</v>
      </c>
      <c r="H12" s="4" t="s">
        <v>326</v>
      </c>
      <c r="I12" s="2"/>
      <c r="J12"/>
    </row>
    <row r="13" ht="21" customHeight="1" spans="2:10">
      <c r="B13" s="4" t="s">
        <v>327</v>
      </c>
      <c r="C13" s="4" t="s">
        <v>328</v>
      </c>
      <c r="D13" s="4" t="s">
        <v>329</v>
      </c>
      <c r="E13" s="4" t="s">
        <v>330</v>
      </c>
      <c r="F13" s="4" t="s">
        <v>331</v>
      </c>
      <c r="G13" s="4">
        <v>1533</v>
      </c>
      <c r="H13" s="181">
        <f>E7/G13</f>
        <v>0.921103249870373</v>
      </c>
      <c r="I13" s="2"/>
      <c r="J13"/>
    </row>
    <row r="14" ht="16.25" spans="2:10">
      <c r="B14" s="4" t="s">
        <v>327</v>
      </c>
      <c r="C14" s="4" t="s">
        <v>332</v>
      </c>
      <c r="D14" s="4" t="s">
        <v>329</v>
      </c>
      <c r="E14" s="4" t="s">
        <v>330</v>
      </c>
      <c r="F14" s="4" t="s">
        <v>331</v>
      </c>
      <c r="G14" s="4">
        <v>1619</v>
      </c>
      <c r="H14" s="181">
        <f>E7/G14</f>
        <v>0.87217497347207</v>
      </c>
      <c r="I14" s="2"/>
      <c r="J14"/>
    </row>
    <row r="15" ht="20" customHeight="1" spans="2:10">
      <c r="B15" s="188" t="s">
        <v>327</v>
      </c>
      <c r="C15" s="188" t="s">
        <v>333</v>
      </c>
      <c r="D15" s="188" t="s">
        <v>329</v>
      </c>
      <c r="E15" s="188" t="s">
        <v>330</v>
      </c>
      <c r="F15" s="188" t="s">
        <v>331</v>
      </c>
      <c r="G15" s="188">
        <v>2202</v>
      </c>
      <c r="H15" s="181">
        <f>F7/G15</f>
        <v>0.890748670040223</v>
      </c>
      <c r="I15" s="2"/>
      <c r="J15"/>
    </row>
    <row r="21" ht="16.25" spans="3:4">
      <c r="C21" s="94" t="s">
        <v>334</v>
      </c>
      <c r="D21" s="188" t="s">
        <v>335</v>
      </c>
    </row>
    <row r="22" ht="16.25" spans="3:4">
      <c r="C22" s="97"/>
      <c r="D22" s="188" t="s">
        <v>336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19"/>
  <sheetViews>
    <sheetView workbookViewId="0">
      <selection activeCell="A70" sqref="A70"/>
    </sheetView>
  </sheetViews>
  <sheetFormatPr defaultColWidth="9" defaultRowHeight="14.1"/>
  <cols>
    <col min="1" max="1" width="21.0833333333333" customWidth="1"/>
    <col min="2" max="2" width="9.66666666666667" customWidth="1"/>
    <col min="3" max="3" width="9" style="160" customWidth="1"/>
    <col min="4" max="4" width="8.41666666666667" customWidth="1"/>
    <col min="5" max="5" width="9" customWidth="1"/>
    <col min="6" max="9" width="7.66666666666667" customWidth="1"/>
    <col min="10" max="11" width="4.41666666666667" customWidth="1"/>
    <col min="12" max="12" width="7.33333333333333" customWidth="1"/>
    <col min="13" max="13" width="6.08333333333333" customWidth="1"/>
    <col min="14" max="15" width="7.66666666666667" customWidth="1"/>
    <col min="16" max="17" width="4.41666666666667" customWidth="1"/>
    <col min="18" max="18" width="7.66666666666667" customWidth="1"/>
    <col min="19" max="21" width="4.41666666666667" customWidth="1"/>
  </cols>
  <sheetData>
    <row r="1" s="159" customFormat="1" spans="1:21">
      <c r="A1" s="159" t="s">
        <v>302</v>
      </c>
      <c r="B1" s="159" t="s">
        <v>337</v>
      </c>
      <c r="C1" s="161" t="s">
        <v>338</v>
      </c>
    </row>
    <row r="2" spans="1:21">
      <c r="A2" t="s">
        <v>339</v>
      </c>
      <c r="B2" t="s">
        <v>340</v>
      </c>
      <c r="C2" s="162">
        <v>46.3</v>
      </c>
    </row>
    <row r="3" spans="1:21">
      <c r="A3" t="s">
        <v>341</v>
      </c>
      <c r="B3" t="s">
        <v>342</v>
      </c>
      <c r="C3" s="162">
        <v>18.9</v>
      </c>
    </row>
    <row r="4" spans="1:21">
      <c r="A4" t="s">
        <v>343</v>
      </c>
      <c r="B4" t="s">
        <v>344</v>
      </c>
      <c r="C4" s="160">
        <v>2500</v>
      </c>
    </row>
    <row r="5" spans="1:21">
      <c r="A5" t="s">
        <v>345</v>
      </c>
      <c r="B5" t="s">
        <v>346</v>
      </c>
      <c r="C5" s="160">
        <v>10</v>
      </c>
    </row>
    <row r="6" spans="1:21">
      <c r="A6" t="s">
        <v>347</v>
      </c>
      <c r="B6" t="s">
        <v>348</v>
      </c>
      <c r="C6" s="163">
        <v>0.98</v>
      </c>
    </row>
    <row r="7" spans="1:21">
      <c r="A7" t="s">
        <v>349</v>
      </c>
      <c r="B7" t="s">
        <v>350</v>
      </c>
      <c r="C7" s="160">
        <f>(C2*C3+C4*C3/C5/12)/C6</f>
        <v>1294.71428571429</v>
      </c>
    </row>
    <row r="8" spans="1:21">
      <c r="A8" t="s">
        <v>351</v>
      </c>
      <c r="B8" t="s">
        <v>348</v>
      </c>
      <c r="C8" s="163">
        <v>1</v>
      </c>
    </row>
    <row r="9" spans="1:21">
      <c r="A9" t="s">
        <v>352</v>
      </c>
      <c r="B9" t="s">
        <v>350</v>
      </c>
      <c r="C9" s="164"/>
    </row>
    <row r="10" spans="1:21">
      <c r="A10" t="s">
        <v>353</v>
      </c>
      <c r="B10" t="s">
        <v>348</v>
      </c>
      <c r="C10" s="160">
        <f>1-C8</f>
        <v>0</v>
      </c>
    </row>
    <row r="11" s="159" customFormat="1" spans="1:21">
      <c r="A11" s="159" t="s">
        <v>31</v>
      </c>
      <c r="B11" t="s">
        <v>350</v>
      </c>
      <c r="C11" s="161">
        <f>C7*C8+C9*C10</f>
        <v>1294.71428571429</v>
      </c>
    </row>
    <row r="12" ht="27.45" spans="1:21">
      <c r="C12" s="160" t="s">
        <v>37</v>
      </c>
      <c r="D12" t="s">
        <v>278</v>
      </c>
      <c r="F12" s="165" t="s">
        <v>354</v>
      </c>
      <c r="G12" s="166" t="s">
        <v>355</v>
      </c>
      <c r="H12" s="166" t="s">
        <v>145</v>
      </c>
      <c r="I12" s="166" t="s">
        <v>356</v>
      </c>
      <c r="J12" s="166" t="s">
        <v>357</v>
      </c>
      <c r="K12" s="166" t="s">
        <v>164</v>
      </c>
      <c r="L12" s="166" t="s">
        <v>358</v>
      </c>
      <c r="M12" s="166" t="s">
        <v>359</v>
      </c>
      <c r="N12" s="166" t="s">
        <v>360</v>
      </c>
      <c r="O12" s="166" t="s">
        <v>57</v>
      </c>
      <c r="P12" s="166" t="s">
        <v>361</v>
      </c>
      <c r="Q12" s="166" t="s">
        <v>67</v>
      </c>
      <c r="R12" s="166" t="s">
        <v>68</v>
      </c>
      <c r="S12" s="166" t="s">
        <v>362</v>
      </c>
      <c r="T12" s="166" t="s">
        <v>118</v>
      </c>
      <c r="U12" s="166" t="s">
        <v>151</v>
      </c>
    </row>
    <row r="13" spans="1:21">
      <c r="A13" s="110" t="s">
        <v>363</v>
      </c>
      <c r="B13" t="s">
        <v>364</v>
      </c>
      <c r="C13" s="160">
        <v>1325</v>
      </c>
      <c r="D13" s="167">
        <f>C13/1</f>
        <v>1325</v>
      </c>
      <c r="E13" s="168"/>
      <c r="F13" s="127" t="s">
        <v>27</v>
      </c>
      <c r="G13" s="125" t="s">
        <v>149</v>
      </c>
      <c r="H13" s="125" t="s">
        <v>146</v>
      </c>
      <c r="I13" s="125" t="s">
        <v>365</v>
      </c>
      <c r="J13" s="125" t="s">
        <v>54</v>
      </c>
      <c r="K13" s="125" t="s">
        <v>54</v>
      </c>
      <c r="L13" s="125" t="s">
        <v>54</v>
      </c>
      <c r="M13" s="125" t="s">
        <v>366</v>
      </c>
      <c r="N13" s="125" t="s">
        <v>63</v>
      </c>
      <c r="O13" s="125" t="s">
        <v>63</v>
      </c>
      <c r="P13" s="126" t="s">
        <v>63</v>
      </c>
      <c r="Q13" s="125" t="s">
        <v>54</v>
      </c>
      <c r="R13" s="125" t="s">
        <v>367</v>
      </c>
      <c r="S13" s="125" t="s">
        <v>63</v>
      </c>
      <c r="T13" s="125" t="s">
        <v>63</v>
      </c>
      <c r="U13" s="125" t="s">
        <v>63</v>
      </c>
    </row>
    <row r="14" spans="1:21">
      <c r="A14" s="110" t="s">
        <v>368</v>
      </c>
      <c r="B14" t="s">
        <v>364</v>
      </c>
      <c r="C14" s="160">
        <v>1200</v>
      </c>
      <c r="D14" s="167">
        <f t="shared" ref="D14" si="0">C14/1</f>
        <v>1200</v>
      </c>
      <c r="F14" s="169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</row>
    <row r="15" spans="1:21">
      <c r="A15" s="110" t="s">
        <v>369</v>
      </c>
      <c r="B15" t="s">
        <v>364</v>
      </c>
      <c r="C15" s="164">
        <v>1850</v>
      </c>
      <c r="D15" s="167">
        <f>C15/1.5</f>
        <v>1233.33333333333</v>
      </c>
    </row>
    <row r="16" spans="1:21">
      <c r="A16" s="110" t="s">
        <v>370</v>
      </c>
      <c r="B16" t="s">
        <v>364</v>
      </c>
      <c r="C16" s="164">
        <v>1650</v>
      </c>
      <c r="D16" s="167">
        <f>C16/1.5</f>
        <v>1100</v>
      </c>
      <c r="E16" s="168"/>
    </row>
    <row r="17" spans="1:4">
      <c r="A17" s="110" t="s">
        <v>371</v>
      </c>
      <c r="B17" t="s">
        <v>364</v>
      </c>
      <c r="D17" s="167">
        <f t="shared" ref="D17" si="1">C17/1.5</f>
        <v>0</v>
      </c>
    </row>
    <row r="18" spans="1:4">
      <c r="A18" s="110" t="s">
        <v>372</v>
      </c>
      <c r="B18" t="s">
        <v>364</v>
      </c>
      <c r="D18" s="167">
        <f>C18/2</f>
        <v>0</v>
      </c>
    </row>
    <row r="19" spans="1:4">
      <c r="A19" s="110" t="s">
        <v>373</v>
      </c>
      <c r="B19" t="s">
        <v>364</v>
      </c>
      <c r="D19" s="167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1666666666667" defaultRowHeight="12.4"/>
  <cols>
    <col min="1" max="1" width="11.6666666666667" style="112" customWidth="1"/>
    <col min="2" max="2" width="19" style="112" customWidth="1"/>
    <col min="3" max="3" width="19" style="113" customWidth="1"/>
    <col min="4" max="4" width="7.41666666666667" style="112" customWidth="1"/>
    <col min="5" max="5" width="7.41666666666667" style="114" customWidth="1"/>
    <col min="6" max="6" width="9.41666666666667" style="112" customWidth="1"/>
    <col min="7" max="7" width="7.66666666666667" style="112" customWidth="1"/>
    <col min="8" max="8" width="9" style="112" customWidth="1"/>
    <col min="9" max="10" width="6.33333333333333" style="112" customWidth="1"/>
    <col min="11" max="11" width="7.33333333333333" style="112" customWidth="1"/>
    <col min="12" max="12" width="6.33333333333333" style="112" customWidth="1"/>
    <col min="13" max="14" width="7.66666666666667" style="112" customWidth="1"/>
    <col min="15" max="15" width="7" style="112" customWidth="1"/>
    <col min="16" max="16" width="6.33333333333333" style="112" customWidth="1"/>
    <col min="17" max="17" width="7.66666666666667" style="112" customWidth="1"/>
    <col min="18" max="18" width="8.41666666666667" style="112" customWidth="1"/>
    <col min="19" max="19" width="7" style="112" customWidth="1"/>
    <col min="20" max="20" width="6.41666666666667" style="112" customWidth="1"/>
    <col min="21" max="22" width="8.41666666666667" style="112"/>
    <col min="23" max="23" width="13.0833333333333" style="112" customWidth="1"/>
    <col min="24" max="24" width="19.0833333333333" style="112" customWidth="1"/>
    <col min="25" max="25" width="12.0833333333333" style="112" customWidth="1"/>
    <col min="26" max="26" width="15.6666666666667" style="112" customWidth="1"/>
    <col min="27" max="16384" width="8.41666666666667" style="112"/>
  </cols>
  <sheetData>
    <row r="1" ht="15.75" spans="2:21">
      <c r="F1" s="115" t="s">
        <v>374</v>
      </c>
      <c r="G1" s="115"/>
      <c r="H1" s="115"/>
      <c r="I1" s="115"/>
      <c r="J1" s="115"/>
      <c r="K1" s="115"/>
      <c r="L1" s="115"/>
      <c r="M1" s="115"/>
      <c r="N1" s="115" t="s">
        <v>375</v>
      </c>
      <c r="O1" s="115"/>
      <c r="P1" s="115"/>
      <c r="Q1" s="115"/>
      <c r="R1" s="115"/>
      <c r="S1" s="115"/>
      <c r="T1" s="115"/>
    </row>
    <row r="2" ht="24.85" spans="2:21">
      <c r="B2" s="116"/>
      <c r="C2" s="117"/>
      <c r="D2" s="118"/>
      <c r="E2" s="119" t="e">
        <f>MEDIAN(E8:E54)</f>
        <v>#REF!</v>
      </c>
      <c r="F2" s="120" t="s">
        <v>355</v>
      </c>
      <c r="G2" s="120" t="s">
        <v>145</v>
      </c>
      <c r="H2" s="120" t="s">
        <v>356</v>
      </c>
      <c r="I2" s="120" t="s">
        <v>357</v>
      </c>
      <c r="J2" s="120" t="s">
        <v>164</v>
      </c>
      <c r="K2" s="120" t="s">
        <v>376</v>
      </c>
      <c r="L2" s="120" t="s">
        <v>359</v>
      </c>
      <c r="M2" s="120" t="s">
        <v>360</v>
      </c>
      <c r="N2" s="121" t="s">
        <v>57</v>
      </c>
      <c r="O2" s="121" t="s">
        <v>361</v>
      </c>
      <c r="P2" s="121" t="s">
        <v>67</v>
      </c>
      <c r="Q2" s="121" t="s">
        <v>68</v>
      </c>
      <c r="R2" s="121" t="s">
        <v>362</v>
      </c>
      <c r="S2" s="121" t="s">
        <v>118</v>
      </c>
      <c r="T2" s="121" t="s">
        <v>151</v>
      </c>
    </row>
    <row r="3" ht="12.45" spans="2:21">
      <c r="B3" s="122" t="s">
        <v>377</v>
      </c>
      <c r="C3" s="123"/>
      <c r="D3" s="122"/>
      <c r="E3" s="124"/>
      <c r="F3" s="125" t="s">
        <v>149</v>
      </c>
      <c r="G3" s="125" t="s">
        <v>146</v>
      </c>
      <c r="H3" s="125" t="s">
        <v>365</v>
      </c>
      <c r="I3" s="125" t="s">
        <v>54</v>
      </c>
      <c r="J3" s="125" t="s">
        <v>54</v>
      </c>
      <c r="K3" s="125" t="s">
        <v>54</v>
      </c>
      <c r="L3" s="125" t="s">
        <v>366</v>
      </c>
      <c r="M3" s="125" t="s">
        <v>63</v>
      </c>
      <c r="N3" s="125" t="s">
        <v>63</v>
      </c>
      <c r="O3" s="126" t="s">
        <v>63</v>
      </c>
      <c r="P3" s="125" t="s">
        <v>54</v>
      </c>
      <c r="Q3" s="125" t="s">
        <v>367</v>
      </c>
      <c r="R3" s="125" t="s">
        <v>63</v>
      </c>
      <c r="S3" s="125" t="s">
        <v>63</v>
      </c>
      <c r="T3" s="125" t="s">
        <v>63</v>
      </c>
    </row>
    <row r="4" ht="12.45" spans="2:21">
      <c r="B4" s="127" t="s">
        <v>378</v>
      </c>
      <c r="C4" s="128"/>
      <c r="D4" s="127"/>
      <c r="E4" s="129"/>
      <c r="F4" s="125" t="s">
        <v>148</v>
      </c>
      <c r="G4" s="125" t="s">
        <v>146</v>
      </c>
      <c r="H4" s="125" t="s">
        <v>365</v>
      </c>
      <c r="I4" s="125" t="s">
        <v>54</v>
      </c>
      <c r="J4" s="125" t="s">
        <v>54</v>
      </c>
      <c r="K4" s="125" t="s">
        <v>54</v>
      </c>
      <c r="L4" s="125" t="s">
        <v>366</v>
      </c>
      <c r="M4" s="125" t="s">
        <v>379</v>
      </c>
      <c r="N4" s="125" t="s">
        <v>380</v>
      </c>
      <c r="O4" s="125" t="s">
        <v>63</v>
      </c>
      <c r="P4" s="125" t="s">
        <v>161</v>
      </c>
      <c r="Q4" s="125" t="s">
        <v>367</v>
      </c>
      <c r="R4" s="125" t="s">
        <v>132</v>
      </c>
      <c r="S4" s="126" t="s">
        <v>152</v>
      </c>
      <c r="T4" s="125" t="s">
        <v>379</v>
      </c>
    </row>
    <row r="5" s="110" customFormat="1" ht="12.45" spans="2:21">
      <c r="B5" s="127" t="s">
        <v>381</v>
      </c>
      <c r="C5" s="128"/>
      <c r="D5" s="127"/>
      <c r="E5" s="129" t="s">
        <v>382</v>
      </c>
      <c r="F5" s="125" t="s">
        <v>149</v>
      </c>
      <c r="G5" s="125" t="s">
        <v>148</v>
      </c>
      <c r="H5" s="125" t="s">
        <v>383</v>
      </c>
      <c r="I5" s="125" t="s">
        <v>162</v>
      </c>
      <c r="J5" s="125" t="s">
        <v>162</v>
      </c>
      <c r="K5" s="125" t="s">
        <v>51</v>
      </c>
      <c r="L5" s="125" t="s">
        <v>384</v>
      </c>
      <c r="M5" s="125" t="s">
        <v>63</v>
      </c>
      <c r="N5" s="125" t="s">
        <v>63</v>
      </c>
      <c r="O5" s="126" t="s">
        <v>157</v>
      </c>
      <c r="P5" s="125" t="s">
        <v>54</v>
      </c>
      <c r="Q5" s="125" t="s">
        <v>385</v>
      </c>
      <c r="R5" s="125" t="s">
        <v>63</v>
      </c>
      <c r="S5" s="125" t="s">
        <v>63</v>
      </c>
      <c r="T5" s="125" t="s">
        <v>63</v>
      </c>
    </row>
    <row r="6" s="110" customFormat="1" spans="2:21">
      <c r="B6" s="130"/>
      <c r="C6" s="131"/>
      <c r="D6" s="130"/>
      <c r="E6" s="132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</row>
    <row r="7" s="110" customFormat="1" ht="12.45" spans="2:21">
      <c r="B7" s="130" t="s">
        <v>386</v>
      </c>
      <c r="C7" s="131" t="s">
        <v>387</v>
      </c>
      <c r="D7" s="134">
        <v>1419</v>
      </c>
      <c r="E7" s="132"/>
      <c r="F7" s="125" t="s">
        <v>149</v>
      </c>
      <c r="G7" s="125" t="s">
        <v>146</v>
      </c>
      <c r="H7" s="125" t="s">
        <v>365</v>
      </c>
      <c r="I7" s="125" t="s">
        <v>54</v>
      </c>
      <c r="J7" s="125" t="s">
        <v>54</v>
      </c>
      <c r="K7" s="125" t="s">
        <v>54</v>
      </c>
      <c r="L7" s="125" t="s">
        <v>366</v>
      </c>
      <c r="M7" s="125" t="s">
        <v>63</v>
      </c>
      <c r="N7" s="125" t="s">
        <v>380</v>
      </c>
      <c r="O7" s="126" t="s">
        <v>63</v>
      </c>
      <c r="P7" s="125" t="s">
        <v>54</v>
      </c>
      <c r="Q7" s="125" t="s">
        <v>367</v>
      </c>
      <c r="R7" s="125" t="s">
        <v>63</v>
      </c>
      <c r="S7" s="126" t="s">
        <v>388</v>
      </c>
      <c r="T7" s="125" t="s">
        <v>63</v>
      </c>
    </row>
    <row r="8" s="111" customFormat="1" ht="12.45" spans="2:21">
      <c r="B8" s="135"/>
      <c r="C8" s="131" t="s">
        <v>389</v>
      </c>
      <c r="D8" s="134" t="e">
        <f>项目基准价!C13*PRODUCT(赋权表!F8:T8)</f>
        <v>#REF!</v>
      </c>
      <c r="E8" s="132" t="e">
        <f>D7/D8-1</f>
        <v>#REF!</v>
      </c>
      <c r="F8" s="136" t="e">
        <f>【1】定价因子!#REF!</f>
        <v>#REF!</v>
      </c>
      <c r="G8" s="136">
        <f>【1】定价因子!F60</f>
        <v>1</v>
      </c>
      <c r="H8" s="136">
        <f>【1】定价因子!F6</f>
        <v>0.96</v>
      </c>
      <c r="I8" s="136">
        <f>【1】定价因子!F68</f>
        <v>1</v>
      </c>
      <c r="J8" s="136">
        <f>【1】定价因子!F72</f>
        <v>1</v>
      </c>
      <c r="K8" s="136">
        <f>【1】定价因子!F8</f>
        <v>1</v>
      </c>
      <c r="L8" s="136" t="e">
        <f>【1】定价因子!#REF!</f>
        <v>#REF!</v>
      </c>
      <c r="M8" s="136" t="e">
        <f>【1】定价因子!#REF!</f>
        <v>#REF!</v>
      </c>
      <c r="N8" s="136">
        <f>【1】定价因子!F10</f>
        <v>1.06</v>
      </c>
      <c r="O8" s="136" t="e">
        <f>【1】定价因子!#REF!</f>
        <v>#REF!</v>
      </c>
      <c r="P8" s="136" t="e">
        <f>【1】定价因子!#REF!</f>
        <v>#REF!</v>
      </c>
      <c r="Q8" s="136">
        <f>【1】定价因子!F20</f>
        <v>1</v>
      </c>
      <c r="R8" s="136">
        <f>【1】定价因子!F38</f>
        <v>1</v>
      </c>
      <c r="S8" s="136">
        <f>【1】定价因子!F44</f>
        <v>1</v>
      </c>
      <c r="T8" s="136">
        <f>【1】定价因子!F66</f>
        <v>1</v>
      </c>
    </row>
    <row r="9" s="110" customFormat="1" ht="12.45" spans="2:21">
      <c r="B9" s="130" t="s">
        <v>390</v>
      </c>
      <c r="C9" s="131" t="s">
        <v>387</v>
      </c>
      <c r="D9" s="134">
        <v>1469</v>
      </c>
      <c r="E9" s="132"/>
      <c r="F9" s="133" t="s">
        <v>150</v>
      </c>
      <c r="G9" s="125" t="s">
        <v>146</v>
      </c>
      <c r="H9" s="125" t="s">
        <v>383</v>
      </c>
      <c r="I9" s="125" t="s">
        <v>54</v>
      </c>
      <c r="J9" s="125" t="s">
        <v>54</v>
      </c>
      <c r="K9" s="125" t="s">
        <v>54</v>
      </c>
      <c r="L9" s="125" t="s">
        <v>366</v>
      </c>
      <c r="M9" s="125" t="s">
        <v>63</v>
      </c>
      <c r="N9" s="125" t="s">
        <v>380</v>
      </c>
      <c r="O9" s="126" t="s">
        <v>63</v>
      </c>
      <c r="P9" s="125" t="s">
        <v>54</v>
      </c>
      <c r="Q9" s="125" t="s">
        <v>391</v>
      </c>
      <c r="R9" s="125" t="s">
        <v>132</v>
      </c>
      <c r="S9" s="126" t="s">
        <v>392</v>
      </c>
      <c r="T9" s="126" t="s">
        <v>379</v>
      </c>
    </row>
    <row r="10" s="111" customFormat="1" ht="12.45" spans="2:21">
      <c r="B10" s="135"/>
      <c r="C10" s="131" t="s">
        <v>389</v>
      </c>
      <c r="D10" s="134" t="e">
        <f>项目基准价!C13*PRODUCT(赋权表!F10:T10)</f>
        <v>#REF!</v>
      </c>
      <c r="E10" s="132" t="e">
        <f>D9/D10-1</f>
        <v>#REF!</v>
      </c>
      <c r="F10" s="136" t="e">
        <f>【1】定价因子!#REF!</f>
        <v>#REF!</v>
      </c>
      <c r="G10" s="136">
        <f>【1】定价因子!F60</f>
        <v>1</v>
      </c>
      <c r="H10" s="136" t="e">
        <f>【1】定价因子!#REF!</f>
        <v>#REF!</v>
      </c>
      <c r="I10" s="136">
        <f>I8</f>
        <v>1</v>
      </c>
      <c r="J10" s="136">
        <f t="shared" ref="J10:P10" si="0">J8</f>
        <v>1</v>
      </c>
      <c r="K10" s="136">
        <f t="shared" si="0"/>
        <v>1</v>
      </c>
      <c r="L10" s="136" t="e">
        <f t="shared" si="0"/>
        <v>#REF!</v>
      </c>
      <c r="M10" s="136" t="e">
        <f t="shared" si="0"/>
        <v>#REF!</v>
      </c>
      <c r="N10" s="136">
        <f t="shared" si="0"/>
        <v>1.06</v>
      </c>
      <c r="O10" s="136" t="e">
        <f t="shared" si="0"/>
        <v>#REF!</v>
      </c>
      <c r="P10" s="136" t="e">
        <f t="shared" si="0"/>
        <v>#REF!</v>
      </c>
      <c r="Q10" s="136">
        <f>【1】定价因子!F19</f>
        <v>1.01</v>
      </c>
      <c r="R10" s="136">
        <f>【1】定价因子!F39</f>
        <v>1.04</v>
      </c>
      <c r="S10" s="136">
        <f>【1】定价因子!F42</f>
        <v>1.06</v>
      </c>
      <c r="T10" s="136">
        <f>【1】定价因子!F64</f>
        <v>1.045</v>
      </c>
    </row>
    <row r="11" s="111" customFormat="1" ht="14.1" spans="2:21">
      <c r="B11" s="135" t="s">
        <v>393</v>
      </c>
      <c r="C11" s="131" t="s">
        <v>387</v>
      </c>
      <c r="D11" s="134">
        <v>1470</v>
      </c>
      <c r="E11" s="132"/>
      <c r="F11" s="125" t="s">
        <v>149</v>
      </c>
      <c r="G11" s="125" t="s">
        <v>146</v>
      </c>
      <c r="H11" s="137" t="s">
        <v>394</v>
      </c>
      <c r="I11" s="125" t="s">
        <v>54</v>
      </c>
      <c r="J11" s="125" t="s">
        <v>54</v>
      </c>
      <c r="K11" s="137" t="s">
        <v>51</v>
      </c>
      <c r="L11" s="125" t="s">
        <v>384</v>
      </c>
      <c r="M11" s="125" t="s">
        <v>63</v>
      </c>
      <c r="N11" s="126" t="s">
        <v>63</v>
      </c>
      <c r="O11" s="126" t="s">
        <v>63</v>
      </c>
      <c r="P11" s="125" t="s">
        <v>161</v>
      </c>
      <c r="Q11" s="138" t="s">
        <v>395</v>
      </c>
      <c r="R11" s="125" t="s">
        <v>63</v>
      </c>
      <c r="S11" s="139" t="s">
        <v>392</v>
      </c>
      <c r="T11" s="140" t="s">
        <v>63</v>
      </c>
    </row>
    <row r="12" s="111" customFormat="1" ht="14.1" spans="2:21">
      <c r="B12" s="135"/>
      <c r="C12" s="131" t="s">
        <v>389</v>
      </c>
      <c r="D12" s="134" t="e">
        <f>项目基准价!$C$13*PRODUCT(赋权表!F12:T12)</f>
        <v>#REF!</v>
      </c>
      <c r="E12" s="132" t="e">
        <f>D11/D12-1</f>
        <v>#REF!</v>
      </c>
      <c r="F12" s="141" t="e">
        <f>F8</f>
        <v>#REF!</v>
      </c>
      <c r="G12" s="141">
        <f>G8</f>
        <v>1</v>
      </c>
      <c r="H12" s="142">
        <f>【1】定价因子!F2</f>
        <v>1.04</v>
      </c>
      <c r="I12" s="141">
        <f>I8</f>
        <v>1</v>
      </c>
      <c r="J12" s="141">
        <f>J8</f>
        <v>1</v>
      </c>
      <c r="K12" s="142">
        <f>【1】定价因子!F7</f>
        <v>1.05</v>
      </c>
      <c r="L12" s="133" t="e">
        <f>【1】定价因子!#REF!</f>
        <v>#REF!</v>
      </c>
      <c r="M12" s="141" t="e">
        <f>M8</f>
        <v>#REF!</v>
      </c>
      <c r="N12" s="141">
        <v>1</v>
      </c>
      <c r="O12" s="143" t="e">
        <f>O8</f>
        <v>#REF!</v>
      </c>
      <c r="P12" s="133" t="e">
        <f>【1】定价因子!#REF!</f>
        <v>#REF!</v>
      </c>
      <c r="Q12" s="136">
        <f>【1】定价因子!F32</f>
        <v>1.03</v>
      </c>
      <c r="R12" s="141">
        <f>R8</f>
        <v>1</v>
      </c>
      <c r="S12" s="142">
        <f>【1】定价因子!F42</f>
        <v>1.06</v>
      </c>
      <c r="T12" s="144">
        <f>T8</f>
        <v>1</v>
      </c>
    </row>
    <row r="13" s="110" customFormat="1" ht="12.45" spans="2:21">
      <c r="B13" s="130" t="s">
        <v>396</v>
      </c>
      <c r="C13" s="131" t="s">
        <v>387</v>
      </c>
      <c r="D13" s="134">
        <v>1509</v>
      </c>
      <c r="E13" s="132"/>
      <c r="F13" s="125" t="s">
        <v>149</v>
      </c>
      <c r="G13" s="125" t="s">
        <v>146</v>
      </c>
      <c r="H13" s="125" t="s">
        <v>365</v>
      </c>
      <c r="I13" s="125" t="s">
        <v>54</v>
      </c>
      <c r="J13" s="125" t="s">
        <v>54</v>
      </c>
      <c r="K13" s="125" t="s">
        <v>54</v>
      </c>
      <c r="L13" s="125" t="s">
        <v>384</v>
      </c>
      <c r="M13" s="125" t="s">
        <v>63</v>
      </c>
      <c r="N13" s="133" t="s">
        <v>58</v>
      </c>
      <c r="O13" s="126" t="s">
        <v>63</v>
      </c>
      <c r="P13" s="125" t="s">
        <v>54</v>
      </c>
      <c r="Q13" s="125" t="s">
        <v>367</v>
      </c>
      <c r="R13" s="125" t="s">
        <v>132</v>
      </c>
      <c r="S13" s="126" t="s">
        <v>392</v>
      </c>
      <c r="T13" s="125" t="s">
        <v>63</v>
      </c>
      <c r="U13" s="110">
        <f>70/1300</f>
        <v>0.0538461538461538</v>
      </c>
    </row>
    <row r="14" s="110" customFormat="1" ht="12.45" spans="2:21">
      <c r="B14" s="130"/>
      <c r="C14" s="131" t="s">
        <v>389</v>
      </c>
      <c r="D14" s="134" t="e">
        <f>项目基准价!$C$13*PRODUCT(赋权表!F14:T14)</f>
        <v>#REF!</v>
      </c>
      <c r="E14" s="132" t="e">
        <f>D13/D14-1</f>
        <v>#REF!</v>
      </c>
      <c r="F14" s="141" t="e">
        <f t="shared" ref="F14:K14" si="1">F8</f>
        <v>#REF!</v>
      </c>
      <c r="G14" s="141">
        <f t="shared" si="1"/>
        <v>1</v>
      </c>
      <c r="H14" s="141">
        <f t="shared" si="1"/>
        <v>0.96</v>
      </c>
      <c r="I14" s="141">
        <f t="shared" si="1"/>
        <v>1</v>
      </c>
      <c r="J14" s="141">
        <f t="shared" si="1"/>
        <v>1</v>
      </c>
      <c r="K14" s="141">
        <f t="shared" si="1"/>
        <v>1</v>
      </c>
      <c r="L14" s="133" t="e">
        <f>L12</f>
        <v>#REF!</v>
      </c>
      <c r="M14" s="141" t="e">
        <f>M8</f>
        <v>#REF!</v>
      </c>
      <c r="N14" s="133">
        <f>【1】定价因子!F9</f>
        <v>1.1</v>
      </c>
      <c r="O14" s="141" t="e">
        <f>O8</f>
        <v>#REF!</v>
      </c>
      <c r="P14" s="141" t="e">
        <f>P8</f>
        <v>#REF!</v>
      </c>
      <c r="Q14" s="141">
        <f>Q8</f>
        <v>1</v>
      </c>
      <c r="R14" s="141">
        <f>R10</f>
        <v>1.04</v>
      </c>
      <c r="S14" s="141">
        <f>S10</f>
        <v>1.06</v>
      </c>
      <c r="T14" s="141">
        <f>T8</f>
        <v>1</v>
      </c>
    </row>
    <row r="15" s="110" customFormat="1" ht="12.45" spans="2:21">
      <c r="B15" s="130" t="s">
        <v>397</v>
      </c>
      <c r="C15" s="131" t="s">
        <v>387</v>
      </c>
      <c r="D15" s="145">
        <v>1519</v>
      </c>
      <c r="E15" s="132"/>
      <c r="F15" s="125" t="s">
        <v>149</v>
      </c>
      <c r="G15" s="125" t="s">
        <v>146</v>
      </c>
      <c r="H15" s="125" t="s">
        <v>383</v>
      </c>
      <c r="I15" s="125" t="s">
        <v>54</v>
      </c>
      <c r="J15" s="125" t="s">
        <v>54</v>
      </c>
      <c r="K15" s="125" t="s">
        <v>54</v>
      </c>
      <c r="L15" s="125" t="s">
        <v>366</v>
      </c>
      <c r="M15" s="125" t="s">
        <v>63</v>
      </c>
      <c r="N15" s="125" t="s">
        <v>380</v>
      </c>
      <c r="O15" s="125" t="s">
        <v>63</v>
      </c>
      <c r="P15" s="125" t="s">
        <v>54</v>
      </c>
      <c r="Q15" s="146" t="s">
        <v>398</v>
      </c>
      <c r="R15" s="125" t="s">
        <v>63</v>
      </c>
      <c r="S15" s="143" t="s">
        <v>399</v>
      </c>
      <c r="T15" s="125" t="s">
        <v>63</v>
      </c>
    </row>
    <row r="16" s="110" customFormat="1" ht="12.45" spans="2:21">
      <c r="B16" s="130"/>
      <c r="C16" s="131" t="s">
        <v>389</v>
      </c>
      <c r="D16" s="134" t="e">
        <f>项目基准价!$C$15*PRODUCT(赋权表!F16:T16)</f>
        <v>#REF!</v>
      </c>
      <c r="E16" s="147" t="e">
        <f>D15/D16-1</f>
        <v>#REF!</v>
      </c>
      <c r="F16" s="141" t="e">
        <f>F14</f>
        <v>#REF!</v>
      </c>
      <c r="G16" s="141">
        <f>G14</f>
        <v>1</v>
      </c>
      <c r="H16" s="141" t="e">
        <f t="shared" ref="H16:P16" si="2">H10</f>
        <v>#REF!</v>
      </c>
      <c r="I16" s="141">
        <f t="shared" si="2"/>
        <v>1</v>
      </c>
      <c r="J16" s="141">
        <f t="shared" si="2"/>
        <v>1</v>
      </c>
      <c r="K16" s="141">
        <f t="shared" si="2"/>
        <v>1</v>
      </c>
      <c r="L16" s="141" t="e">
        <f t="shared" si="2"/>
        <v>#REF!</v>
      </c>
      <c r="M16" s="141" t="e">
        <f t="shared" si="2"/>
        <v>#REF!</v>
      </c>
      <c r="N16" s="141">
        <f t="shared" si="2"/>
        <v>1.06</v>
      </c>
      <c r="O16" s="141" t="e">
        <f t="shared" si="2"/>
        <v>#REF!</v>
      </c>
      <c r="P16" s="141" t="e">
        <f t="shared" si="2"/>
        <v>#REF!</v>
      </c>
      <c r="Q16" s="141">
        <f>【1】定价因子!F27</f>
        <v>0.87</v>
      </c>
      <c r="R16" s="141">
        <f>R8</f>
        <v>1</v>
      </c>
      <c r="S16" s="143">
        <f>【1】定价因子!F45</f>
        <v>0.96</v>
      </c>
      <c r="T16" s="141">
        <f>T8</f>
        <v>1</v>
      </c>
    </row>
    <row r="17" s="110" customFormat="1" ht="12.45" spans="1:20">
      <c r="B17" s="130" t="s">
        <v>400</v>
      </c>
      <c r="C17" s="131" t="s">
        <v>387</v>
      </c>
      <c r="D17" s="134">
        <v>1099</v>
      </c>
      <c r="E17" s="132"/>
      <c r="F17" s="125" t="s">
        <v>149</v>
      </c>
      <c r="G17" s="125" t="s">
        <v>146</v>
      </c>
      <c r="H17" s="125" t="s">
        <v>383</v>
      </c>
      <c r="I17" s="125" t="s">
        <v>54</v>
      </c>
      <c r="J17" s="125" t="s">
        <v>54</v>
      </c>
      <c r="K17" s="125" t="s">
        <v>54</v>
      </c>
      <c r="L17" s="125" t="s">
        <v>366</v>
      </c>
      <c r="M17" s="125" t="s">
        <v>63</v>
      </c>
      <c r="N17" s="141" t="s">
        <v>65</v>
      </c>
      <c r="O17" s="125" t="s">
        <v>63</v>
      </c>
      <c r="P17" s="125" t="s">
        <v>54</v>
      </c>
      <c r="Q17" s="146" t="s">
        <v>398</v>
      </c>
      <c r="R17" s="125" t="s">
        <v>63</v>
      </c>
      <c r="S17" s="143" t="s">
        <v>399</v>
      </c>
      <c r="T17" s="125" t="s">
        <v>63</v>
      </c>
    </row>
    <row r="18" s="110" customFormat="1" ht="12.45" spans="1:20">
      <c r="B18" s="130"/>
      <c r="C18" s="131" t="s">
        <v>389</v>
      </c>
      <c r="D18" s="134" t="e">
        <f>项目基准价!$C$13*PRODUCT(赋权表!F18:T18)</f>
        <v>#REF!</v>
      </c>
      <c r="E18" s="147" t="e">
        <f>D17/D18-1</f>
        <v>#REF!</v>
      </c>
      <c r="F18" s="141" t="e">
        <f>F16</f>
        <v>#REF!</v>
      </c>
      <c r="G18" s="141">
        <f t="shared" ref="G18:M18" si="3">G16</f>
        <v>1</v>
      </c>
      <c r="H18" s="141" t="e">
        <f t="shared" si="3"/>
        <v>#REF!</v>
      </c>
      <c r="I18" s="141">
        <f t="shared" si="3"/>
        <v>1</v>
      </c>
      <c r="J18" s="141">
        <f t="shared" si="3"/>
        <v>1</v>
      </c>
      <c r="K18" s="141">
        <f t="shared" si="3"/>
        <v>1</v>
      </c>
      <c r="L18" s="141" t="e">
        <f t="shared" si="3"/>
        <v>#REF!</v>
      </c>
      <c r="M18" s="141" t="e">
        <f t="shared" si="3"/>
        <v>#REF!</v>
      </c>
      <c r="N18" s="141">
        <f>【1】定价因子!F12</f>
        <v>0.95</v>
      </c>
      <c r="O18" s="141" t="e">
        <f>O16</f>
        <v>#REF!</v>
      </c>
      <c r="P18" s="141" t="e">
        <f t="shared" ref="P18:T18" si="4">P16</f>
        <v>#REF!</v>
      </c>
      <c r="Q18" s="141">
        <f t="shared" si="4"/>
        <v>0.87</v>
      </c>
      <c r="R18" s="141">
        <f t="shared" si="4"/>
        <v>1</v>
      </c>
      <c r="S18" s="141">
        <f t="shared" si="4"/>
        <v>0.96</v>
      </c>
      <c r="T18" s="141">
        <f t="shared" si="4"/>
        <v>1</v>
      </c>
    </row>
    <row r="19" s="110" customFormat="1" ht="12.45" spans="1:20">
      <c r="B19" s="130" t="s">
        <v>401</v>
      </c>
      <c r="C19" s="131" t="s">
        <v>387</v>
      </c>
      <c r="D19" s="134">
        <v>2199</v>
      </c>
      <c r="E19" s="132"/>
      <c r="F19" s="125" t="s">
        <v>149</v>
      </c>
      <c r="G19" s="125" t="s">
        <v>146</v>
      </c>
      <c r="H19" s="141" t="s">
        <v>402</v>
      </c>
      <c r="I19" s="125" t="s">
        <v>54</v>
      </c>
      <c r="J19" s="125" t="s">
        <v>54</v>
      </c>
      <c r="K19" s="143" t="s">
        <v>51</v>
      </c>
      <c r="L19" s="125" t="s">
        <v>384</v>
      </c>
      <c r="M19" s="125" t="s">
        <v>63</v>
      </c>
      <c r="N19" s="133" t="s">
        <v>58</v>
      </c>
      <c r="O19" s="126" t="s">
        <v>63</v>
      </c>
      <c r="P19" s="125" t="s">
        <v>54</v>
      </c>
      <c r="Q19" s="146" t="s">
        <v>403</v>
      </c>
      <c r="R19" s="125" t="s">
        <v>63</v>
      </c>
      <c r="S19" s="148" t="s">
        <v>392</v>
      </c>
      <c r="T19" s="126" t="s">
        <v>154</v>
      </c>
    </row>
    <row r="20" s="110" customFormat="1" ht="12.45" spans="1:20">
      <c r="B20" s="130"/>
      <c r="C20" s="131" t="s">
        <v>389</v>
      </c>
      <c r="D20" s="134" t="e">
        <f>项目基准价!$C$15*PRODUCT(赋权表!F20:T20)</f>
        <v>#REF!</v>
      </c>
      <c r="E20" s="132" t="e">
        <f>D19/D20-1</f>
        <v>#REF!</v>
      </c>
      <c r="F20" s="141" t="e">
        <f>F18</f>
        <v>#REF!</v>
      </c>
      <c r="G20" s="141">
        <f>G18</f>
        <v>1</v>
      </c>
      <c r="H20" s="141" t="e">
        <f>【1】定价因子!#REF!</f>
        <v>#REF!</v>
      </c>
      <c r="I20" s="141">
        <f>I12</f>
        <v>1</v>
      </c>
      <c r="J20" s="141">
        <f>J12</f>
        <v>1</v>
      </c>
      <c r="K20" s="141">
        <f>K12</f>
        <v>1.05</v>
      </c>
      <c r="L20" s="141" t="e">
        <f>L12</f>
        <v>#REF!</v>
      </c>
      <c r="M20" s="141" t="e">
        <f>M12</f>
        <v>#REF!</v>
      </c>
      <c r="N20" s="141">
        <f>N14</f>
        <v>1.1</v>
      </c>
      <c r="O20" s="141" t="e">
        <f t="shared" ref="O20:P20" si="5">O14</f>
        <v>#REF!</v>
      </c>
      <c r="P20" s="141" t="e">
        <f t="shared" si="5"/>
        <v>#REF!</v>
      </c>
      <c r="Q20" s="141">
        <f>Q12</f>
        <v>1.03</v>
      </c>
      <c r="R20" s="141">
        <f>R12</f>
        <v>1</v>
      </c>
      <c r="S20" s="141">
        <f>S14</f>
        <v>1.06</v>
      </c>
      <c r="T20" s="141">
        <f>【1】定价因子!F65</f>
        <v>1.02</v>
      </c>
    </row>
    <row r="21" s="110" customFormat="1" ht="14.1" spans="1:20">
      <c r="B21" s="149" t="s">
        <v>404</v>
      </c>
      <c r="C21" s="131" t="s">
        <v>387</v>
      </c>
      <c r="D21" s="134">
        <v>839</v>
      </c>
      <c r="E21" s="132"/>
      <c r="F21" s="125" t="s">
        <v>149</v>
      </c>
      <c r="G21" s="125" t="s">
        <v>146</v>
      </c>
      <c r="H21" s="141" t="s">
        <v>402</v>
      </c>
      <c r="I21" s="125" t="s">
        <v>54</v>
      </c>
      <c r="J21" s="125" t="s">
        <v>54</v>
      </c>
      <c r="K21" s="143" t="s">
        <v>51</v>
      </c>
      <c r="L21" s="125" t="s">
        <v>384</v>
      </c>
      <c r="M21" s="125" t="s">
        <v>63</v>
      </c>
      <c r="N21" s="150" t="s">
        <v>405</v>
      </c>
      <c r="O21" s="126" t="s">
        <v>63</v>
      </c>
      <c r="P21" s="125" t="s">
        <v>54</v>
      </c>
      <c r="Q21" s="146" t="s">
        <v>403</v>
      </c>
      <c r="R21" s="150" t="s">
        <v>406</v>
      </c>
      <c r="S21" s="148" t="s">
        <v>392</v>
      </c>
      <c r="T21" s="126" t="s">
        <v>154</v>
      </c>
    </row>
    <row r="22" s="110" customFormat="1" ht="12.45" spans="1:20">
      <c r="B22" s="130"/>
      <c r="C22" s="131" t="s">
        <v>389</v>
      </c>
      <c r="D22" s="145" t="e">
        <f>项目基准价!$C$14*PRODUCT(赋权表!F22:T22)</f>
        <v>#REF!</v>
      </c>
      <c r="E22" s="147" t="e">
        <f>D21/D22-1</f>
        <v>#REF!</v>
      </c>
      <c r="F22" s="141" t="e">
        <f>F20</f>
        <v>#REF!</v>
      </c>
      <c r="G22" s="141">
        <f t="shared" ref="G22:M22" si="6">G20</f>
        <v>1</v>
      </c>
      <c r="H22" s="141" t="e">
        <f t="shared" si="6"/>
        <v>#REF!</v>
      </c>
      <c r="I22" s="141">
        <f t="shared" si="6"/>
        <v>1</v>
      </c>
      <c r="J22" s="141">
        <f t="shared" si="6"/>
        <v>1</v>
      </c>
      <c r="K22" s="141">
        <f t="shared" si="6"/>
        <v>1.05</v>
      </c>
      <c r="L22" s="141" t="e">
        <f t="shared" si="6"/>
        <v>#REF!</v>
      </c>
      <c r="M22" s="141" t="e">
        <f t="shared" si="6"/>
        <v>#REF!</v>
      </c>
      <c r="N22" s="151">
        <v>0.86</v>
      </c>
      <c r="O22" s="141" t="e">
        <f>O20</f>
        <v>#REF!</v>
      </c>
      <c r="P22" s="141" t="e">
        <f>P20</f>
        <v>#REF!</v>
      </c>
      <c r="Q22" s="141">
        <f>Q20</f>
        <v>1.03</v>
      </c>
      <c r="R22" s="151">
        <v>0.9</v>
      </c>
      <c r="S22" s="141">
        <f>S20</f>
        <v>1.06</v>
      </c>
      <c r="T22" s="141">
        <f>T20</f>
        <v>1.02</v>
      </c>
    </row>
    <row r="23" s="110" customFormat="1" ht="12.45" spans="1:20">
      <c r="B23" s="130" t="s">
        <v>407</v>
      </c>
      <c r="C23" s="131" t="s">
        <v>387</v>
      </c>
      <c r="D23" s="134">
        <v>1379</v>
      </c>
      <c r="E23" s="132"/>
      <c r="F23" s="125" t="s">
        <v>149</v>
      </c>
      <c r="G23" s="125" t="s">
        <v>146</v>
      </c>
      <c r="H23" s="137" t="s">
        <v>394</v>
      </c>
      <c r="I23" s="125" t="s">
        <v>54</v>
      </c>
      <c r="J23" s="125" t="s">
        <v>54</v>
      </c>
      <c r="K23" s="137" t="s">
        <v>51</v>
      </c>
      <c r="L23" s="125" t="s">
        <v>384</v>
      </c>
      <c r="M23" s="125" t="s">
        <v>63</v>
      </c>
      <c r="N23" s="125" t="s">
        <v>63</v>
      </c>
      <c r="O23" s="126" t="s">
        <v>63</v>
      </c>
      <c r="P23" s="125" t="s">
        <v>161</v>
      </c>
      <c r="Q23" s="146" t="s">
        <v>408</v>
      </c>
      <c r="R23" s="125" t="s">
        <v>63</v>
      </c>
      <c r="S23" s="148" t="s">
        <v>392</v>
      </c>
      <c r="T23" s="125" t="s">
        <v>63</v>
      </c>
    </row>
    <row r="24" s="110" customFormat="1" ht="12.45" spans="1:20">
      <c r="B24" s="130"/>
      <c r="C24" s="131" t="s">
        <v>389</v>
      </c>
      <c r="D24" s="134" t="e">
        <f>项目基准价!$C$14*PRODUCT(赋权表!F24:T24)</f>
        <v>#REF!</v>
      </c>
      <c r="E24" s="132" t="e">
        <f>D23/D24-1</f>
        <v>#REF!</v>
      </c>
      <c r="F24" s="141" t="e">
        <f>F12</f>
        <v>#REF!</v>
      </c>
      <c r="G24" s="141">
        <f>G12</f>
        <v>1</v>
      </c>
      <c r="H24" s="141">
        <f t="shared" ref="H24:N24" si="7">H12</f>
        <v>1.04</v>
      </c>
      <c r="I24" s="141">
        <f t="shared" si="7"/>
        <v>1</v>
      </c>
      <c r="J24" s="141">
        <f t="shared" si="7"/>
        <v>1</v>
      </c>
      <c r="K24" s="141">
        <f t="shared" si="7"/>
        <v>1.05</v>
      </c>
      <c r="L24" s="141" t="e">
        <f t="shared" si="7"/>
        <v>#REF!</v>
      </c>
      <c r="M24" s="141" t="e">
        <f t="shared" si="7"/>
        <v>#REF!</v>
      </c>
      <c r="N24" s="141">
        <f t="shared" si="7"/>
        <v>1</v>
      </c>
      <c r="O24" s="143" t="e">
        <f>O22</f>
        <v>#REF!</v>
      </c>
      <c r="P24" s="133" t="e">
        <f>P12</f>
        <v>#REF!</v>
      </c>
      <c r="Q24" s="141">
        <f>【1】定价因子!F31</f>
        <v>1.02</v>
      </c>
      <c r="R24" s="141">
        <f>R12</f>
        <v>1</v>
      </c>
      <c r="S24" s="141">
        <f t="shared" ref="S24:T24" si="8">S12</f>
        <v>1.06</v>
      </c>
      <c r="T24" s="141">
        <f t="shared" si="8"/>
        <v>1</v>
      </c>
    </row>
    <row r="25" s="110" customFormat="1" ht="12.45" spans="1:20">
      <c r="A25" s="110" t="s">
        <v>409</v>
      </c>
      <c r="B25" s="130" t="s">
        <v>410</v>
      </c>
      <c r="C25" s="131" t="s">
        <v>387</v>
      </c>
      <c r="D25" s="134">
        <v>1439</v>
      </c>
      <c r="E25" s="132"/>
      <c r="F25" s="125" t="s">
        <v>149</v>
      </c>
      <c r="G25" s="125" t="s">
        <v>146</v>
      </c>
      <c r="H25" s="125" t="s">
        <v>365</v>
      </c>
      <c r="I25" s="125" t="s">
        <v>54</v>
      </c>
      <c r="J25" s="125" t="s">
        <v>54</v>
      </c>
      <c r="K25" s="125" t="s">
        <v>54</v>
      </c>
      <c r="L25" s="125" t="s">
        <v>366</v>
      </c>
      <c r="M25" s="125" t="s">
        <v>63</v>
      </c>
      <c r="N25" s="125" t="s">
        <v>380</v>
      </c>
      <c r="O25" s="125" t="s">
        <v>63</v>
      </c>
      <c r="P25" s="152" t="s">
        <v>411</v>
      </c>
      <c r="Q25" s="141" t="s">
        <v>391</v>
      </c>
      <c r="R25" s="125" t="s">
        <v>63</v>
      </c>
      <c r="S25" s="148" t="s">
        <v>392</v>
      </c>
      <c r="T25" s="125" t="s">
        <v>63</v>
      </c>
    </row>
    <row r="26" s="110" customFormat="1" ht="12.45" spans="1:20">
      <c r="B26" s="130"/>
      <c r="C26" s="131" t="s">
        <v>389</v>
      </c>
      <c r="D26" s="134" t="e">
        <f>项目基准价!$C$14*PRODUCT(赋权表!F26:T26)</f>
        <v>#REF!</v>
      </c>
      <c r="E26" s="132" t="e">
        <f>D25/D26-1</f>
        <v>#REF!</v>
      </c>
      <c r="F26" s="141" t="e">
        <f>F14</f>
        <v>#REF!</v>
      </c>
      <c r="G26" s="141">
        <f t="shared" ref="G26:M26" si="9">G14</f>
        <v>1</v>
      </c>
      <c r="H26" s="141">
        <f t="shared" si="9"/>
        <v>0.96</v>
      </c>
      <c r="I26" s="141">
        <f t="shared" si="9"/>
        <v>1</v>
      </c>
      <c r="J26" s="141">
        <f t="shared" si="9"/>
        <v>1</v>
      </c>
      <c r="K26" s="141">
        <f t="shared" si="9"/>
        <v>1</v>
      </c>
      <c r="L26" s="141" t="e">
        <f>L18</f>
        <v>#REF!</v>
      </c>
      <c r="M26" s="141" t="e">
        <f t="shared" si="9"/>
        <v>#REF!</v>
      </c>
      <c r="N26" s="141">
        <f>N16</f>
        <v>1.06</v>
      </c>
      <c r="O26" s="141" t="e">
        <f>O16</f>
        <v>#REF!</v>
      </c>
      <c r="P26" s="133">
        <f>【1】定价因子!F14</f>
        <v>1.07</v>
      </c>
      <c r="Q26" s="141">
        <f>【1】定价因子!F19</f>
        <v>1.01</v>
      </c>
      <c r="R26" s="141">
        <f>R24</f>
        <v>1</v>
      </c>
      <c r="S26" s="141">
        <f>S24</f>
        <v>1.06</v>
      </c>
      <c r="T26" s="141">
        <f t="shared" ref="T26" si="10">T24</f>
        <v>1</v>
      </c>
    </row>
    <row r="27" s="110" customFormat="1" ht="12.45" spans="1:20">
      <c r="B27" s="130" t="s">
        <v>412</v>
      </c>
      <c r="C27" s="131" t="s">
        <v>387</v>
      </c>
      <c r="D27" s="134">
        <v>1799</v>
      </c>
      <c r="E27" s="132"/>
      <c r="F27" s="125" t="s">
        <v>149</v>
      </c>
      <c r="G27" s="125" t="s">
        <v>146</v>
      </c>
      <c r="H27" s="125" t="s">
        <v>365</v>
      </c>
      <c r="I27" s="125" t="s">
        <v>54</v>
      </c>
      <c r="J27" s="125" t="s">
        <v>54</v>
      </c>
      <c r="K27" s="125" t="s">
        <v>54</v>
      </c>
      <c r="L27" s="125" t="s">
        <v>366</v>
      </c>
      <c r="M27" s="125" t="s">
        <v>379</v>
      </c>
      <c r="N27" s="125" t="s">
        <v>63</v>
      </c>
      <c r="O27" s="126" t="s">
        <v>63</v>
      </c>
      <c r="P27" s="125" t="s">
        <v>54</v>
      </c>
      <c r="Q27" s="125" t="s">
        <v>413</v>
      </c>
      <c r="R27" s="125" t="s">
        <v>63</v>
      </c>
      <c r="S27" s="125" t="s">
        <v>63</v>
      </c>
      <c r="T27" s="125" t="s">
        <v>63</v>
      </c>
    </row>
    <row r="28" s="110" customFormat="1" ht="12.45" spans="1:20">
      <c r="B28" s="130"/>
      <c r="C28" s="131" t="s">
        <v>389</v>
      </c>
      <c r="D28" s="134" t="e">
        <f>项目基准价!$C$15*PRODUCT(赋权表!F28:T28)</f>
        <v>#REF!</v>
      </c>
      <c r="E28" s="132" t="e">
        <f>D27/D28-1</f>
        <v>#REF!</v>
      </c>
      <c r="F28" s="141" t="e">
        <f>F26</f>
        <v>#REF!</v>
      </c>
      <c r="G28" s="141">
        <f t="shared" ref="G28:L28" si="11">G26</f>
        <v>1</v>
      </c>
      <c r="H28" s="141">
        <f t="shared" si="11"/>
        <v>0.96</v>
      </c>
      <c r="I28" s="141">
        <f t="shared" si="11"/>
        <v>1</v>
      </c>
      <c r="J28" s="141">
        <f t="shared" si="11"/>
        <v>1</v>
      </c>
      <c r="K28" s="141">
        <f t="shared" si="11"/>
        <v>1</v>
      </c>
      <c r="L28" s="141" t="e">
        <f t="shared" si="11"/>
        <v>#REF!</v>
      </c>
      <c r="M28" s="141" t="e">
        <f>【1】定价因子!#REF!</f>
        <v>#REF!</v>
      </c>
      <c r="N28" s="141">
        <f>N24</f>
        <v>1</v>
      </c>
      <c r="O28" s="141" t="e">
        <f t="shared" ref="O28" si="12">O24</f>
        <v>#REF!</v>
      </c>
      <c r="P28" s="141" t="e">
        <f>P22</f>
        <v>#REF!</v>
      </c>
      <c r="Q28" s="141">
        <f>【1】定价因子!F18</f>
        <v>1.02</v>
      </c>
      <c r="R28" s="141">
        <f>R26</f>
        <v>1</v>
      </c>
      <c r="S28" s="141">
        <f>【1】定价因子!F43</f>
        <v>1.03</v>
      </c>
      <c r="T28" s="141">
        <f>T26</f>
        <v>1</v>
      </c>
    </row>
    <row r="29" s="110" customFormat="1" ht="12.45" spans="1:20">
      <c r="B29" s="130" t="s">
        <v>414</v>
      </c>
      <c r="C29" s="131" t="s">
        <v>387</v>
      </c>
      <c r="D29" s="134">
        <v>1999</v>
      </c>
      <c r="E29" s="132"/>
      <c r="F29" s="125" t="s">
        <v>149</v>
      </c>
      <c r="G29" s="125" t="s">
        <v>146</v>
      </c>
      <c r="H29" s="125" t="s">
        <v>365</v>
      </c>
      <c r="I29" s="125" t="s">
        <v>54</v>
      </c>
      <c r="J29" s="125" t="s">
        <v>54</v>
      </c>
      <c r="K29" s="125" t="s">
        <v>54</v>
      </c>
      <c r="L29" s="125" t="s">
        <v>366</v>
      </c>
      <c r="M29" s="125" t="s">
        <v>379</v>
      </c>
      <c r="N29" s="125" t="s">
        <v>63</v>
      </c>
      <c r="O29" s="126" t="s">
        <v>63</v>
      </c>
      <c r="P29" s="126" t="s">
        <v>163</v>
      </c>
      <c r="Q29" s="125" t="s">
        <v>413</v>
      </c>
      <c r="R29" s="125" t="s">
        <v>63</v>
      </c>
      <c r="S29" s="125" t="s">
        <v>63</v>
      </c>
      <c r="T29" s="126" t="s">
        <v>152</v>
      </c>
    </row>
    <row r="30" s="110" customFormat="1" ht="12.45" spans="1:20">
      <c r="B30" s="130"/>
      <c r="C30" s="131" t="s">
        <v>389</v>
      </c>
      <c r="D30" s="134" t="e">
        <f>项目基准价!$C$15*PRODUCT(赋权表!F30:T30)</f>
        <v>#REF!</v>
      </c>
      <c r="E30" s="132" t="e">
        <f>D29/D30-1</f>
        <v>#REF!</v>
      </c>
      <c r="F30" s="141" t="e">
        <f>F28</f>
        <v>#REF!</v>
      </c>
      <c r="G30" s="141">
        <f t="shared" ref="G30:O30" si="13">G28</f>
        <v>1</v>
      </c>
      <c r="H30" s="141">
        <f t="shared" si="13"/>
        <v>0.96</v>
      </c>
      <c r="I30" s="141">
        <f t="shared" si="13"/>
        <v>1</v>
      </c>
      <c r="J30" s="141">
        <f t="shared" si="13"/>
        <v>1</v>
      </c>
      <c r="K30" s="141">
        <f t="shared" si="13"/>
        <v>1</v>
      </c>
      <c r="L30" s="141" t="e">
        <f t="shared" si="13"/>
        <v>#REF!</v>
      </c>
      <c r="M30" s="141" t="e">
        <f t="shared" si="13"/>
        <v>#REF!</v>
      </c>
      <c r="N30" s="141">
        <f t="shared" si="13"/>
        <v>1</v>
      </c>
      <c r="O30" s="141" t="e">
        <f t="shared" si="13"/>
        <v>#REF!</v>
      </c>
      <c r="P30" s="141">
        <f>【1】定价因子!F15</f>
        <v>1</v>
      </c>
      <c r="Q30" s="141">
        <f>Q28</f>
        <v>1.02</v>
      </c>
      <c r="R30" s="141">
        <f t="shared" ref="R30:S30" si="14">R28</f>
        <v>1</v>
      </c>
      <c r="S30" s="141">
        <f t="shared" si="14"/>
        <v>1.03</v>
      </c>
      <c r="T30" s="141">
        <f>【1】定价因子!F64</f>
        <v>1.045</v>
      </c>
    </row>
    <row r="31" s="110" customFormat="1" ht="12.45" spans="1:20">
      <c r="B31" s="130" t="s">
        <v>415</v>
      </c>
      <c r="C31" s="131" t="s">
        <v>387</v>
      </c>
      <c r="D31" s="145">
        <v>1569</v>
      </c>
      <c r="E31" s="132"/>
      <c r="F31" s="125" t="s">
        <v>149</v>
      </c>
      <c r="G31" s="125" t="s">
        <v>146</v>
      </c>
      <c r="H31" s="125" t="s">
        <v>383</v>
      </c>
      <c r="I31" s="125" t="s">
        <v>54</v>
      </c>
      <c r="J31" s="125" t="s">
        <v>54</v>
      </c>
      <c r="K31" s="125" t="s">
        <v>54</v>
      </c>
      <c r="L31" s="125" t="s">
        <v>366</v>
      </c>
      <c r="M31" s="125" t="s">
        <v>63</v>
      </c>
      <c r="N31" s="125" t="s">
        <v>63</v>
      </c>
      <c r="O31" s="126" t="s">
        <v>63</v>
      </c>
      <c r="P31" s="126" t="s">
        <v>163</v>
      </c>
      <c r="Q31" s="141" t="s">
        <v>391</v>
      </c>
      <c r="R31" s="148" t="s">
        <v>112</v>
      </c>
      <c r="S31" s="126" t="s">
        <v>388</v>
      </c>
      <c r="T31" s="125" t="s">
        <v>63</v>
      </c>
    </row>
    <row r="32" s="110" customFormat="1" ht="12.45" spans="1:20">
      <c r="A32" s="110" t="s">
        <v>416</v>
      </c>
      <c r="B32" s="130"/>
      <c r="C32" s="131" t="s">
        <v>389</v>
      </c>
      <c r="D32" s="134" t="e">
        <f>项目基准价!$C$16*PRODUCT(赋权表!F32:T32)</f>
        <v>#REF!</v>
      </c>
      <c r="E32" s="147" t="e">
        <f>D31/D32-1</f>
        <v>#REF!</v>
      </c>
      <c r="F32" s="141" t="e">
        <f>F18</f>
        <v>#REF!</v>
      </c>
      <c r="G32" s="141">
        <f t="shared" ref="G32:M32" si="15">G18</f>
        <v>1</v>
      </c>
      <c r="H32" s="141" t="e">
        <f t="shared" si="15"/>
        <v>#REF!</v>
      </c>
      <c r="I32" s="141">
        <f t="shared" si="15"/>
        <v>1</v>
      </c>
      <c r="J32" s="141">
        <f t="shared" si="15"/>
        <v>1</v>
      </c>
      <c r="K32" s="141">
        <f t="shared" si="15"/>
        <v>1</v>
      </c>
      <c r="L32" s="141" t="e">
        <f t="shared" si="15"/>
        <v>#REF!</v>
      </c>
      <c r="M32" s="141" t="e">
        <f t="shared" si="15"/>
        <v>#REF!</v>
      </c>
      <c r="N32" s="141">
        <f>N30</f>
        <v>1</v>
      </c>
      <c r="O32" s="141" t="e">
        <f>O30</f>
        <v>#REF!</v>
      </c>
      <c r="P32" s="141">
        <f>P30</f>
        <v>1</v>
      </c>
      <c r="Q32" s="141">
        <f>Q30</f>
        <v>1.02</v>
      </c>
      <c r="R32" s="141"/>
      <c r="S32" s="141">
        <f>S8</f>
        <v>1</v>
      </c>
      <c r="T32" s="141">
        <f>T28</f>
        <v>1</v>
      </c>
    </row>
    <row r="33" s="110" customFormat="1" ht="12.45" spans="1:20">
      <c r="B33" s="149" t="s">
        <v>417</v>
      </c>
      <c r="C33" s="131" t="s">
        <v>387</v>
      </c>
      <c r="D33" s="134">
        <v>2299</v>
      </c>
      <c r="E33" s="153"/>
      <c r="F33" s="125" t="s">
        <v>149</v>
      </c>
      <c r="G33" s="125" t="s">
        <v>146</v>
      </c>
      <c r="H33" s="137" t="s">
        <v>394</v>
      </c>
      <c r="I33" s="125" t="s">
        <v>54</v>
      </c>
      <c r="J33" s="125" t="s">
        <v>54</v>
      </c>
      <c r="K33" s="137" t="s">
        <v>51</v>
      </c>
      <c r="L33" s="125" t="s">
        <v>384</v>
      </c>
      <c r="M33" s="125" t="s">
        <v>63</v>
      </c>
      <c r="N33" s="125" t="s">
        <v>380</v>
      </c>
      <c r="O33" s="126" t="s">
        <v>63</v>
      </c>
      <c r="P33" s="125" t="s">
        <v>161</v>
      </c>
      <c r="Q33" s="141" t="s">
        <v>395</v>
      </c>
      <c r="R33" s="125" t="s">
        <v>63</v>
      </c>
      <c r="S33" s="148" t="s">
        <v>392</v>
      </c>
      <c r="T33" s="126" t="s">
        <v>154</v>
      </c>
    </row>
    <row r="34" s="110" customFormat="1" ht="12.45" spans="1:20">
      <c r="B34" s="130"/>
      <c r="C34" s="131" t="s">
        <v>389</v>
      </c>
      <c r="D34" s="134" t="e">
        <f>项目基准价!$C$15*PRODUCT(赋权表!F34:T34)</f>
        <v>#REF!</v>
      </c>
      <c r="E34" s="132" t="e">
        <f>D33/D34-1</f>
        <v>#REF!</v>
      </c>
      <c r="F34" s="141" t="e">
        <f>F24</f>
        <v>#REF!</v>
      </c>
      <c r="G34" s="141">
        <f t="shared" ref="G34:M34" si="16">G24</f>
        <v>1</v>
      </c>
      <c r="H34" s="141">
        <f t="shared" si="16"/>
        <v>1.04</v>
      </c>
      <c r="I34" s="141">
        <f t="shared" si="16"/>
        <v>1</v>
      </c>
      <c r="J34" s="141">
        <f t="shared" si="16"/>
        <v>1</v>
      </c>
      <c r="K34" s="141">
        <f t="shared" si="16"/>
        <v>1.05</v>
      </c>
      <c r="L34" s="141" t="e">
        <f t="shared" si="16"/>
        <v>#REF!</v>
      </c>
      <c r="M34" s="141" t="e">
        <f t="shared" si="16"/>
        <v>#REF!</v>
      </c>
      <c r="N34" s="141">
        <f>N26</f>
        <v>1.06</v>
      </c>
      <c r="O34" s="141" t="e">
        <f>O26</f>
        <v>#REF!</v>
      </c>
      <c r="P34" s="141" t="e">
        <f>P24</f>
        <v>#REF!</v>
      </c>
      <c r="Q34" s="141">
        <f>【1】定价因子!F32</f>
        <v>1.03</v>
      </c>
      <c r="R34" s="141">
        <f>R30</f>
        <v>1</v>
      </c>
      <c r="S34" s="141">
        <f>S10</f>
        <v>1.06</v>
      </c>
      <c r="T34" s="141">
        <f>T20</f>
        <v>1.02</v>
      </c>
    </row>
    <row r="35" s="110" customFormat="1" ht="12.45" spans="1:20">
      <c r="A35" s="110" t="s">
        <v>409</v>
      </c>
      <c r="B35" s="130" t="s">
        <v>418</v>
      </c>
      <c r="C35" s="131" t="s">
        <v>387</v>
      </c>
      <c r="D35" s="134">
        <v>1249</v>
      </c>
      <c r="E35" s="132"/>
      <c r="F35" s="125" t="s">
        <v>149</v>
      </c>
      <c r="G35" s="125" t="s">
        <v>146</v>
      </c>
      <c r="H35" s="125" t="s">
        <v>365</v>
      </c>
      <c r="I35" s="125" t="s">
        <v>54</v>
      </c>
      <c r="J35" s="125" t="s">
        <v>54</v>
      </c>
      <c r="K35" s="125" t="s">
        <v>54</v>
      </c>
      <c r="L35" s="125" t="s">
        <v>366</v>
      </c>
      <c r="M35" s="125" t="s">
        <v>379</v>
      </c>
      <c r="N35" s="125" t="s">
        <v>63</v>
      </c>
      <c r="O35" s="126" t="s">
        <v>63</v>
      </c>
      <c r="P35" s="125" t="s">
        <v>54</v>
      </c>
      <c r="Q35" s="141" t="s">
        <v>419</v>
      </c>
      <c r="R35" s="125" t="s">
        <v>63</v>
      </c>
      <c r="S35" s="148" t="s">
        <v>392</v>
      </c>
      <c r="T35" s="125" t="s">
        <v>63</v>
      </c>
    </row>
    <row r="36" s="110" customFormat="1" ht="12.45" spans="1:20">
      <c r="B36" s="130"/>
      <c r="C36" s="131" t="s">
        <v>389</v>
      </c>
      <c r="D36" s="134" t="e">
        <f>项目基准价!$C$14*PRODUCT(赋权表!F36:T36)</f>
        <v>#REF!</v>
      </c>
      <c r="E36" s="132" t="e">
        <f>D35/D36-1</f>
        <v>#REF!</v>
      </c>
      <c r="F36" s="141" t="e">
        <f>F30</f>
        <v>#REF!</v>
      </c>
      <c r="G36" s="141">
        <f t="shared" ref="G36:N36" si="17">G30</f>
        <v>1</v>
      </c>
      <c r="H36" s="141">
        <f t="shared" si="17"/>
        <v>0.96</v>
      </c>
      <c r="I36" s="141">
        <f>I34</f>
        <v>1</v>
      </c>
      <c r="J36" s="141">
        <f t="shared" si="17"/>
        <v>1</v>
      </c>
      <c r="K36" s="141">
        <f t="shared" si="17"/>
        <v>1</v>
      </c>
      <c r="L36" s="141" t="e">
        <f>L32</f>
        <v>#REF!</v>
      </c>
      <c r="M36" s="141" t="e">
        <f t="shared" si="17"/>
        <v>#REF!</v>
      </c>
      <c r="N36" s="141">
        <f t="shared" si="17"/>
        <v>1</v>
      </c>
      <c r="O36" s="141" t="e">
        <f>O34</f>
        <v>#REF!</v>
      </c>
      <c r="P36" s="141" t="e">
        <f>P28</f>
        <v>#REF!</v>
      </c>
      <c r="Q36" s="141">
        <f>【1】定价因子!F22</f>
        <v>0.98</v>
      </c>
      <c r="R36" s="141">
        <f>R34</f>
        <v>1</v>
      </c>
      <c r="S36" s="141">
        <f>S34</f>
        <v>1.06</v>
      </c>
      <c r="T36" s="141">
        <f>T32</f>
        <v>1</v>
      </c>
    </row>
    <row r="37" s="110" customFormat="1" ht="12.45" spans="1:20">
      <c r="A37" s="110" t="s">
        <v>409</v>
      </c>
      <c r="B37" s="130" t="s">
        <v>420</v>
      </c>
      <c r="C37" s="131" t="s">
        <v>387</v>
      </c>
      <c r="D37" s="134">
        <v>1299</v>
      </c>
      <c r="E37" s="132"/>
      <c r="F37" s="125" t="s">
        <v>149</v>
      </c>
      <c r="G37" s="125" t="s">
        <v>146</v>
      </c>
      <c r="H37" s="125" t="s">
        <v>365</v>
      </c>
      <c r="I37" s="125" t="s">
        <v>54</v>
      </c>
      <c r="J37" s="125" t="s">
        <v>54</v>
      </c>
      <c r="K37" s="125" t="s">
        <v>54</v>
      </c>
      <c r="L37" s="125" t="s">
        <v>366</v>
      </c>
      <c r="M37" s="125" t="s">
        <v>63</v>
      </c>
      <c r="N37" s="125" t="s">
        <v>63</v>
      </c>
      <c r="O37" s="126" t="s">
        <v>63</v>
      </c>
      <c r="P37" s="125" t="s">
        <v>54</v>
      </c>
      <c r="Q37" s="141" t="s">
        <v>385</v>
      </c>
      <c r="R37" s="125" t="s">
        <v>63</v>
      </c>
      <c r="S37" s="125" t="s">
        <v>63</v>
      </c>
      <c r="T37" s="125" t="s">
        <v>63</v>
      </c>
    </row>
    <row r="38" s="110" customFormat="1" ht="12.45" spans="1:20">
      <c r="B38" s="130"/>
      <c r="C38" s="131" t="s">
        <v>389</v>
      </c>
      <c r="D38" s="134" t="e">
        <f>项目基准价!$C$14*PRODUCT(赋权表!F38:T38)</f>
        <v>#REF!</v>
      </c>
      <c r="E38" s="147" t="e">
        <f>D37/D38-1</f>
        <v>#REF!</v>
      </c>
      <c r="F38" s="141" t="e">
        <f>F8</f>
        <v>#REF!</v>
      </c>
      <c r="G38" s="141">
        <f t="shared" ref="G38:M38" si="18">G8</f>
        <v>1</v>
      </c>
      <c r="H38" s="141">
        <f t="shared" si="18"/>
        <v>0.96</v>
      </c>
      <c r="I38" s="141">
        <f>I36</f>
        <v>1</v>
      </c>
      <c r="J38" s="141">
        <f t="shared" si="18"/>
        <v>1</v>
      </c>
      <c r="K38" s="141">
        <f t="shared" si="18"/>
        <v>1</v>
      </c>
      <c r="L38" s="141" t="e">
        <f t="shared" si="18"/>
        <v>#REF!</v>
      </c>
      <c r="M38" s="141" t="e">
        <f t="shared" si="18"/>
        <v>#REF!</v>
      </c>
      <c r="N38" s="154">
        <f>N36</f>
        <v>1</v>
      </c>
      <c r="O38" s="154" t="e">
        <f t="shared" ref="O38:P38" si="19">O36</f>
        <v>#REF!</v>
      </c>
      <c r="P38" s="154" t="e">
        <f t="shared" si="19"/>
        <v>#REF!</v>
      </c>
      <c r="Q38" s="110">
        <f>【1】定价因子!F21</f>
        <v>0.99</v>
      </c>
      <c r="R38" s="154">
        <f>R36</f>
        <v>1</v>
      </c>
      <c r="S38" s="154">
        <f>S28</f>
        <v>1.03</v>
      </c>
      <c r="T38" s="154">
        <f>T28</f>
        <v>1</v>
      </c>
    </row>
    <row r="39" s="110" customFormat="1" ht="12.45" spans="1:20">
      <c r="B39" s="130" t="s">
        <v>421</v>
      </c>
      <c r="C39" s="131" t="s">
        <v>387</v>
      </c>
      <c r="D39" s="134">
        <v>1239</v>
      </c>
      <c r="E39" s="132"/>
      <c r="F39" s="125" t="s">
        <v>149</v>
      </c>
      <c r="G39" s="125" t="s">
        <v>146</v>
      </c>
      <c r="H39" s="125" t="s">
        <v>383</v>
      </c>
      <c r="I39" s="125" t="s">
        <v>54</v>
      </c>
      <c r="J39" s="125" t="s">
        <v>54</v>
      </c>
      <c r="K39" s="125" t="s">
        <v>54</v>
      </c>
      <c r="L39" s="125" t="s">
        <v>366</v>
      </c>
      <c r="M39" s="125" t="s">
        <v>63</v>
      </c>
      <c r="N39" s="125" t="s">
        <v>63</v>
      </c>
      <c r="O39" s="126" t="s">
        <v>63</v>
      </c>
      <c r="P39" s="125" t="s">
        <v>54</v>
      </c>
      <c r="Q39" s="141" t="s">
        <v>385</v>
      </c>
      <c r="R39" s="125" t="s">
        <v>132</v>
      </c>
      <c r="S39" s="126" t="s">
        <v>388</v>
      </c>
      <c r="T39" s="125" t="s">
        <v>63</v>
      </c>
    </row>
    <row r="40" s="110" customFormat="1" ht="12.45" spans="1:20">
      <c r="B40" s="130"/>
      <c r="C40" s="131" t="s">
        <v>389</v>
      </c>
      <c r="D40" s="134" t="e">
        <f>项目基准价!$C$13*PRODUCT(赋权表!F40:T40)</f>
        <v>#REF!</v>
      </c>
      <c r="E40" s="132" t="e">
        <f>D39/D40-1</f>
        <v>#REF!</v>
      </c>
      <c r="F40" s="141" t="e">
        <f>F32</f>
        <v>#REF!</v>
      </c>
      <c r="G40" s="141">
        <f t="shared" ref="G40:M40" si="20">G32</f>
        <v>1</v>
      </c>
      <c r="H40" s="141" t="e">
        <f t="shared" si="20"/>
        <v>#REF!</v>
      </c>
      <c r="I40" s="141">
        <f>I38</f>
        <v>1</v>
      </c>
      <c r="J40" s="141">
        <f t="shared" si="20"/>
        <v>1</v>
      </c>
      <c r="K40" s="141">
        <f t="shared" si="20"/>
        <v>1</v>
      </c>
      <c r="L40" s="141" t="e">
        <f t="shared" si="20"/>
        <v>#REF!</v>
      </c>
      <c r="M40" s="141" t="e">
        <f t="shared" si="20"/>
        <v>#REF!</v>
      </c>
      <c r="N40" s="141">
        <f>N38</f>
        <v>1</v>
      </c>
      <c r="O40" s="141" t="e">
        <f>O38</f>
        <v>#REF!</v>
      </c>
      <c r="P40" s="141" t="e">
        <f>P38</f>
        <v>#REF!</v>
      </c>
      <c r="Q40" s="141">
        <f>Q38</f>
        <v>0.99</v>
      </c>
      <c r="R40" s="141">
        <f>R14</f>
        <v>1.04</v>
      </c>
      <c r="S40" s="141">
        <f>S32</f>
        <v>1</v>
      </c>
      <c r="T40" s="141">
        <f>T38</f>
        <v>1</v>
      </c>
    </row>
    <row r="41" s="110" customFormat="1" ht="12.45" spans="1:20">
      <c r="A41" s="110" t="s">
        <v>416</v>
      </c>
      <c r="B41" s="130" t="s">
        <v>422</v>
      </c>
      <c r="C41" s="131" t="s">
        <v>387</v>
      </c>
      <c r="D41" s="134">
        <v>1699</v>
      </c>
      <c r="E41" s="132"/>
      <c r="F41" s="125" t="s">
        <v>149</v>
      </c>
      <c r="G41" s="125" t="s">
        <v>146</v>
      </c>
      <c r="H41" s="125" t="s">
        <v>365</v>
      </c>
      <c r="I41" s="125" t="s">
        <v>54</v>
      </c>
      <c r="J41" s="125" t="s">
        <v>54</v>
      </c>
      <c r="K41" s="125" t="s">
        <v>54</v>
      </c>
      <c r="L41" s="125" t="s">
        <v>366</v>
      </c>
      <c r="M41" s="125" t="s">
        <v>63</v>
      </c>
      <c r="N41" s="125" t="s">
        <v>63</v>
      </c>
      <c r="O41" s="126" t="s">
        <v>63</v>
      </c>
      <c r="P41" s="125" t="s">
        <v>54</v>
      </c>
      <c r="Q41" s="141" t="s">
        <v>391</v>
      </c>
      <c r="R41" s="148" t="s">
        <v>112</v>
      </c>
      <c r="S41" s="126" t="s">
        <v>63</v>
      </c>
      <c r="T41" s="125" t="s">
        <v>63</v>
      </c>
    </row>
    <row r="42" s="110" customFormat="1" ht="12.45" spans="1:20">
      <c r="B42" s="130"/>
      <c r="C42" s="131" t="s">
        <v>389</v>
      </c>
      <c r="D42" s="134" t="e">
        <f>项目基准价!$C$16*PRODUCT(赋权表!F42:T42)</f>
        <v>#REF!</v>
      </c>
      <c r="E42" s="132" t="e">
        <f>D41/D42-1</f>
        <v>#REF!</v>
      </c>
      <c r="F42" s="141" t="e">
        <f>F38</f>
        <v>#REF!</v>
      </c>
      <c r="G42" s="141">
        <f t="shared" ref="G42:N42" si="21">G38</f>
        <v>1</v>
      </c>
      <c r="H42" s="141">
        <f t="shared" si="21"/>
        <v>0.96</v>
      </c>
      <c r="I42" s="141">
        <f t="shared" si="21"/>
        <v>1</v>
      </c>
      <c r="J42" s="141">
        <f t="shared" si="21"/>
        <v>1</v>
      </c>
      <c r="K42" s="141">
        <f t="shared" si="21"/>
        <v>1</v>
      </c>
      <c r="L42" s="141" t="e">
        <f t="shared" si="21"/>
        <v>#REF!</v>
      </c>
      <c r="M42" s="141" t="e">
        <f t="shared" si="21"/>
        <v>#REF!</v>
      </c>
      <c r="N42" s="154">
        <f t="shared" si="21"/>
        <v>1</v>
      </c>
      <c r="O42" s="141" t="e">
        <f>O40</f>
        <v>#REF!</v>
      </c>
      <c r="P42" s="141" t="e">
        <f>P40</f>
        <v>#REF!</v>
      </c>
      <c r="Q42" s="141">
        <f>Q32</f>
        <v>1.02</v>
      </c>
      <c r="R42" s="141"/>
      <c r="S42" s="141">
        <f>S38</f>
        <v>1.03</v>
      </c>
      <c r="T42" s="141">
        <f>T40</f>
        <v>1</v>
      </c>
    </row>
    <row r="43" s="110" customFormat="1" ht="12.45" spans="1:20">
      <c r="B43" s="130" t="s">
        <v>423</v>
      </c>
      <c r="C43" s="131" t="s">
        <v>387</v>
      </c>
      <c r="D43" s="145">
        <v>1239</v>
      </c>
      <c r="E43" s="132"/>
      <c r="F43" s="125" t="s">
        <v>149</v>
      </c>
      <c r="G43" s="125" t="s">
        <v>146</v>
      </c>
      <c r="H43" s="125" t="s">
        <v>383</v>
      </c>
      <c r="I43" s="126" t="s">
        <v>161</v>
      </c>
      <c r="J43" s="125" t="s">
        <v>54</v>
      </c>
      <c r="K43" s="125" t="s">
        <v>54</v>
      </c>
      <c r="L43" s="125" t="s">
        <v>366</v>
      </c>
      <c r="M43" s="125" t="s">
        <v>63</v>
      </c>
      <c r="N43" s="125" t="s">
        <v>380</v>
      </c>
      <c r="O43" s="126" t="s">
        <v>63</v>
      </c>
      <c r="P43" s="125" t="s">
        <v>54</v>
      </c>
      <c r="Q43" s="141" t="s">
        <v>385</v>
      </c>
      <c r="R43" s="125" t="s">
        <v>132</v>
      </c>
      <c r="S43" s="126" t="s">
        <v>388</v>
      </c>
      <c r="T43" s="125" t="s">
        <v>63</v>
      </c>
    </row>
    <row r="44" s="110" customFormat="1" ht="12.45" spans="1:20">
      <c r="B44" s="130"/>
      <c r="C44" s="131" t="s">
        <v>389</v>
      </c>
      <c r="D44" s="134" t="e">
        <f>项目基准价!$C$13*PRODUCT(赋权表!F44:T44)</f>
        <v>#REF!</v>
      </c>
      <c r="E44" s="147" t="e">
        <f>D43/D44-1</f>
        <v>#REF!</v>
      </c>
      <c r="F44" s="141" t="e">
        <f>F42</f>
        <v>#REF!</v>
      </c>
      <c r="G44" s="141">
        <f>G42</f>
        <v>1</v>
      </c>
      <c r="H44" s="141" t="e">
        <f>H40</f>
        <v>#REF!</v>
      </c>
      <c r="I44" s="141">
        <f>【1】定价因子!F69</f>
        <v>0.975</v>
      </c>
      <c r="J44" s="141">
        <f t="shared" ref="J44:N44" si="22">J34</f>
        <v>1</v>
      </c>
      <c r="K44" s="141">
        <f>K38</f>
        <v>1</v>
      </c>
      <c r="L44" s="141" t="e">
        <f>L36</f>
        <v>#REF!</v>
      </c>
      <c r="M44" s="141" t="e">
        <f t="shared" si="22"/>
        <v>#REF!</v>
      </c>
      <c r="N44" s="141">
        <f t="shared" si="22"/>
        <v>1.06</v>
      </c>
      <c r="O44" s="141" t="e">
        <f>O40</f>
        <v>#REF!</v>
      </c>
      <c r="P44" s="141" t="e">
        <f t="shared" ref="P44:T44" si="23">P40</f>
        <v>#REF!</v>
      </c>
      <c r="Q44" s="141">
        <f t="shared" si="23"/>
        <v>0.99</v>
      </c>
      <c r="R44" s="141">
        <f t="shared" si="23"/>
        <v>1.04</v>
      </c>
      <c r="S44" s="141">
        <f>S32</f>
        <v>1</v>
      </c>
      <c r="T44" s="141">
        <f t="shared" si="23"/>
        <v>1</v>
      </c>
    </row>
    <row r="45" s="110" customFormat="1" ht="12.45" spans="1:20">
      <c r="B45" s="130" t="s">
        <v>424</v>
      </c>
      <c r="C45" s="131" t="s">
        <v>387</v>
      </c>
      <c r="D45" s="145">
        <v>1239</v>
      </c>
      <c r="E45" s="132"/>
      <c r="F45" s="133" t="s">
        <v>150</v>
      </c>
      <c r="G45" s="125" t="s">
        <v>146</v>
      </c>
      <c r="H45" s="125" t="s">
        <v>383</v>
      </c>
      <c r="I45" s="125" t="s">
        <v>54</v>
      </c>
      <c r="J45" s="125" t="s">
        <v>54</v>
      </c>
      <c r="K45" s="125" t="s">
        <v>54</v>
      </c>
      <c r="L45" s="125" t="s">
        <v>366</v>
      </c>
      <c r="M45" s="125" t="s">
        <v>63</v>
      </c>
      <c r="N45" s="125" t="s">
        <v>380</v>
      </c>
      <c r="O45" s="126" t="s">
        <v>63</v>
      </c>
      <c r="P45" s="125" t="s">
        <v>54</v>
      </c>
      <c r="Q45" s="141" t="s">
        <v>391</v>
      </c>
      <c r="R45" s="125" t="s">
        <v>132</v>
      </c>
      <c r="S45" s="125" t="s">
        <v>63</v>
      </c>
      <c r="T45" s="125" t="s">
        <v>63</v>
      </c>
    </row>
    <row r="46" s="110" customFormat="1" ht="12.45" spans="1:20">
      <c r="B46" s="130"/>
      <c r="C46" s="131" t="s">
        <v>389</v>
      </c>
      <c r="D46" s="134" t="e">
        <f>项目基准价!$C$13*PRODUCT(赋权表!F46:T46)</f>
        <v>#REF!</v>
      </c>
      <c r="E46" s="147" t="e">
        <f>D45/D46-1</f>
        <v>#REF!</v>
      </c>
      <c r="F46" s="141" t="e">
        <f>F10</f>
        <v>#REF!</v>
      </c>
      <c r="G46" s="141">
        <f t="shared" ref="G46:M46" si="24">G10</f>
        <v>1</v>
      </c>
      <c r="H46" s="141" t="e">
        <f t="shared" si="24"/>
        <v>#REF!</v>
      </c>
      <c r="I46" s="141">
        <f t="shared" si="24"/>
        <v>1</v>
      </c>
      <c r="J46" s="141">
        <f t="shared" si="24"/>
        <v>1</v>
      </c>
      <c r="K46" s="141">
        <f t="shared" si="24"/>
        <v>1</v>
      </c>
      <c r="L46" s="141" t="e">
        <f t="shared" si="24"/>
        <v>#REF!</v>
      </c>
      <c r="M46" s="141" t="e">
        <f t="shared" si="24"/>
        <v>#REF!</v>
      </c>
      <c r="N46" s="141">
        <f>N34</f>
        <v>1.06</v>
      </c>
      <c r="O46" s="141" t="e">
        <f>O44</f>
        <v>#REF!</v>
      </c>
      <c r="P46" s="141" t="e">
        <f>P44</f>
        <v>#REF!</v>
      </c>
      <c r="Q46" s="141">
        <f>Q42</f>
        <v>1.02</v>
      </c>
      <c r="R46" s="141">
        <f>R44</f>
        <v>1.04</v>
      </c>
      <c r="S46" s="141">
        <f>S42</f>
        <v>1.03</v>
      </c>
      <c r="T46" s="141">
        <f>T44</f>
        <v>1</v>
      </c>
    </row>
    <row r="47" s="110" customFormat="1" ht="12.45" spans="1:20">
      <c r="B47" s="130" t="s">
        <v>425</v>
      </c>
      <c r="C47" s="131" t="s">
        <v>387</v>
      </c>
      <c r="D47" s="145">
        <v>1629</v>
      </c>
      <c r="E47" s="132"/>
      <c r="F47" s="125" t="s">
        <v>149</v>
      </c>
      <c r="G47" s="125" t="s">
        <v>146</v>
      </c>
      <c r="H47" s="125" t="s">
        <v>365</v>
      </c>
      <c r="I47" s="125" t="s">
        <v>54</v>
      </c>
      <c r="J47" s="125" t="s">
        <v>54</v>
      </c>
      <c r="K47" s="137" t="s">
        <v>51</v>
      </c>
      <c r="L47" s="125" t="s">
        <v>366</v>
      </c>
      <c r="M47" s="125" t="s">
        <v>63</v>
      </c>
      <c r="N47" s="125" t="s">
        <v>63</v>
      </c>
      <c r="O47" s="126" t="s">
        <v>63</v>
      </c>
      <c r="P47" s="125" t="s">
        <v>54</v>
      </c>
      <c r="Q47" s="141" t="s">
        <v>426</v>
      </c>
      <c r="R47" s="125" t="s">
        <v>63</v>
      </c>
      <c r="S47" s="125" t="s">
        <v>63</v>
      </c>
      <c r="T47" s="126" t="s">
        <v>154</v>
      </c>
    </row>
    <row r="48" s="110" customFormat="1" ht="12.45" spans="1:20">
      <c r="B48" s="130"/>
      <c r="C48" s="131" t="s">
        <v>389</v>
      </c>
      <c r="D48" s="134" t="e">
        <f>项目基准价!$C$13*PRODUCT(赋权表!F48:T48)</f>
        <v>#REF!</v>
      </c>
      <c r="E48" s="147" t="e">
        <f>D47/D48-1</f>
        <v>#REF!</v>
      </c>
      <c r="F48" s="141" t="e">
        <f>F34</f>
        <v>#REF!</v>
      </c>
      <c r="G48" s="141">
        <f>G34</f>
        <v>1</v>
      </c>
      <c r="H48" s="141">
        <f>H42</f>
        <v>0.96</v>
      </c>
      <c r="I48" s="141">
        <f>I34</f>
        <v>1</v>
      </c>
      <c r="J48" s="141">
        <f t="shared" ref="J48:M48" si="25">J34</f>
        <v>1</v>
      </c>
      <c r="K48" s="141">
        <f t="shared" si="25"/>
        <v>1.05</v>
      </c>
      <c r="L48" s="141" t="e">
        <f>L46</f>
        <v>#REF!</v>
      </c>
      <c r="M48" s="141" t="e">
        <f t="shared" si="25"/>
        <v>#REF!</v>
      </c>
      <c r="N48" s="141">
        <f>N40</f>
        <v>1</v>
      </c>
      <c r="O48" s="141" t="e">
        <f t="shared" ref="O48:P48" si="26">O40</f>
        <v>#REF!</v>
      </c>
      <c r="P48" s="141" t="e">
        <f t="shared" si="26"/>
        <v>#REF!</v>
      </c>
      <c r="Q48" s="141">
        <f>【1】定价因子!F32</f>
        <v>1.03</v>
      </c>
      <c r="R48" s="141">
        <f>R38</f>
        <v>1</v>
      </c>
      <c r="S48" s="141">
        <f t="shared" ref="S48" si="27">S38</f>
        <v>1.03</v>
      </c>
      <c r="T48" s="141">
        <f>T20</f>
        <v>1.02</v>
      </c>
    </row>
    <row r="49" s="110" customFormat="1" ht="12.45" spans="1:20">
      <c r="A49" s="110" t="s">
        <v>427</v>
      </c>
      <c r="B49" s="130" t="s">
        <v>428</v>
      </c>
      <c r="C49" s="131" t="s">
        <v>387</v>
      </c>
      <c r="D49" s="134">
        <v>1449</v>
      </c>
      <c r="E49" s="132"/>
      <c r="F49" s="125" t="s">
        <v>149</v>
      </c>
      <c r="G49" s="125" t="s">
        <v>146</v>
      </c>
      <c r="H49" s="125" t="s">
        <v>365</v>
      </c>
      <c r="I49" s="125" t="s">
        <v>54</v>
      </c>
      <c r="J49" s="125" t="s">
        <v>54</v>
      </c>
      <c r="K49" s="137" t="s">
        <v>51</v>
      </c>
      <c r="L49" s="125" t="s">
        <v>366</v>
      </c>
      <c r="M49" s="125" t="s">
        <v>63</v>
      </c>
      <c r="N49" s="125" t="s">
        <v>63</v>
      </c>
      <c r="O49" s="126" t="s">
        <v>63</v>
      </c>
      <c r="P49" s="125" t="s">
        <v>54</v>
      </c>
      <c r="Q49" s="141" t="s">
        <v>391</v>
      </c>
      <c r="R49" s="125" t="s">
        <v>132</v>
      </c>
      <c r="S49" s="126" t="s">
        <v>388</v>
      </c>
      <c r="T49" s="125" t="s">
        <v>63</v>
      </c>
    </row>
    <row r="50" s="110" customFormat="1" ht="12.45" spans="1:20">
      <c r="B50" s="130"/>
      <c r="C50" s="131" t="s">
        <v>389</v>
      </c>
      <c r="D50" s="134" t="e">
        <f>项目基准价!$C$13*PRODUCT(赋权表!F50:T50)</f>
        <v>#REF!</v>
      </c>
      <c r="E50" s="147" t="e">
        <f>D49/D50-1</f>
        <v>#REF!</v>
      </c>
      <c r="F50" s="141" t="e">
        <f>F26</f>
        <v>#REF!</v>
      </c>
      <c r="G50" s="141">
        <f t="shared" ref="G50:M50" si="28">G26</f>
        <v>1</v>
      </c>
      <c r="H50" s="141">
        <f t="shared" si="28"/>
        <v>0.96</v>
      </c>
      <c r="I50" s="141">
        <f t="shared" si="28"/>
        <v>1</v>
      </c>
      <c r="J50" s="141">
        <f t="shared" si="28"/>
        <v>1</v>
      </c>
      <c r="K50" s="141">
        <f t="shared" si="28"/>
        <v>1</v>
      </c>
      <c r="L50" s="141" t="e">
        <f t="shared" si="28"/>
        <v>#REF!</v>
      </c>
      <c r="M50" s="141" t="e">
        <f t="shared" si="28"/>
        <v>#REF!</v>
      </c>
      <c r="N50" s="141">
        <f>N48</f>
        <v>1</v>
      </c>
      <c r="O50" s="141" t="e">
        <f>O48</f>
        <v>#REF!</v>
      </c>
      <c r="P50" s="141" t="e">
        <f>P48</f>
        <v>#REF!</v>
      </c>
      <c r="Q50" s="141">
        <f>Q46</f>
        <v>1.02</v>
      </c>
      <c r="R50" s="141">
        <f>R46</f>
        <v>1.04</v>
      </c>
      <c r="S50" s="141">
        <f>S44</f>
        <v>1</v>
      </c>
      <c r="T50" s="141">
        <f>T46</f>
        <v>1</v>
      </c>
    </row>
    <row r="51" s="110" customFormat="1" ht="12.45" spans="1:20">
      <c r="B51" s="130" t="s">
        <v>429</v>
      </c>
      <c r="C51" s="131" t="s">
        <v>387</v>
      </c>
      <c r="D51" s="134">
        <v>1449</v>
      </c>
      <c r="E51" s="132"/>
      <c r="F51" s="125" t="s">
        <v>149</v>
      </c>
      <c r="G51" s="125" t="s">
        <v>146</v>
      </c>
      <c r="H51" s="125" t="s">
        <v>365</v>
      </c>
      <c r="I51" s="125" t="s">
        <v>54</v>
      </c>
      <c r="J51" s="125" t="s">
        <v>54</v>
      </c>
      <c r="K51" s="125" t="s">
        <v>54</v>
      </c>
      <c r="L51" s="125" t="s">
        <v>384</v>
      </c>
      <c r="M51" s="125" t="s">
        <v>63</v>
      </c>
      <c r="N51" s="125" t="s">
        <v>63</v>
      </c>
      <c r="O51" s="126" t="s">
        <v>63</v>
      </c>
      <c r="P51" s="125" t="s">
        <v>54</v>
      </c>
      <c r="Q51" s="141" t="s">
        <v>367</v>
      </c>
      <c r="R51" s="125" t="s">
        <v>63</v>
      </c>
      <c r="S51" s="125" t="s">
        <v>63</v>
      </c>
      <c r="T51" s="125" t="s">
        <v>63</v>
      </c>
    </row>
    <row r="52" s="110" customFormat="1" ht="12.45" spans="1:20">
      <c r="B52" s="130"/>
      <c r="C52" s="131" t="s">
        <v>389</v>
      </c>
      <c r="D52" s="134" t="e">
        <f>项目基准价!$C$13*PRODUCT(赋权表!F52:T52)</f>
        <v>#REF!</v>
      </c>
      <c r="E52" s="147" t="e">
        <f>D51/D52-1</f>
        <v>#REF!</v>
      </c>
      <c r="F52" s="141" t="e">
        <f>F14</f>
        <v>#REF!</v>
      </c>
      <c r="G52" s="141">
        <f t="shared" ref="G52:M52" si="29">G14</f>
        <v>1</v>
      </c>
      <c r="H52" s="141">
        <f t="shared" si="29"/>
        <v>0.96</v>
      </c>
      <c r="I52" s="141">
        <f t="shared" si="29"/>
        <v>1</v>
      </c>
      <c r="J52" s="141">
        <f t="shared" si="29"/>
        <v>1</v>
      </c>
      <c r="K52" s="141">
        <f t="shared" si="29"/>
        <v>1</v>
      </c>
      <c r="L52" s="141" t="e">
        <f t="shared" si="29"/>
        <v>#REF!</v>
      </c>
      <c r="M52" s="141" t="e">
        <f t="shared" si="29"/>
        <v>#REF!</v>
      </c>
      <c r="N52" s="141">
        <f>N50</f>
        <v>1</v>
      </c>
      <c r="O52" s="141" t="e">
        <f t="shared" ref="O52:P52" si="30">O50</f>
        <v>#REF!</v>
      </c>
      <c r="P52" s="141" t="e">
        <f t="shared" si="30"/>
        <v>#REF!</v>
      </c>
      <c r="Q52" s="141">
        <f>Q8</f>
        <v>1</v>
      </c>
      <c r="R52" s="141">
        <f>R48</f>
        <v>1</v>
      </c>
      <c r="S52" s="141">
        <f t="shared" ref="S52" si="31">S48</f>
        <v>1.03</v>
      </c>
      <c r="T52" s="141">
        <f>T46</f>
        <v>1</v>
      </c>
    </row>
    <row r="53" s="110" customFormat="1" ht="12.45" spans="1:20">
      <c r="B53" s="130" t="s">
        <v>430</v>
      </c>
      <c r="C53" s="131"/>
      <c r="D53" s="130"/>
      <c r="E53" s="132"/>
      <c r="F53" s="133">
        <f>SUM(F55:F71)</f>
        <v>152</v>
      </c>
      <c r="G53" s="133">
        <f t="shared" ref="G53:T53" si="32">SUM(G55:G71)</f>
        <v>65</v>
      </c>
      <c r="H53" s="133">
        <f t="shared" si="32"/>
        <v>32</v>
      </c>
      <c r="I53" s="133">
        <f t="shared" si="32"/>
        <v>125</v>
      </c>
      <c r="J53" s="133">
        <f t="shared" si="32"/>
        <v>139</v>
      </c>
      <c r="K53" s="133">
        <f t="shared" si="32"/>
        <v>51</v>
      </c>
      <c r="L53" s="133">
        <f t="shared" si="32"/>
        <v>38</v>
      </c>
      <c r="M53" s="133">
        <f t="shared" si="32"/>
        <v>26</v>
      </c>
      <c r="N53" s="133">
        <f t="shared" si="32"/>
        <v>154</v>
      </c>
      <c r="O53" s="133">
        <f t="shared" si="32"/>
        <v>123</v>
      </c>
      <c r="P53" s="133">
        <f t="shared" si="32"/>
        <v>144</v>
      </c>
      <c r="Q53" s="133">
        <f t="shared" si="32"/>
        <v>74</v>
      </c>
      <c r="R53" s="133">
        <f t="shared" si="32"/>
        <v>86</v>
      </c>
      <c r="S53" s="133">
        <f t="shared" si="32"/>
        <v>161</v>
      </c>
      <c r="T53" s="133">
        <f t="shared" si="32"/>
        <v>100</v>
      </c>
    </row>
    <row r="54" s="110" customFormat="1" ht="12.45" spans="1:20">
      <c r="A54" s="155">
        <f>6%/150</f>
        <v>0.0004</v>
      </c>
      <c r="B54" s="130" t="s">
        <v>431</v>
      </c>
      <c r="C54" s="131"/>
      <c r="D54" s="130"/>
      <c r="E54" s="132"/>
      <c r="F54" s="156">
        <v>0.06</v>
      </c>
      <c r="G54" s="156">
        <v>0.025</v>
      </c>
      <c r="H54" s="156">
        <v>0.015</v>
      </c>
      <c r="I54" s="156">
        <v>0.05</v>
      </c>
      <c r="J54" s="156">
        <v>0.055</v>
      </c>
      <c r="K54" s="156">
        <v>0.02</v>
      </c>
      <c r="L54" s="156">
        <v>0.015</v>
      </c>
      <c r="M54" s="156">
        <v>0.01</v>
      </c>
      <c r="N54" s="156">
        <v>0.06</v>
      </c>
      <c r="O54" s="156">
        <v>0.05</v>
      </c>
      <c r="P54" s="156">
        <v>0.06</v>
      </c>
      <c r="Q54" s="156">
        <v>0.015</v>
      </c>
      <c r="R54" s="156">
        <v>0.035</v>
      </c>
      <c r="S54" s="156">
        <v>0.065</v>
      </c>
      <c r="T54" s="156">
        <v>0.04</v>
      </c>
    </row>
    <row r="55" spans="1:20">
      <c r="A55" s="112" t="s">
        <v>432</v>
      </c>
      <c r="E55" s="157"/>
      <c r="F55" s="158">
        <v>20</v>
      </c>
      <c r="G55" s="112">
        <v>2</v>
      </c>
      <c r="H55" s="112">
        <v>12</v>
      </c>
      <c r="I55" s="112">
        <v>20</v>
      </c>
      <c r="J55" s="112">
        <v>10</v>
      </c>
      <c r="K55" s="112">
        <v>8</v>
      </c>
      <c r="L55" s="112">
        <v>12</v>
      </c>
      <c r="M55" s="112">
        <v>0</v>
      </c>
      <c r="N55" s="112">
        <v>26</v>
      </c>
      <c r="O55" s="112">
        <v>18</v>
      </c>
      <c r="P55" s="112">
        <v>26</v>
      </c>
      <c r="Q55" s="112">
        <v>10</v>
      </c>
      <c r="R55" s="112">
        <v>4</v>
      </c>
      <c r="S55" s="112">
        <v>26</v>
      </c>
      <c r="T55" s="112">
        <v>16</v>
      </c>
    </row>
    <row r="56" spans="1:20">
      <c r="A56" s="112" t="s">
        <v>433</v>
      </c>
      <c r="E56" s="157"/>
      <c r="F56" s="158">
        <v>13</v>
      </c>
      <c r="G56" s="112">
        <v>7</v>
      </c>
      <c r="H56" s="112">
        <v>1</v>
      </c>
      <c r="I56" s="112">
        <v>10</v>
      </c>
      <c r="J56" s="112">
        <v>14</v>
      </c>
      <c r="K56" s="112">
        <v>2</v>
      </c>
      <c r="L56" s="112">
        <v>3</v>
      </c>
      <c r="M56" s="112">
        <v>0</v>
      </c>
      <c r="N56" s="112">
        <v>9</v>
      </c>
      <c r="O56" s="112">
        <v>8</v>
      </c>
      <c r="P56" s="112">
        <v>11</v>
      </c>
      <c r="Q56" s="112">
        <v>4</v>
      </c>
      <c r="R56" s="112">
        <v>6</v>
      </c>
      <c r="S56" s="112">
        <v>11</v>
      </c>
      <c r="T56" s="112">
        <v>6</v>
      </c>
    </row>
    <row r="57" spans="1:20">
      <c r="A57" s="112" t="s">
        <v>434</v>
      </c>
      <c r="E57" s="157"/>
      <c r="F57" s="158">
        <v>20</v>
      </c>
      <c r="G57" s="112">
        <v>4</v>
      </c>
      <c r="H57" s="112">
        <v>8</v>
      </c>
      <c r="I57" s="112">
        <v>12</v>
      </c>
      <c r="J57" s="112">
        <v>18</v>
      </c>
      <c r="K57" s="112">
        <v>6</v>
      </c>
      <c r="L57" s="112">
        <v>0</v>
      </c>
      <c r="M57" s="112">
        <v>2</v>
      </c>
      <c r="N57" s="112">
        <v>26</v>
      </c>
      <c r="O57" s="112">
        <v>12</v>
      </c>
      <c r="P57" s="112">
        <v>24</v>
      </c>
      <c r="Q57" s="112">
        <v>20</v>
      </c>
      <c r="R57" s="112">
        <v>16</v>
      </c>
      <c r="S57" s="112">
        <v>28</v>
      </c>
      <c r="T57" s="112">
        <v>14</v>
      </c>
    </row>
    <row r="58" spans="1:20">
      <c r="A58" s="112" t="s">
        <v>435</v>
      </c>
      <c r="E58" s="157"/>
      <c r="F58" s="158">
        <v>14</v>
      </c>
      <c r="G58" s="112">
        <v>13</v>
      </c>
      <c r="H58" s="112">
        <v>4</v>
      </c>
      <c r="I58" s="112">
        <v>5</v>
      </c>
      <c r="J58" s="112">
        <v>5</v>
      </c>
      <c r="K58" s="112">
        <v>8</v>
      </c>
      <c r="L58" s="112">
        <v>1</v>
      </c>
      <c r="M58" s="112">
        <v>2</v>
      </c>
      <c r="N58" s="112">
        <v>4</v>
      </c>
      <c r="O58" s="112">
        <v>10</v>
      </c>
      <c r="P58" s="112">
        <v>12</v>
      </c>
      <c r="Q58" s="112">
        <v>0</v>
      </c>
      <c r="R58" s="112">
        <v>7</v>
      </c>
      <c r="S58" s="112">
        <v>11</v>
      </c>
      <c r="T58" s="112">
        <v>9</v>
      </c>
    </row>
    <row r="59" spans="1:20">
      <c r="A59" s="112" t="s">
        <v>436</v>
      </c>
      <c r="E59" s="157"/>
      <c r="F59" s="158">
        <v>13</v>
      </c>
      <c r="G59" s="112">
        <v>5</v>
      </c>
      <c r="H59" s="112">
        <v>3</v>
      </c>
      <c r="I59" s="112">
        <v>12</v>
      </c>
      <c r="J59" s="112">
        <v>14</v>
      </c>
      <c r="K59" s="112">
        <v>2</v>
      </c>
      <c r="L59" s="112">
        <v>0</v>
      </c>
      <c r="M59" s="112">
        <v>1</v>
      </c>
      <c r="N59" s="112">
        <v>7</v>
      </c>
      <c r="O59" s="112">
        <v>6</v>
      </c>
      <c r="P59" s="112">
        <v>9</v>
      </c>
      <c r="Q59" s="112">
        <v>4</v>
      </c>
      <c r="R59" s="112">
        <v>10</v>
      </c>
      <c r="S59" s="112">
        <v>10</v>
      </c>
      <c r="T59" s="112">
        <v>9</v>
      </c>
    </row>
    <row r="60" spans="1:20">
      <c r="A60" s="112" t="s">
        <v>437</v>
      </c>
      <c r="E60" s="157"/>
      <c r="F60" s="158">
        <v>24</v>
      </c>
      <c r="G60" s="112">
        <v>8</v>
      </c>
      <c r="H60" s="112">
        <v>0</v>
      </c>
      <c r="I60" s="112">
        <v>20</v>
      </c>
      <c r="J60" s="112">
        <v>26</v>
      </c>
      <c r="K60" s="112">
        <v>4</v>
      </c>
      <c r="L60" s="112">
        <v>8</v>
      </c>
      <c r="M60" s="112">
        <v>10</v>
      </c>
      <c r="N60" s="112">
        <v>18</v>
      </c>
      <c r="O60" s="112">
        <v>20</v>
      </c>
      <c r="P60" s="112">
        <v>16</v>
      </c>
      <c r="Q60" s="112">
        <v>8</v>
      </c>
      <c r="R60" s="112">
        <v>8</v>
      </c>
      <c r="S60" s="112">
        <v>24</v>
      </c>
      <c r="T60" s="112">
        <v>16</v>
      </c>
    </row>
    <row r="61" spans="1:20">
      <c r="A61" s="112" t="s">
        <v>438</v>
      </c>
      <c r="E61" s="157"/>
      <c r="F61" s="158">
        <v>22</v>
      </c>
      <c r="G61" s="112">
        <v>10</v>
      </c>
      <c r="H61" s="112">
        <v>2</v>
      </c>
      <c r="I61" s="112">
        <v>10</v>
      </c>
      <c r="J61" s="112">
        <v>10</v>
      </c>
      <c r="K61" s="112">
        <v>6</v>
      </c>
      <c r="L61" s="112">
        <v>4</v>
      </c>
      <c r="M61" s="112">
        <v>0</v>
      </c>
      <c r="N61" s="112">
        <v>26</v>
      </c>
      <c r="O61" s="112">
        <v>28</v>
      </c>
      <c r="P61" s="112">
        <v>22</v>
      </c>
      <c r="Q61" s="112">
        <v>14</v>
      </c>
      <c r="R61" s="112">
        <v>18</v>
      </c>
      <c r="S61" s="112">
        <v>22</v>
      </c>
      <c r="T61" s="112">
        <v>16</v>
      </c>
    </row>
    <row r="62" spans="1:20">
      <c r="A62" s="112" t="s">
        <v>439</v>
      </c>
      <c r="E62" s="157"/>
      <c r="F62" s="158">
        <v>8</v>
      </c>
      <c r="G62" s="112">
        <v>2</v>
      </c>
      <c r="H62" s="112">
        <v>0</v>
      </c>
      <c r="I62" s="112">
        <v>10</v>
      </c>
      <c r="J62" s="112">
        <v>14</v>
      </c>
      <c r="K62" s="112">
        <v>1</v>
      </c>
      <c r="L62" s="112">
        <v>4</v>
      </c>
      <c r="M62" s="112">
        <v>9</v>
      </c>
      <c r="N62" s="112">
        <v>6</v>
      </c>
      <c r="O62" s="112">
        <v>11</v>
      </c>
      <c r="P62" s="112">
        <v>6</v>
      </c>
      <c r="Q62" s="112">
        <v>4</v>
      </c>
      <c r="R62" s="112">
        <v>5</v>
      </c>
      <c r="S62" s="112">
        <v>13</v>
      </c>
      <c r="T62" s="112">
        <v>12</v>
      </c>
    </row>
    <row r="63" spans="1:20">
      <c r="A63" s="112" t="s">
        <v>440</v>
      </c>
      <c r="E63" s="157"/>
      <c r="F63" s="158">
        <v>18</v>
      </c>
      <c r="G63" s="112">
        <v>14</v>
      </c>
      <c r="H63" s="112">
        <v>2</v>
      </c>
      <c r="I63" s="112">
        <v>26</v>
      </c>
      <c r="J63" s="112">
        <v>28</v>
      </c>
      <c r="K63" s="112">
        <v>14</v>
      </c>
      <c r="L63" s="112">
        <v>6</v>
      </c>
      <c r="M63" s="112">
        <v>2</v>
      </c>
      <c r="N63" s="112">
        <v>32</v>
      </c>
      <c r="O63" s="112">
        <v>10</v>
      </c>
      <c r="P63" s="112">
        <v>18</v>
      </c>
      <c r="Q63" s="112">
        <v>10</v>
      </c>
      <c r="R63" s="112">
        <v>12</v>
      </c>
      <c r="S63" s="112">
        <v>16</v>
      </c>
      <c r="T63" s="112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6"/>
  <sheetViews>
    <sheetView workbookViewId="0">
      <selection activeCell="A70" sqref="A70"/>
    </sheetView>
  </sheetViews>
  <sheetFormatPr defaultColWidth="8.41666666666667" defaultRowHeight="14.1"/>
  <cols>
    <col min="1" max="1" width="14.3333333333333" style="3" customWidth="1"/>
  </cols>
  <sheetData>
    <row r="1" spans="1:1">
      <c r="A1" s="106" t="s">
        <v>355</v>
      </c>
    </row>
    <row r="2" spans="1:1">
      <c r="A2" s="106" t="s">
        <v>145</v>
      </c>
    </row>
    <row r="3" spans="1:1">
      <c r="A3" s="106" t="s">
        <v>356</v>
      </c>
    </row>
    <row r="4" spans="1:1">
      <c r="A4" s="106" t="s">
        <v>159</v>
      </c>
    </row>
    <row r="5" spans="1:1">
      <c r="A5" s="106" t="s">
        <v>164</v>
      </c>
    </row>
    <row r="6" spans="1:1">
      <c r="A6" s="106" t="s">
        <v>441</v>
      </c>
    </row>
    <row r="7" spans="1:1">
      <c r="A7" s="106" t="s">
        <v>359</v>
      </c>
    </row>
    <row r="8" spans="1:1">
      <c r="A8" s="107" t="s">
        <v>360</v>
      </c>
    </row>
    <row r="9" spans="1:1">
      <c r="A9" s="108" t="s">
        <v>57</v>
      </c>
    </row>
    <row r="10" spans="1:1">
      <c r="A10" s="108" t="s">
        <v>361</v>
      </c>
    </row>
    <row r="11" spans="1:1">
      <c r="A11" s="108" t="s">
        <v>67</v>
      </c>
    </row>
    <row r="12" spans="1:1">
      <c r="A12" s="109" t="s">
        <v>68</v>
      </c>
    </row>
    <row r="13" spans="1:1">
      <c r="A13" s="109" t="s">
        <v>104</v>
      </c>
    </row>
    <row r="14" spans="1:1">
      <c r="A14" s="108" t="s">
        <v>362</v>
      </c>
    </row>
    <row r="15" spans="1:1">
      <c r="A15" s="108" t="s">
        <v>118</v>
      </c>
    </row>
    <row r="16" spans="1:1">
      <c r="A16" s="109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0"/>
  <sheetViews>
    <sheetView workbookViewId="0">
      <selection activeCell="D11" sqref="D11"/>
    </sheetView>
  </sheetViews>
  <sheetFormatPr defaultColWidth="8.41666666666667" defaultRowHeight="14.1" outlineLevelCol="7"/>
  <cols>
    <col min="1" max="1" width="5.58333333333333" customWidth="1"/>
    <col min="2" max="2" width="9.58333333333333" customWidth="1"/>
    <col min="3" max="3" width="16.0833333333333" customWidth="1"/>
    <col min="4" max="4" width="11.6666666666667" style="37" customWidth="1" outlineLevel="1"/>
    <col min="5" max="5" width="10.5833333333333" hidden="1" customWidth="1" outlineLevel="1"/>
    <col min="6" max="6" width="9.58333333333333" customWidth="1" outlineLevel="1"/>
    <col min="7" max="7" width="10.5833333333333" hidden="1" customWidth="1" outlineLevel="1"/>
    <col min="8" max="8" width="13.9166666666667" style="100" customWidth="1"/>
  </cols>
  <sheetData>
    <row r="1" ht="16.25" customHeight="1" spans="1:8">
      <c r="A1" s="101" t="s">
        <v>442</v>
      </c>
      <c r="B1" s="101" t="s">
        <v>36</v>
      </c>
      <c r="C1" s="102" t="s">
        <v>443</v>
      </c>
      <c r="D1" s="101" t="s">
        <v>33</v>
      </c>
      <c r="E1" s="103" t="s">
        <v>444</v>
      </c>
      <c r="F1" s="101" t="s">
        <v>50</v>
      </c>
      <c r="G1" s="104" t="s">
        <v>445</v>
      </c>
      <c r="H1" s="105" t="s">
        <v>446</v>
      </c>
    </row>
    <row r="2" s="2" customFormat="1" ht="17" customHeight="1" spans="1:8">
      <c r="A2" s="2" t="str">
        <f>'【2】运营中心填-基本信息&amp;审核标准'!$E$2</f>
        <v>东福围西街30栋</v>
      </c>
      <c r="B2" s="2" t="str">
        <f>'【3-2】大区&amp;运营中心填-房间模型价'!K2</f>
        <v>开间</v>
      </c>
      <c r="C2" s="2">
        <f>VLOOKUP(B2,【1】定价因子!L:M,2,0)</f>
        <v>1612.1</v>
      </c>
      <c r="D2" s="37" t="s">
        <v>44</v>
      </c>
      <c r="E2" s="2">
        <f>VLOOKUP(D2,【1】定价因子!$D:$F,3,0)</f>
        <v>0.98</v>
      </c>
      <c r="F2" s="2" t="str">
        <f>IF('【2】运营中心填-基本信息&amp;审核标准'!$D$4="否","无",IF('【2】运营中心填-基本信息&amp;审核标准'!$D$4="是","有"))</f>
        <v>无</v>
      </c>
      <c r="G2" s="2">
        <f>VLOOKUP(F2,【1】定价因子!D:F,3,0)</f>
        <v>1</v>
      </c>
      <c r="H2" s="39">
        <f>C2*PRODUCT(G2,,E2)</f>
        <v>1579.858</v>
      </c>
    </row>
    <row r="3" s="37" customFormat="1" spans="1:8">
      <c r="A3" s="2" t="str">
        <f>'【2】运营中心填-基本信息&amp;审核标准'!$E$2</f>
        <v>东福围西街30栋</v>
      </c>
      <c r="B3" s="2" t="str">
        <f>'【3-2】大区&amp;运营中心填-房间模型价'!K3</f>
        <v>一居室</v>
      </c>
      <c r="C3" s="2">
        <f>VLOOKUP(B3,【1】定价因子!L:M,2,0)</f>
        <v>2402.5</v>
      </c>
      <c r="D3" s="37" t="s">
        <v>44</v>
      </c>
      <c r="E3" s="2">
        <f>VLOOKUP(D3,【1】定价因子!$D:$F,3,0)</f>
        <v>0.98</v>
      </c>
      <c r="F3" s="2" t="str">
        <f>IF('【2】运营中心填-基本信息&amp;审核标准'!$D$4="否","无",IF('【2】运营中心填-基本信息&amp;审核标准'!$D$4="是","有"))</f>
        <v>无</v>
      </c>
      <c r="G3" s="2">
        <f>VLOOKUP(F3,【1】定价因子!D:F,3,0)</f>
        <v>1</v>
      </c>
      <c r="H3" s="39">
        <f t="shared" ref="H3:H10" si="0">C3*PRODUCT(G3,,E3)</f>
        <v>2354.45</v>
      </c>
    </row>
    <row r="4" spans="1:8">
      <c r="A4" s="2" t="str">
        <f>'【2】运营中心填-基本信息&amp;审核标准'!$E$2</f>
        <v>东福围西街30栋</v>
      </c>
      <c r="B4" s="2" t="str">
        <f>'【3-2】大区&amp;运营中心填-房间模型价'!K4</f>
        <v/>
      </c>
      <c r="C4" s="2" t="e">
        <f>VLOOKUP(B4,【1】定价因子!L:M,2,0)</f>
        <v>#N/A</v>
      </c>
      <c r="D4" s="37" t="s">
        <v>34</v>
      </c>
      <c r="E4" s="2">
        <f>VLOOKUP(D4,【1】定价因子!$D:$F,3,0)</f>
        <v>1.04</v>
      </c>
      <c r="F4" s="2" t="str">
        <f>IF('【2】运营中心填-基本信息&amp;审核标准'!$D$4="否","无",IF('【2】运营中心填-基本信息&amp;审核标准'!$D$4="是","有"))</f>
        <v>无</v>
      </c>
      <c r="G4" s="2">
        <f>VLOOKUP(F4,【1】定价因子!D:F,3,0)</f>
        <v>1</v>
      </c>
      <c r="H4" s="39" t="e">
        <f t="shared" si="0"/>
        <v>#N/A</v>
      </c>
    </row>
    <row r="5" spans="1:8">
      <c r="A5" s="2" t="str">
        <f>'【2】运营中心填-基本信息&amp;审核标准'!$E$2</f>
        <v>东福围西街30栋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37" t="s">
        <v>34</v>
      </c>
      <c r="E5" s="2">
        <f>VLOOKUP(D5,【1】定价因子!$D:$F,3,0)</f>
        <v>1.04</v>
      </c>
      <c r="F5" s="2" t="str">
        <f>IF('【2】运营中心填-基本信息&amp;审核标准'!$D$4="否","无",IF('【2】运营中心填-基本信息&amp;审核标准'!$D$4="是","有"))</f>
        <v>无</v>
      </c>
      <c r="G5" s="2">
        <f>VLOOKUP(F5,【1】定价因子!D:F,3,0)</f>
        <v>1</v>
      </c>
      <c r="H5" s="39" t="e">
        <f t="shared" si="0"/>
        <v>#N/A</v>
      </c>
    </row>
    <row r="6" spans="1:8">
      <c r="A6" s="2" t="str">
        <f>'【2】运营中心填-基本信息&amp;审核标准'!$E$2</f>
        <v>东福围西街30栋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37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无</v>
      </c>
      <c r="G6" s="2">
        <f>VLOOKUP(F6,【1】定价因子!D:F,3,0)</f>
        <v>1</v>
      </c>
      <c r="H6" s="39" t="e">
        <f t="shared" si="0"/>
        <v>#N/A</v>
      </c>
    </row>
    <row r="7" spans="1:8">
      <c r="A7" s="2" t="str">
        <f>'【2】运营中心填-基本信息&amp;审核标准'!$E$2</f>
        <v>东福围西街30栋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37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无</v>
      </c>
      <c r="G7" s="2">
        <f>VLOOKUP(F7,【1】定价因子!D:F,3,0)</f>
        <v>1</v>
      </c>
      <c r="H7" s="39" t="e">
        <f t="shared" si="0"/>
        <v>#N/A</v>
      </c>
    </row>
    <row r="8" spans="1:8">
      <c r="A8" s="2" t="str">
        <f>'【2】运营中心填-基本信息&amp;审核标准'!$E$2</f>
        <v>东福围西街30栋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37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无</v>
      </c>
      <c r="G8" s="2">
        <f>VLOOKUP(F8,【1】定价因子!D:F,3,0)</f>
        <v>1</v>
      </c>
      <c r="H8" s="39" t="e">
        <f t="shared" si="0"/>
        <v>#N/A</v>
      </c>
    </row>
    <row r="9" spans="1:8">
      <c r="A9" s="2" t="str">
        <f>'【2】运营中心填-基本信息&amp;审核标准'!$E$2</f>
        <v>东福围西街30栋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37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无</v>
      </c>
      <c r="G9" s="2">
        <f>VLOOKUP(F9,【1】定价因子!D:F,3,0)</f>
        <v>1</v>
      </c>
      <c r="H9" s="39" t="e">
        <f t="shared" si="0"/>
        <v>#N/A</v>
      </c>
    </row>
    <row r="10" spans="1:8">
      <c r="A10" s="2" t="str">
        <f>'【2】运营中心填-基本信息&amp;审核标准'!$E$2</f>
        <v>东福围西街30栋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37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无</v>
      </c>
      <c r="G10" s="2">
        <f>VLOOKUP(F10,【1】定价因子!D:F,3,0)</f>
        <v>1</v>
      </c>
      <c r="H10" s="39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200"/>
  <sheetViews>
    <sheetView topLeftCell="A42" workbookViewId="0">
      <selection activeCell="K73" sqref="K73"/>
    </sheetView>
  </sheetViews>
  <sheetFormatPr defaultColWidth="8.66666666666667" defaultRowHeight="14.1"/>
  <cols>
    <col min="1" max="1" width="7.58333333333333" style="2" customWidth="1"/>
    <col min="2" max="2" width="5.58333333333333" style="2" customWidth="1"/>
    <col min="3" max="3" width="6.25" style="2" customWidth="1"/>
    <col min="4" max="4" width="33.6666666666667" style="2" customWidth="1"/>
    <col min="5" max="5" width="9.58333333333333" style="2" customWidth="1"/>
    <col min="6" max="6" width="24.9166666666667" style="2" customWidth="1"/>
    <col min="7" max="7" width="13.9166666666667" style="2" customWidth="1"/>
    <col min="8" max="8" width="9.58333333333333" style="2" customWidth="1"/>
    <col min="9" max="9" width="9.58333333333333" customWidth="1"/>
    <col min="10" max="11" width="7.33333333333333" customWidth="1"/>
    <col min="12" max="12" width="13.9166666666667" customWidth="1"/>
    <col min="13" max="13" width="12.0833333333333" customWidth="1"/>
    <col min="14" max="14" width="17.0833333333333" customWidth="1"/>
    <col min="15" max="15" width="16.25" customWidth="1"/>
  </cols>
  <sheetData>
    <row r="1" ht="17.1" spans="1:35">
      <c r="D1" s="85" t="s">
        <v>447</v>
      </c>
      <c r="E1" s="85"/>
      <c r="F1" s="85"/>
      <c r="G1" s="85"/>
      <c r="H1" s="3"/>
    </row>
    <row r="2" ht="16.25" spans="1:35">
      <c r="A2" s="86" t="s">
        <v>448</v>
      </c>
      <c r="B2" s="86" t="s">
        <v>361</v>
      </c>
      <c r="C2" s="86" t="s">
        <v>272</v>
      </c>
      <c r="D2" s="87" t="s">
        <v>449</v>
      </c>
      <c r="E2" s="87" t="s">
        <v>450</v>
      </c>
      <c r="F2" s="88" t="s">
        <v>451</v>
      </c>
      <c r="G2" s="87" t="s">
        <v>452</v>
      </c>
      <c r="H2" s="86" t="s">
        <v>453</v>
      </c>
      <c r="I2" s="87" t="s">
        <v>454</v>
      </c>
      <c r="J2" s="89"/>
      <c r="K2" s="89"/>
      <c r="L2" s="90" t="s">
        <v>455</v>
      </c>
      <c r="M2" s="90"/>
      <c r="N2" s="90"/>
      <c r="O2" s="90"/>
    </row>
    <row r="3" ht="16.25" spans="1:35">
      <c r="A3" s="42">
        <f>'【3-2】大区&amp;运营中心填-房间模型价'!H2</f>
        <v>301</v>
      </c>
      <c r="B3" s="42" t="str">
        <f>'【3-2】大区&amp;运营中心填-房间模型价'!I2</f>
        <v>A</v>
      </c>
      <c r="C3" s="91" t="str">
        <f>VLOOKUP(A3,'【3-2】大区&amp;运营中心填-房间模型价'!H:J,3,0)</f>
        <v>开间</v>
      </c>
      <c r="D3" s="13">
        <v>0.5</v>
      </c>
      <c r="E3" s="13">
        <v>0</v>
      </c>
      <c r="F3" s="13">
        <v>0</v>
      </c>
      <c r="G3" s="13">
        <v>1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92"/>
      <c r="J3" s="93"/>
      <c r="K3" s="93"/>
      <c r="L3" s="90" t="s">
        <v>456</v>
      </c>
      <c r="M3" s="90"/>
      <c r="N3" s="90"/>
      <c r="O3" s="90" t="s">
        <v>457</v>
      </c>
    </row>
    <row r="4" ht="16.25" spans="1:35">
      <c r="A4" s="42">
        <f>'【3-2】大区&amp;运营中心填-房间模型价'!H3</f>
        <v>302</v>
      </c>
      <c r="B4" s="42" t="str">
        <f>'【3-2】大区&amp;运营中心填-房间模型价'!I3</f>
        <v>B</v>
      </c>
      <c r="C4" s="91" t="str">
        <f>VLOOKUP(A4,'【3-2】大区&amp;运营中心填-房间模型价'!H:J,3,0)</f>
        <v>开间</v>
      </c>
      <c r="D4" s="13">
        <v>1</v>
      </c>
      <c r="E4" s="13">
        <v>0</v>
      </c>
      <c r="F4" s="13">
        <v>0</v>
      </c>
      <c r="G4" s="13">
        <v>1</v>
      </c>
      <c r="H4" s="13" t="str">
        <f t="shared" ref="H4:H67" si="0">IF(C4="开间",IF(D4+E4*2-G4&lt;=0,"1",IF(D4+E4*2-G4&lt;=1,"2",IF(D4+E4*2-G4&lt;=2,"3",IF(D4+E4*2-G4&lt;=3,"4","5")))),IF(D4+E4*2-G4&lt;1.1,"1",IF(D4+E4*2-G4&lt;=2,"2",IF(D4+E4*2-G4&lt;=3,"3",IF(D4+E4*2-G4&lt;=4,"4","5")))))</f>
        <v>1</v>
      </c>
      <c r="I4" s="92"/>
      <c r="J4" s="93"/>
      <c r="K4" s="93"/>
      <c r="L4" s="4" t="s">
        <v>458</v>
      </c>
      <c r="M4" s="4"/>
      <c r="N4" s="4"/>
      <c r="O4" s="4">
        <v>-1</v>
      </c>
    </row>
    <row r="5" ht="16.25" spans="1:35">
      <c r="A5" s="42">
        <f>'【3-2】大区&amp;运营中心填-房间模型价'!H4</f>
        <v>303</v>
      </c>
      <c r="B5" s="42" t="str">
        <f>'【3-2】大区&amp;运营中心填-房间模型价'!I4</f>
        <v>C</v>
      </c>
      <c r="C5" s="91" t="str">
        <f>VLOOKUP(A5,'【3-2】大区&amp;运营中心填-房间模型价'!H:J,3,0)</f>
        <v>开间</v>
      </c>
      <c r="D5" s="13">
        <v>1</v>
      </c>
      <c r="E5" s="13">
        <v>0</v>
      </c>
      <c r="F5" s="13">
        <v>0</v>
      </c>
      <c r="G5" s="13">
        <v>1</v>
      </c>
      <c r="H5" s="13" t="str">
        <f t="shared" si="0"/>
        <v>1</v>
      </c>
      <c r="I5" s="92"/>
      <c r="L5" s="94" t="s">
        <v>459</v>
      </c>
      <c r="M5" s="4" t="s">
        <v>460</v>
      </c>
      <c r="N5" s="4"/>
      <c r="O5" s="4">
        <v>0</v>
      </c>
    </row>
    <row r="6" ht="16.25" spans="1:35">
      <c r="A6" s="42">
        <f>'【3-2】大区&amp;运营中心填-房间模型价'!H5</f>
        <v>304</v>
      </c>
      <c r="B6" s="42" t="str">
        <f>'【3-2】大区&amp;运营中心填-房间模型价'!I5</f>
        <v>D</v>
      </c>
      <c r="C6" s="91" t="str">
        <f>VLOOKUP(A6,'【3-2】大区&amp;运营中心填-房间模型价'!H:J,3,0)</f>
        <v>开间</v>
      </c>
      <c r="D6" s="13">
        <v>1</v>
      </c>
      <c r="E6" s="13">
        <v>0</v>
      </c>
      <c r="F6" s="13">
        <v>0</v>
      </c>
      <c r="G6" s="13">
        <v>1</v>
      </c>
      <c r="H6" s="13" t="str">
        <f t="shared" si="0"/>
        <v>1</v>
      </c>
      <c r="I6" s="92"/>
      <c r="L6" s="95"/>
      <c r="M6" s="96" t="s">
        <v>461</v>
      </c>
      <c r="N6" s="10"/>
      <c r="O6" s="4">
        <v>0</v>
      </c>
    </row>
    <row r="7" ht="16.25" spans="1:35">
      <c r="A7" s="42">
        <f>'【3-2】大区&amp;运营中心填-房间模型价'!H6</f>
        <v>305</v>
      </c>
      <c r="B7" s="42" t="str">
        <f>'【3-2】大区&amp;运营中心填-房间模型价'!I6</f>
        <v>E</v>
      </c>
      <c r="C7" s="91" t="str">
        <f>VLOOKUP(A7,'【3-2】大区&amp;运营中心填-房间模型价'!H:J,3,0)</f>
        <v>开间</v>
      </c>
      <c r="D7" s="13">
        <v>1.5</v>
      </c>
      <c r="E7" s="13">
        <v>0</v>
      </c>
      <c r="F7" s="13">
        <v>0</v>
      </c>
      <c r="G7" s="13">
        <v>2</v>
      </c>
      <c r="H7" s="13" t="str">
        <f t="shared" si="0"/>
        <v>1</v>
      </c>
      <c r="I7" s="92"/>
      <c r="L7" s="95"/>
      <c r="M7" s="96" t="s">
        <v>462</v>
      </c>
      <c r="N7" s="10"/>
      <c r="O7" s="4" t="s">
        <v>463</v>
      </c>
    </row>
    <row r="8" ht="16.25" spans="1:35">
      <c r="A8" s="42">
        <f>'【3-2】大区&amp;运营中心填-房间模型价'!H7</f>
        <v>306</v>
      </c>
      <c r="B8" s="42" t="str">
        <f>'【3-2】大区&amp;运营中心填-房间模型价'!I7</f>
        <v>F</v>
      </c>
      <c r="C8" s="91" t="str">
        <f>VLOOKUP(A8,'【3-2】大区&amp;运营中心填-房间模型价'!H:J,3,0)</f>
        <v>开间</v>
      </c>
      <c r="D8" s="13">
        <v>1</v>
      </c>
      <c r="E8" s="13">
        <v>0</v>
      </c>
      <c r="F8" s="13">
        <v>0</v>
      </c>
      <c r="G8" s="13">
        <v>1</v>
      </c>
      <c r="H8" s="13" t="str">
        <f t="shared" si="0"/>
        <v>1</v>
      </c>
      <c r="I8" s="92"/>
      <c r="L8" s="97"/>
      <c r="M8" s="96" t="s">
        <v>464</v>
      </c>
      <c r="N8" s="10"/>
      <c r="O8" s="4" t="s">
        <v>463</v>
      </c>
    </row>
    <row r="9" ht="16.25" spans="1:35">
      <c r="A9" s="42">
        <f>'【3-2】大区&amp;运营中心填-房间模型价'!H8</f>
        <v>307</v>
      </c>
      <c r="B9" s="42" t="str">
        <f>'【3-2】大区&amp;运营中心填-房间模型价'!I8</f>
        <v>G</v>
      </c>
      <c r="C9" s="91" t="str">
        <f>VLOOKUP(A9,'【3-2】大区&amp;运营中心填-房间模型价'!H:J,3,0)</f>
        <v>开间</v>
      </c>
      <c r="D9" s="13">
        <v>1</v>
      </c>
      <c r="E9" s="13">
        <v>0</v>
      </c>
      <c r="F9" s="13">
        <v>0</v>
      </c>
      <c r="G9" s="13">
        <v>1</v>
      </c>
      <c r="H9" s="13" t="str">
        <f t="shared" si="0"/>
        <v>1</v>
      </c>
      <c r="I9" s="92"/>
      <c r="L9" s="4"/>
      <c r="M9" s="4"/>
      <c r="N9" s="4"/>
      <c r="O9" s="4"/>
    </row>
    <row r="10" ht="16.25" spans="1:35">
      <c r="A10" s="42">
        <f>'【3-2】大区&amp;运营中心填-房间模型价'!H9</f>
        <v>308</v>
      </c>
      <c r="B10" s="42" t="str">
        <f>'【3-2】大区&amp;运营中心填-房间模型价'!I9</f>
        <v>H</v>
      </c>
      <c r="C10" s="91" t="str">
        <f>VLOOKUP(A10,'【3-2】大区&amp;运营中心填-房间模型价'!H:J,3,0)</f>
        <v>开间</v>
      </c>
      <c r="D10" s="13">
        <v>1.5</v>
      </c>
      <c r="E10" s="13">
        <v>0</v>
      </c>
      <c r="F10" s="13">
        <v>0</v>
      </c>
      <c r="G10" s="13">
        <v>1</v>
      </c>
      <c r="H10" s="13" t="str">
        <f t="shared" si="0"/>
        <v>2</v>
      </c>
      <c r="I10" s="92"/>
    </row>
    <row r="11" ht="16.25" spans="1:35">
      <c r="A11" s="42">
        <f>'【3-2】大区&amp;运营中心填-房间模型价'!H10</f>
        <v>309</v>
      </c>
      <c r="B11" s="42" t="str">
        <f>'【3-2】大区&amp;运营中心填-房间模型价'!I10</f>
        <v>I</v>
      </c>
      <c r="C11" s="91" t="str">
        <f>VLOOKUP(A11,'【3-2】大区&amp;运营中心填-房间模型价'!H:J,3,0)</f>
        <v>一居室</v>
      </c>
      <c r="D11" s="13">
        <v>2</v>
      </c>
      <c r="E11" s="13">
        <v>0</v>
      </c>
      <c r="F11" s="13">
        <v>0</v>
      </c>
      <c r="G11" s="13">
        <v>0</v>
      </c>
      <c r="H11" s="13" t="str">
        <f t="shared" si="0"/>
        <v>2</v>
      </c>
      <c r="I11" s="92"/>
    </row>
    <row r="12" ht="16.25" spans="1:35">
      <c r="A12" s="42">
        <f>'【3-2】大区&amp;运营中心填-房间模型价'!H11</f>
        <v>310</v>
      </c>
      <c r="B12" s="42" t="str">
        <f>'【3-2】大区&amp;运营中心填-房间模型价'!I11</f>
        <v>I</v>
      </c>
      <c r="C12" s="91" t="str">
        <f>VLOOKUP(A12,'【3-2】大区&amp;运营中心填-房间模型价'!H:J,3,0)</f>
        <v>一居室</v>
      </c>
      <c r="D12" s="13">
        <v>2</v>
      </c>
      <c r="E12" s="13">
        <v>0</v>
      </c>
      <c r="F12" s="13">
        <v>0</v>
      </c>
      <c r="G12" s="13">
        <v>0</v>
      </c>
      <c r="H12" s="13" t="str">
        <f t="shared" si="0"/>
        <v>2</v>
      </c>
      <c r="I12" s="92"/>
    </row>
    <row r="13" ht="16.25" spans="1:35">
      <c r="A13" s="42">
        <f>'【3-2】大区&amp;运营中心填-房间模型价'!H12</f>
        <v>311</v>
      </c>
      <c r="B13" s="42" t="str">
        <f>'【3-2】大区&amp;运营中心填-房间模型价'!I12</f>
        <v>J</v>
      </c>
      <c r="C13" s="91" t="str">
        <f>VLOOKUP(A13,'【3-2】大区&amp;运营中心填-房间模型价'!H:J,3,0)</f>
        <v>开间</v>
      </c>
      <c r="D13" s="13">
        <v>1</v>
      </c>
      <c r="E13" s="13">
        <v>0</v>
      </c>
      <c r="F13" s="13">
        <v>0</v>
      </c>
      <c r="G13" s="13">
        <v>1</v>
      </c>
      <c r="H13" s="13" t="str">
        <f t="shared" si="0"/>
        <v>1</v>
      </c>
      <c r="I13" s="92"/>
    </row>
    <row r="14" ht="16.25" spans="1:35">
      <c r="A14" s="42">
        <f>'【3-2】大区&amp;运营中心填-房间模型价'!H13</f>
        <v>312</v>
      </c>
      <c r="B14" s="42" t="str">
        <f>'【3-2】大区&amp;运营中心填-房间模型价'!I13</f>
        <v>K</v>
      </c>
      <c r="C14" s="91" t="str">
        <f>VLOOKUP(A14,'【3-2】大区&amp;运营中心填-房间模型价'!H:J,3,0)</f>
        <v>一居室</v>
      </c>
      <c r="D14" s="13">
        <v>2</v>
      </c>
      <c r="E14" s="13">
        <v>0</v>
      </c>
      <c r="F14" s="13">
        <v>0</v>
      </c>
      <c r="G14" s="13">
        <v>0</v>
      </c>
      <c r="H14" s="13" t="str">
        <f t="shared" si="0"/>
        <v>2</v>
      </c>
      <c r="I14" s="92"/>
    </row>
    <row r="15" ht="16.25" spans="1:35">
      <c r="A15" s="42">
        <f>'【3-2】大区&amp;运营中心填-房间模型价'!H14</f>
        <v>313</v>
      </c>
      <c r="B15" s="42" t="str">
        <f>'【3-2】大区&amp;运营中心填-房间模型价'!I14</f>
        <v>L</v>
      </c>
      <c r="C15" s="91" t="str">
        <f>VLOOKUP(A15,'【3-2】大区&amp;运营中心填-房间模型价'!H:J,3,0)</f>
        <v>一居室</v>
      </c>
      <c r="D15" s="13">
        <v>3</v>
      </c>
      <c r="E15" s="13">
        <v>0</v>
      </c>
      <c r="F15" s="13">
        <v>0</v>
      </c>
      <c r="G15" s="13">
        <v>0</v>
      </c>
      <c r="H15" s="13" t="str">
        <f t="shared" si="0"/>
        <v>3</v>
      </c>
      <c r="I15" s="92"/>
    </row>
    <row r="16" ht="23.1" spans="1:35">
      <c r="A16" s="42">
        <f>'【3-2】大区&amp;运营中心填-房间模型价'!H15</f>
        <v>314</v>
      </c>
      <c r="B16" s="42" t="str">
        <f>'【3-2】大区&amp;运营中心填-房间模型价'!I15</f>
        <v>M</v>
      </c>
      <c r="C16" s="91" t="str">
        <f>VLOOKUP(A16,'【3-2】大区&amp;运营中心填-房间模型价'!H:J,3,0)</f>
        <v>开间</v>
      </c>
      <c r="D16" s="13">
        <v>1</v>
      </c>
      <c r="E16" s="13">
        <v>0</v>
      </c>
      <c r="F16" s="13">
        <v>0</v>
      </c>
      <c r="G16" s="13">
        <v>1</v>
      </c>
      <c r="H16" s="13" t="str">
        <f t="shared" si="0"/>
        <v>1</v>
      </c>
      <c r="I16" s="92"/>
      <c r="L16" s="98" t="s">
        <v>465</v>
      </c>
      <c r="M16" s="98"/>
      <c r="N16" s="98"/>
      <c r="O16" s="98"/>
      <c r="P16" s="98"/>
      <c r="R16" s="98" t="s">
        <v>466</v>
      </c>
      <c r="S16" s="98"/>
      <c r="T16" s="98"/>
      <c r="U16" s="98"/>
      <c r="V16" s="98"/>
      <c r="W16" s="98"/>
      <c r="X16" s="98"/>
      <c r="Y16" s="98"/>
      <c r="Z16" s="98"/>
      <c r="AB16" s="98" t="s">
        <v>467</v>
      </c>
      <c r="AC16" s="98"/>
      <c r="AD16" s="98"/>
      <c r="AE16" s="98"/>
      <c r="AF16" s="98"/>
      <c r="AG16" s="98"/>
      <c r="AH16" s="98"/>
      <c r="AI16" s="98"/>
    </row>
    <row r="17" ht="16.25" spans="1:9">
      <c r="A17" s="42">
        <f>'【3-2】大区&amp;运营中心填-房间模型价'!H16</f>
        <v>315</v>
      </c>
      <c r="B17" s="42" t="str">
        <f>'【3-2】大区&amp;运营中心填-房间模型价'!I16</f>
        <v>N</v>
      </c>
      <c r="C17" s="91" t="str">
        <f>VLOOKUP(A17,'【3-2】大区&amp;运营中心填-房间模型价'!H:J,3,0)</f>
        <v>开间</v>
      </c>
      <c r="D17" s="13">
        <v>2</v>
      </c>
      <c r="E17" s="13">
        <v>0</v>
      </c>
      <c r="F17" s="13">
        <v>0</v>
      </c>
      <c r="G17" s="13">
        <v>2</v>
      </c>
      <c r="H17" s="13" t="str">
        <f t="shared" si="0"/>
        <v>1</v>
      </c>
      <c r="I17" s="92"/>
    </row>
    <row r="18" ht="16.25" spans="1:9">
      <c r="A18" s="42">
        <f>'【3-2】大区&amp;运营中心填-房间模型价'!H17</f>
        <v>316</v>
      </c>
      <c r="B18" s="42" t="str">
        <f>'【3-2】大区&amp;运营中心填-房间模型价'!I17</f>
        <v>O</v>
      </c>
      <c r="C18" s="91" t="str">
        <f>VLOOKUP(A18,'【3-2】大区&amp;运营中心填-房间模型价'!H:J,3,0)</f>
        <v>开间</v>
      </c>
      <c r="D18" s="13">
        <v>1</v>
      </c>
      <c r="E18" s="13">
        <v>0</v>
      </c>
      <c r="F18" s="13">
        <v>0</v>
      </c>
      <c r="G18" s="13">
        <v>1</v>
      </c>
      <c r="H18" s="13" t="str">
        <f t="shared" si="0"/>
        <v>1</v>
      </c>
      <c r="I18" s="92"/>
    </row>
    <row r="19" ht="16.25" spans="1:9">
      <c r="A19" s="42">
        <f>'【3-2】大区&amp;运营中心填-房间模型价'!H18</f>
        <v>317</v>
      </c>
      <c r="B19" s="42" t="str">
        <f>'【3-2】大区&amp;运营中心填-房间模型价'!I18</f>
        <v>P</v>
      </c>
      <c r="C19" s="91" t="str">
        <f>VLOOKUP(A19,'【3-2】大区&amp;运营中心填-房间模型价'!H:J,3,0)</f>
        <v>开间</v>
      </c>
      <c r="D19" s="13">
        <v>1</v>
      </c>
      <c r="E19" s="13">
        <v>0</v>
      </c>
      <c r="F19" s="13">
        <v>0</v>
      </c>
      <c r="G19" s="13">
        <v>1</v>
      </c>
      <c r="H19" s="13" t="str">
        <f t="shared" si="0"/>
        <v>1</v>
      </c>
      <c r="I19" s="92"/>
    </row>
    <row r="20" ht="16.25" spans="1:9">
      <c r="A20" s="42">
        <f>'【3-2】大区&amp;运营中心填-房间模型价'!H19</f>
        <v>401</v>
      </c>
      <c r="B20" s="42" t="str">
        <f>'【3-2】大区&amp;运营中心填-房间模型价'!I19</f>
        <v>Q</v>
      </c>
      <c r="C20" s="91" t="str">
        <f>VLOOKUP(A20,'【3-2】大区&amp;运营中心填-房间模型价'!H:J,3,0)</f>
        <v>一居室</v>
      </c>
      <c r="D20" s="13">
        <v>2</v>
      </c>
      <c r="E20" s="13">
        <v>0</v>
      </c>
      <c r="F20" s="13">
        <v>0</v>
      </c>
      <c r="G20" s="13">
        <v>2</v>
      </c>
      <c r="H20" s="13" t="str">
        <f t="shared" si="0"/>
        <v>1</v>
      </c>
      <c r="I20" s="92"/>
    </row>
    <row r="21" ht="16.25" spans="1:9">
      <c r="A21" s="42">
        <f>'【3-2】大区&amp;运营中心填-房间模型价'!H20</f>
        <v>402</v>
      </c>
      <c r="B21" s="42" t="str">
        <f>'【3-2】大区&amp;运营中心填-房间模型价'!I20</f>
        <v>R</v>
      </c>
      <c r="C21" s="91" t="str">
        <f>VLOOKUP(A21,'【3-2】大区&amp;运营中心填-房间模型价'!H:J,3,0)</f>
        <v>一居室</v>
      </c>
      <c r="D21" s="13">
        <v>0</v>
      </c>
      <c r="E21" s="13">
        <v>1</v>
      </c>
      <c r="F21" s="13" t="s">
        <v>468</v>
      </c>
      <c r="G21" s="13">
        <v>2</v>
      </c>
      <c r="H21" s="13" t="str">
        <f t="shared" si="0"/>
        <v>1</v>
      </c>
      <c r="I21" s="92"/>
    </row>
    <row r="22" ht="16.25" spans="1:9">
      <c r="A22" s="42">
        <f>'【3-2】大区&amp;运营中心填-房间模型价'!H21</f>
        <v>403</v>
      </c>
      <c r="B22" s="42" t="str">
        <f>'【3-2】大区&amp;运营中心填-房间模型价'!I21</f>
        <v>S</v>
      </c>
      <c r="C22" s="91" t="str">
        <f>VLOOKUP(A22,'【3-2】大区&amp;运营中心填-房间模型价'!H:J,3,0)</f>
        <v>开间</v>
      </c>
      <c r="D22" s="13">
        <v>1</v>
      </c>
      <c r="E22" s="13">
        <v>0</v>
      </c>
      <c r="F22" s="13">
        <v>0</v>
      </c>
      <c r="G22" s="13">
        <v>1</v>
      </c>
      <c r="H22" s="13" t="str">
        <f t="shared" si="0"/>
        <v>1</v>
      </c>
      <c r="I22" s="92"/>
    </row>
    <row r="23" ht="16.25" spans="1:9">
      <c r="A23" s="42">
        <f>'【3-2】大区&amp;运营中心填-房间模型价'!H22</f>
        <v>404</v>
      </c>
      <c r="B23" s="42" t="str">
        <f>'【3-2】大区&amp;运营中心填-房间模型价'!I22</f>
        <v>T</v>
      </c>
      <c r="C23" s="91" t="str">
        <f>VLOOKUP(A23,'【3-2】大区&amp;运营中心填-房间模型价'!H:J,3,0)</f>
        <v>开间</v>
      </c>
      <c r="D23" s="13">
        <v>0</v>
      </c>
      <c r="E23" s="13">
        <v>1</v>
      </c>
      <c r="F23" s="13" t="s">
        <v>469</v>
      </c>
      <c r="G23" s="13">
        <v>2</v>
      </c>
      <c r="H23" s="13" t="str">
        <f t="shared" si="0"/>
        <v>1</v>
      </c>
      <c r="I23" s="92"/>
    </row>
    <row r="24" ht="16.25" spans="1:9">
      <c r="A24" s="42">
        <f>'【3-2】大区&amp;运营中心填-房间模型价'!H23</f>
        <v>405</v>
      </c>
      <c r="B24" s="42" t="str">
        <f>'【3-2】大区&amp;运营中心填-房间模型价'!I23</f>
        <v>U</v>
      </c>
      <c r="C24" s="91" t="str">
        <f>VLOOKUP(A24,'【3-2】大区&amp;运营中心填-房间模型价'!H:J,3,0)</f>
        <v>一居室</v>
      </c>
      <c r="D24" s="13">
        <v>2.5</v>
      </c>
      <c r="E24" s="13">
        <v>1</v>
      </c>
      <c r="F24" s="13" t="s">
        <v>470</v>
      </c>
      <c r="G24" s="13">
        <v>4</v>
      </c>
      <c r="H24" s="13" t="str">
        <f t="shared" si="0"/>
        <v>1</v>
      </c>
      <c r="I24" s="92"/>
    </row>
    <row r="25" ht="16.25" spans="1:9">
      <c r="A25" s="42">
        <f>'【3-2】大区&amp;运营中心填-房间模型价'!H24</f>
        <v>406</v>
      </c>
      <c r="B25" s="42" t="str">
        <f>'【3-2】大区&amp;运营中心填-房间模型价'!I24</f>
        <v>V</v>
      </c>
      <c r="C25" s="91" t="str">
        <f>VLOOKUP(A25,'【3-2】大区&amp;运营中心填-房间模型价'!H:J,3,0)</f>
        <v>开间</v>
      </c>
      <c r="D25" s="13">
        <v>0</v>
      </c>
      <c r="E25" s="13">
        <v>1</v>
      </c>
      <c r="F25" s="13" t="s">
        <v>469</v>
      </c>
      <c r="G25" s="13">
        <v>0</v>
      </c>
      <c r="H25" s="13" t="str">
        <f t="shared" si="0"/>
        <v>3</v>
      </c>
      <c r="I25" s="92"/>
    </row>
    <row r="26" ht="16.25" spans="1:9">
      <c r="A26" s="42">
        <f>'【3-2】大区&amp;运营中心填-房间模型价'!H25</f>
        <v>407</v>
      </c>
      <c r="B26" s="42" t="str">
        <f>'【3-2】大区&amp;运营中心填-房间模型价'!I25</f>
        <v>W</v>
      </c>
      <c r="C26" s="91" t="str">
        <f>VLOOKUP(A26,'【3-2】大区&amp;运营中心填-房间模型价'!H:J,3,0)</f>
        <v>一居室</v>
      </c>
      <c r="D26" s="13">
        <v>1.5</v>
      </c>
      <c r="E26" s="13">
        <v>0</v>
      </c>
      <c r="F26" s="13">
        <v>0</v>
      </c>
      <c r="G26" s="13">
        <v>0</v>
      </c>
      <c r="H26" s="13" t="str">
        <f t="shared" si="0"/>
        <v>2</v>
      </c>
      <c r="I26" s="92"/>
    </row>
    <row r="27" ht="16.25" spans="1:9">
      <c r="A27" s="42">
        <f>'【3-2】大区&amp;运营中心填-房间模型价'!H26</f>
        <v>408</v>
      </c>
      <c r="B27" s="42" t="str">
        <f>'【3-2】大区&amp;运营中心填-房间模型价'!I26</f>
        <v>W</v>
      </c>
      <c r="C27" s="91" t="str">
        <f>VLOOKUP(A27,'【3-2】大区&amp;运营中心填-房间模型价'!H:J,3,0)</f>
        <v>一居室</v>
      </c>
      <c r="D27" s="13">
        <v>1.5</v>
      </c>
      <c r="E27" s="13">
        <v>0</v>
      </c>
      <c r="F27" s="13">
        <v>0</v>
      </c>
      <c r="G27" s="13">
        <v>0</v>
      </c>
      <c r="H27" s="13" t="str">
        <f t="shared" si="0"/>
        <v>2</v>
      </c>
      <c r="I27" s="92"/>
    </row>
    <row r="28" ht="16.25" spans="1:9">
      <c r="A28" s="42">
        <f>'【3-2】大区&amp;运营中心填-房间模型价'!H27</f>
        <v>409</v>
      </c>
      <c r="B28" s="42" t="str">
        <f>'【3-2】大区&amp;运营中心填-房间模型价'!I27</f>
        <v>V</v>
      </c>
      <c r="C28" s="91" t="str">
        <f>VLOOKUP(A28,'【3-2】大区&amp;运营中心填-房间模型价'!H:J,3,0)</f>
        <v>开间</v>
      </c>
      <c r="D28" s="13">
        <v>0</v>
      </c>
      <c r="E28" s="13">
        <v>1</v>
      </c>
      <c r="F28" s="13" t="s">
        <v>469</v>
      </c>
      <c r="G28" s="13">
        <v>0</v>
      </c>
      <c r="H28" s="13" t="str">
        <f t="shared" si="0"/>
        <v>3</v>
      </c>
      <c r="I28" s="92"/>
    </row>
    <row r="29" ht="16.25" spans="1:9">
      <c r="A29" s="42">
        <f>'【3-2】大区&amp;运营中心填-房间模型价'!H28</f>
        <v>410</v>
      </c>
      <c r="B29" s="42" t="str">
        <f>'【3-2】大区&amp;运营中心填-房间模型价'!I28</f>
        <v>X</v>
      </c>
      <c r="C29" s="91" t="str">
        <f>VLOOKUP(A29,'【3-2】大区&amp;运营中心填-房间模型价'!H:J,3,0)</f>
        <v>一居室</v>
      </c>
      <c r="D29" s="13">
        <v>2.5</v>
      </c>
      <c r="E29" s="13">
        <v>1</v>
      </c>
      <c r="F29" s="13" t="s">
        <v>470</v>
      </c>
      <c r="G29" s="13">
        <v>4</v>
      </c>
      <c r="H29" s="13" t="str">
        <f t="shared" si="0"/>
        <v>1</v>
      </c>
      <c r="I29" s="92"/>
    </row>
    <row r="30" ht="16.25" spans="1:9">
      <c r="A30" s="42">
        <f>'【3-2】大区&amp;运营中心填-房间模型价'!H29</f>
        <v>411</v>
      </c>
      <c r="B30" s="42" t="str">
        <f>'【3-2】大区&amp;运营中心填-房间模型价'!I29</f>
        <v>Y</v>
      </c>
      <c r="C30" s="91" t="str">
        <f>VLOOKUP(A30,'【3-2】大区&amp;运营中心填-房间模型价'!H:J,3,0)</f>
        <v>开间</v>
      </c>
      <c r="D30" s="13">
        <v>0</v>
      </c>
      <c r="E30" s="13">
        <v>1</v>
      </c>
      <c r="F30" s="13" t="s">
        <v>469</v>
      </c>
      <c r="G30" s="13">
        <v>2</v>
      </c>
      <c r="H30" s="13" t="str">
        <f t="shared" si="0"/>
        <v>1</v>
      </c>
      <c r="I30" s="92"/>
    </row>
    <row r="31" ht="16.25" spans="1:9">
      <c r="A31" s="42">
        <f>'【3-2】大区&amp;运营中心填-房间模型价'!H30</f>
        <v>412</v>
      </c>
      <c r="B31" s="42" t="str">
        <f>'【3-2】大区&amp;运营中心填-房间模型价'!I30</f>
        <v>Z</v>
      </c>
      <c r="C31" s="91" t="str">
        <f>VLOOKUP(A31,'【3-2】大区&amp;运营中心填-房间模型价'!H:J,3,0)</f>
        <v>开间</v>
      </c>
      <c r="D31" s="13">
        <v>1</v>
      </c>
      <c r="E31" s="13">
        <v>0</v>
      </c>
      <c r="F31" s="13">
        <v>0</v>
      </c>
      <c r="G31" s="13">
        <v>1</v>
      </c>
      <c r="H31" s="13" t="str">
        <f t="shared" si="0"/>
        <v>1</v>
      </c>
      <c r="I31" s="92"/>
    </row>
    <row r="32" ht="16.25" spans="1:9">
      <c r="A32" s="42">
        <f>'【3-2】大区&amp;运营中心填-房间模型价'!H31</f>
        <v>413</v>
      </c>
      <c r="B32" s="42" t="str">
        <f>'【3-2】大区&amp;运营中心填-房间模型价'!I31</f>
        <v>R</v>
      </c>
      <c r="C32" s="91" t="str">
        <f>VLOOKUP(A32,'【3-2】大区&amp;运营中心填-房间模型价'!H:J,3,0)</f>
        <v>一居室</v>
      </c>
      <c r="D32" s="13">
        <v>0</v>
      </c>
      <c r="E32" s="13">
        <v>1</v>
      </c>
      <c r="F32" s="13" t="s">
        <v>468</v>
      </c>
      <c r="G32" s="13">
        <v>2</v>
      </c>
      <c r="H32" s="13" t="str">
        <f t="shared" si="0"/>
        <v>1</v>
      </c>
      <c r="I32" s="92"/>
    </row>
    <row r="33" ht="16.25" spans="1:9">
      <c r="A33" s="42">
        <f>'【3-2】大区&amp;运营中心填-房间模型价'!H32</f>
        <v>414</v>
      </c>
      <c r="B33" s="42" t="str">
        <f>'【3-2】大区&amp;运营中心填-房间模型价'!I32</f>
        <v>Q</v>
      </c>
      <c r="C33" s="91" t="str">
        <f>VLOOKUP(A33,'【3-2】大区&amp;运营中心填-房间模型价'!H:J,3,0)</f>
        <v>一居室</v>
      </c>
      <c r="D33" s="13">
        <v>2</v>
      </c>
      <c r="E33" s="13">
        <v>0</v>
      </c>
      <c r="F33" s="13">
        <v>0</v>
      </c>
      <c r="G33" s="13">
        <v>2</v>
      </c>
      <c r="H33" s="13" t="str">
        <f t="shared" si="0"/>
        <v>1</v>
      </c>
      <c r="I33" s="92"/>
    </row>
    <row r="34" ht="16.25" spans="1:9">
      <c r="A34" s="42">
        <f>'【3-2】大区&amp;运营中心填-房间模型价'!H33</f>
        <v>501</v>
      </c>
      <c r="B34" s="42" t="str">
        <f>'【3-2】大区&amp;运营中心填-房间模型价'!I33</f>
        <v>Q</v>
      </c>
      <c r="C34" s="91" t="str">
        <f>VLOOKUP(A34,'【3-2】大区&amp;运营中心填-房间模型价'!H:J,3,0)</f>
        <v>一居室</v>
      </c>
      <c r="D34" s="13">
        <v>2</v>
      </c>
      <c r="E34" s="13">
        <v>0</v>
      </c>
      <c r="F34" s="13">
        <v>0</v>
      </c>
      <c r="G34" s="13">
        <v>2</v>
      </c>
      <c r="H34" s="13" t="str">
        <f t="shared" si="0"/>
        <v>1</v>
      </c>
      <c r="I34" s="92"/>
    </row>
    <row r="35" ht="16.25" spans="1:9">
      <c r="A35" s="42">
        <f>'【3-2】大区&amp;运营中心填-房间模型价'!H34</f>
        <v>502</v>
      </c>
      <c r="B35" s="42" t="str">
        <f>'【3-2】大区&amp;运营中心填-房间模型价'!I34</f>
        <v>R</v>
      </c>
      <c r="C35" s="91" t="str">
        <f>VLOOKUP(A35,'【3-2】大区&amp;运营中心填-房间模型价'!H:J,3,0)</f>
        <v>一居室</v>
      </c>
      <c r="D35" s="13">
        <v>0</v>
      </c>
      <c r="E35" s="13">
        <v>1</v>
      </c>
      <c r="F35" s="13" t="s">
        <v>468</v>
      </c>
      <c r="G35" s="13">
        <v>2</v>
      </c>
      <c r="H35" s="13" t="str">
        <f t="shared" si="0"/>
        <v>1</v>
      </c>
      <c r="I35" s="92"/>
    </row>
    <row r="36" ht="16.25" spans="1:9">
      <c r="A36" s="42">
        <f>'【3-2】大区&amp;运营中心填-房间模型价'!H35</f>
        <v>503</v>
      </c>
      <c r="B36" s="42" t="str">
        <f>'【3-2】大区&amp;运营中心填-房间模型价'!I35</f>
        <v>S</v>
      </c>
      <c r="C36" s="91" t="str">
        <f>VLOOKUP(A36,'【3-2】大区&amp;运营中心填-房间模型价'!H:J,3,0)</f>
        <v>开间</v>
      </c>
      <c r="D36" s="13">
        <v>1</v>
      </c>
      <c r="E36" s="13">
        <v>0</v>
      </c>
      <c r="F36" s="13">
        <v>0</v>
      </c>
      <c r="G36" s="13">
        <v>1</v>
      </c>
      <c r="H36" s="13" t="str">
        <f t="shared" si="0"/>
        <v>1</v>
      </c>
      <c r="I36" s="92"/>
    </row>
    <row r="37" ht="16.25" spans="1:9">
      <c r="A37" s="42">
        <f>'【3-2】大区&amp;运营中心填-房间模型价'!H36</f>
        <v>504</v>
      </c>
      <c r="B37" s="42" t="str">
        <f>'【3-2】大区&amp;运营中心填-房间模型价'!I36</f>
        <v>T</v>
      </c>
      <c r="C37" s="91" t="str">
        <f>VLOOKUP(A37,'【3-2】大区&amp;运营中心填-房间模型价'!H:J,3,0)</f>
        <v>开间</v>
      </c>
      <c r="D37" s="13">
        <v>0</v>
      </c>
      <c r="E37" s="13">
        <v>1</v>
      </c>
      <c r="F37" s="13" t="s">
        <v>468</v>
      </c>
      <c r="G37" s="13">
        <v>2</v>
      </c>
      <c r="H37" s="13" t="str">
        <f t="shared" si="0"/>
        <v>1</v>
      </c>
      <c r="I37" s="92"/>
    </row>
    <row r="38" ht="16.25" spans="1:9">
      <c r="A38" s="42">
        <f>'【3-2】大区&amp;运营中心填-房间模型价'!H37</f>
        <v>505</v>
      </c>
      <c r="B38" s="42" t="str">
        <f>'【3-2】大区&amp;运营中心填-房间模型价'!I37</f>
        <v>U</v>
      </c>
      <c r="C38" s="91" t="str">
        <f>VLOOKUP(A38,'【3-2】大区&amp;运营中心填-房间模型价'!H:J,3,0)</f>
        <v>一居室</v>
      </c>
      <c r="D38" s="13">
        <v>2.5</v>
      </c>
      <c r="E38" s="13">
        <v>1</v>
      </c>
      <c r="F38" s="13" t="s">
        <v>469</v>
      </c>
      <c r="G38" s="13">
        <v>3</v>
      </c>
      <c r="H38" s="13" t="str">
        <f t="shared" si="0"/>
        <v>2</v>
      </c>
      <c r="I38" s="92"/>
    </row>
    <row r="39" ht="16.25" spans="1:9">
      <c r="A39" s="42">
        <f>'【3-2】大区&amp;运营中心填-房间模型价'!H38</f>
        <v>506</v>
      </c>
      <c r="B39" s="42" t="str">
        <f>'【3-2】大区&amp;运营中心填-房间模型价'!I38</f>
        <v>V</v>
      </c>
      <c r="C39" s="91" t="str">
        <f>VLOOKUP(A39,'【3-2】大区&amp;运营中心填-房间模型价'!H:J,3,0)</f>
        <v>开间</v>
      </c>
      <c r="D39" s="13">
        <v>0</v>
      </c>
      <c r="E39" s="13">
        <v>1</v>
      </c>
      <c r="F39" s="13" t="s">
        <v>468</v>
      </c>
      <c r="G39" s="13">
        <v>0</v>
      </c>
      <c r="H39" s="13" t="str">
        <f t="shared" si="0"/>
        <v>3</v>
      </c>
      <c r="I39" s="92"/>
    </row>
    <row r="40" ht="16.25" spans="1:9">
      <c r="A40" s="42">
        <f>'【3-2】大区&amp;运营中心填-房间模型价'!H39</f>
        <v>507</v>
      </c>
      <c r="B40" s="42" t="str">
        <f>'【3-2】大区&amp;运营中心填-房间模型价'!I39</f>
        <v>W</v>
      </c>
      <c r="C40" s="91" t="str">
        <f>VLOOKUP(A40,'【3-2】大区&amp;运营中心填-房间模型价'!H:J,3,0)</f>
        <v>一居室</v>
      </c>
      <c r="D40" s="13">
        <v>1.5</v>
      </c>
      <c r="E40" s="13">
        <v>0</v>
      </c>
      <c r="F40" s="13">
        <v>0</v>
      </c>
      <c r="G40" s="13">
        <v>0</v>
      </c>
      <c r="H40" s="13" t="str">
        <f t="shared" si="0"/>
        <v>2</v>
      </c>
      <c r="I40" s="92"/>
    </row>
    <row r="41" ht="16.25" spans="1:9">
      <c r="A41" s="42">
        <f>'【3-2】大区&amp;运营中心填-房间模型价'!H40</f>
        <v>508</v>
      </c>
      <c r="B41" s="42" t="str">
        <f>'【3-2】大区&amp;运营中心填-房间模型价'!I40</f>
        <v>W</v>
      </c>
      <c r="C41" s="91" t="str">
        <f>VLOOKUP(A41,'【3-2】大区&amp;运营中心填-房间模型价'!H:J,3,0)</f>
        <v>一居室</v>
      </c>
      <c r="D41" s="13">
        <v>1.5</v>
      </c>
      <c r="E41" s="13">
        <v>0</v>
      </c>
      <c r="F41" s="13">
        <v>0</v>
      </c>
      <c r="G41" s="13">
        <v>0</v>
      </c>
      <c r="H41" s="13" t="str">
        <f t="shared" si="0"/>
        <v>2</v>
      </c>
      <c r="I41" s="92"/>
    </row>
    <row r="42" ht="16.25" spans="1:9">
      <c r="A42" s="42">
        <f>'【3-2】大区&amp;运营中心填-房间模型价'!H41</f>
        <v>509</v>
      </c>
      <c r="B42" s="42" t="str">
        <f>'【3-2】大区&amp;运营中心填-房间模型价'!I41</f>
        <v>V</v>
      </c>
      <c r="C42" s="91" t="str">
        <f>VLOOKUP(A42,'【3-2】大区&amp;运营中心填-房间模型价'!H:J,3,0)</f>
        <v>开间</v>
      </c>
      <c r="D42" s="13">
        <v>0</v>
      </c>
      <c r="E42" s="13">
        <v>1</v>
      </c>
      <c r="F42" s="13" t="s">
        <v>471</v>
      </c>
      <c r="G42" s="13">
        <v>0</v>
      </c>
      <c r="H42" s="13" t="str">
        <f t="shared" si="0"/>
        <v>3</v>
      </c>
      <c r="I42" s="92"/>
    </row>
    <row r="43" ht="16.25" spans="1:9">
      <c r="A43" s="42">
        <f>'【3-2】大区&amp;运营中心填-房间模型价'!H42</f>
        <v>510</v>
      </c>
      <c r="B43" s="42" t="str">
        <f>'【3-2】大区&amp;运营中心填-房间模型价'!I42</f>
        <v>X</v>
      </c>
      <c r="C43" s="91" t="str">
        <f>VLOOKUP(A43,'【3-2】大区&amp;运营中心填-房间模型价'!H:J,3,0)</f>
        <v>一居室</v>
      </c>
      <c r="D43" s="13">
        <v>2.5</v>
      </c>
      <c r="E43" s="13">
        <v>1</v>
      </c>
      <c r="F43" s="13" t="s">
        <v>469</v>
      </c>
      <c r="G43" s="13">
        <v>3</v>
      </c>
      <c r="H43" s="13" t="str">
        <f t="shared" si="0"/>
        <v>2</v>
      </c>
      <c r="I43" s="92"/>
    </row>
    <row r="44" ht="16.25" spans="1:9">
      <c r="A44" s="42">
        <f>'【3-2】大区&amp;运营中心填-房间模型价'!H43</f>
        <v>511</v>
      </c>
      <c r="B44" s="42" t="str">
        <f>'【3-2】大区&amp;运营中心填-房间模型价'!I43</f>
        <v>Y</v>
      </c>
      <c r="C44" s="91" t="str">
        <f>VLOOKUP(A44,'【3-2】大区&amp;运营中心填-房间模型价'!H:J,3,0)</f>
        <v>开间</v>
      </c>
      <c r="D44" s="13">
        <v>0</v>
      </c>
      <c r="E44" s="13">
        <v>1</v>
      </c>
      <c r="F44" s="13" t="s">
        <v>468</v>
      </c>
      <c r="G44" s="13">
        <v>2</v>
      </c>
      <c r="H44" s="13" t="str">
        <f t="shared" si="0"/>
        <v>1</v>
      </c>
      <c r="I44" s="92"/>
    </row>
    <row r="45" ht="16.25" spans="1:9">
      <c r="A45" s="42">
        <f>'【3-2】大区&amp;运营中心填-房间模型价'!H44</f>
        <v>512</v>
      </c>
      <c r="B45" s="42" t="str">
        <f>'【3-2】大区&amp;运营中心填-房间模型价'!I44</f>
        <v>Z</v>
      </c>
      <c r="C45" s="91" t="str">
        <f>VLOOKUP(A45,'【3-2】大区&amp;运营中心填-房间模型价'!H:J,3,0)</f>
        <v>开间</v>
      </c>
      <c r="D45" s="13">
        <v>1</v>
      </c>
      <c r="E45" s="13">
        <v>0</v>
      </c>
      <c r="F45" s="13">
        <v>0</v>
      </c>
      <c r="G45" s="13">
        <v>1</v>
      </c>
      <c r="H45" s="13" t="str">
        <f t="shared" si="0"/>
        <v>1</v>
      </c>
      <c r="I45" s="92"/>
    </row>
    <row r="46" ht="16.25" spans="1:9">
      <c r="A46" s="42">
        <f>'【3-2】大区&amp;运营中心填-房间模型价'!H45</f>
        <v>513</v>
      </c>
      <c r="B46" s="42" t="str">
        <f>'【3-2】大区&amp;运营中心填-房间模型价'!I45</f>
        <v>R</v>
      </c>
      <c r="C46" s="91" t="str">
        <f>VLOOKUP(A46,'【3-2】大区&amp;运营中心填-房间模型价'!H:J,3,0)</f>
        <v>一居室</v>
      </c>
      <c r="D46" s="13">
        <v>0</v>
      </c>
      <c r="E46" s="13">
        <v>1</v>
      </c>
      <c r="F46" s="13" t="s">
        <v>468</v>
      </c>
      <c r="G46" s="13">
        <v>2</v>
      </c>
      <c r="H46" s="13" t="str">
        <f t="shared" si="0"/>
        <v>1</v>
      </c>
      <c r="I46" s="92"/>
    </row>
    <row r="47" ht="16.25" spans="1:9">
      <c r="A47" s="42">
        <f>'【3-2】大区&amp;运营中心填-房间模型价'!H46</f>
        <v>514</v>
      </c>
      <c r="B47" s="42" t="str">
        <f>'【3-2】大区&amp;运营中心填-房间模型价'!I46</f>
        <v>Q</v>
      </c>
      <c r="C47" s="91" t="str">
        <f>VLOOKUP(A47,'【3-2】大区&amp;运营中心填-房间模型价'!H:J,3,0)</f>
        <v>一居室</v>
      </c>
      <c r="D47" s="13">
        <v>2</v>
      </c>
      <c r="E47" s="13">
        <v>0</v>
      </c>
      <c r="F47" s="13">
        <v>0</v>
      </c>
      <c r="G47" s="13">
        <v>2</v>
      </c>
      <c r="H47" s="13" t="str">
        <f t="shared" si="0"/>
        <v>1</v>
      </c>
      <c r="I47" s="92"/>
    </row>
    <row r="48" ht="16.25" spans="1:9">
      <c r="A48" s="42">
        <f>'【3-2】大区&amp;运营中心填-房间模型价'!H47</f>
        <v>601</v>
      </c>
      <c r="B48" s="42" t="str">
        <f>'【3-2】大区&amp;运营中心填-房间模型价'!I47</f>
        <v>Q</v>
      </c>
      <c r="C48" s="91" t="str">
        <f>VLOOKUP(A48,'【3-2】大区&amp;运营中心填-房间模型价'!H:J,3,0)</f>
        <v>一居室</v>
      </c>
      <c r="D48" s="13">
        <v>2</v>
      </c>
      <c r="E48" s="13">
        <v>0</v>
      </c>
      <c r="F48" s="13">
        <v>0</v>
      </c>
      <c r="G48" s="13">
        <v>2</v>
      </c>
      <c r="H48" s="13" t="str">
        <f t="shared" si="0"/>
        <v>1</v>
      </c>
      <c r="I48" s="92"/>
    </row>
    <row r="49" ht="16.25" spans="1:9">
      <c r="A49" s="42">
        <f>'【3-2】大区&amp;运营中心填-房间模型价'!H48</f>
        <v>602</v>
      </c>
      <c r="B49" s="42" t="str">
        <f>'【3-2】大区&amp;运营中心填-房间模型价'!I48</f>
        <v>R</v>
      </c>
      <c r="C49" s="91" t="str">
        <f>VLOOKUP(A49,'【3-2】大区&amp;运营中心填-房间模型价'!H:J,3,0)</f>
        <v>一居室</v>
      </c>
      <c r="D49" s="13">
        <v>0</v>
      </c>
      <c r="E49" s="13">
        <v>1</v>
      </c>
      <c r="F49" s="13" t="s">
        <v>468</v>
      </c>
      <c r="G49" s="13">
        <v>2</v>
      </c>
      <c r="H49" s="13" t="str">
        <f t="shared" si="0"/>
        <v>1</v>
      </c>
      <c r="I49" s="92"/>
    </row>
    <row r="50" ht="16.25" spans="1:9">
      <c r="A50" s="42">
        <f>'【3-2】大区&amp;运营中心填-房间模型价'!H49</f>
        <v>603</v>
      </c>
      <c r="B50" s="42" t="str">
        <f>'【3-2】大区&amp;运营中心填-房间模型价'!I49</f>
        <v>S</v>
      </c>
      <c r="C50" s="91" t="str">
        <f>VLOOKUP(A50,'【3-2】大区&amp;运营中心填-房间模型价'!H:J,3,0)</f>
        <v>开间</v>
      </c>
      <c r="D50" s="13">
        <v>1</v>
      </c>
      <c r="E50" s="13">
        <v>0</v>
      </c>
      <c r="F50" s="13">
        <v>0</v>
      </c>
      <c r="G50" s="13">
        <v>1</v>
      </c>
      <c r="H50" s="13" t="str">
        <f t="shared" si="0"/>
        <v>1</v>
      </c>
      <c r="I50" s="92"/>
    </row>
    <row r="51" ht="16.25" spans="1:9">
      <c r="A51" s="42">
        <f>'【3-2】大区&amp;运营中心填-房间模型价'!H50</f>
        <v>604</v>
      </c>
      <c r="B51" s="42" t="str">
        <f>'【3-2】大区&amp;运营中心填-房间模型价'!I50</f>
        <v>T</v>
      </c>
      <c r="C51" s="91" t="str">
        <f>VLOOKUP(A51,'【3-2】大区&amp;运营中心填-房间模型价'!H:J,3,0)</f>
        <v>开间</v>
      </c>
      <c r="D51" s="13">
        <v>0</v>
      </c>
      <c r="E51" s="13">
        <v>1</v>
      </c>
      <c r="F51" s="13" t="s">
        <v>468</v>
      </c>
      <c r="G51" s="13">
        <v>2</v>
      </c>
      <c r="H51" s="13" t="str">
        <f t="shared" si="0"/>
        <v>1</v>
      </c>
      <c r="I51" s="92"/>
    </row>
    <row r="52" ht="16.25" spans="1:9">
      <c r="A52" s="42">
        <f>'【3-2】大区&amp;运营中心填-房间模型价'!H51</f>
        <v>605</v>
      </c>
      <c r="B52" s="42" t="str">
        <f>'【3-2】大区&amp;运营中心填-房间模型价'!I51</f>
        <v>U</v>
      </c>
      <c r="C52" s="91" t="str">
        <f>VLOOKUP(A52,'【3-2】大区&amp;运营中心填-房间模型价'!H:J,3,0)</f>
        <v>一居室</v>
      </c>
      <c r="D52" s="13">
        <v>2.5</v>
      </c>
      <c r="E52" s="13">
        <v>1</v>
      </c>
      <c r="F52" s="13" t="s">
        <v>469</v>
      </c>
      <c r="G52" s="13">
        <v>3</v>
      </c>
      <c r="H52" s="13" t="str">
        <f t="shared" si="0"/>
        <v>2</v>
      </c>
      <c r="I52" s="92"/>
    </row>
    <row r="53" ht="16.25" spans="1:9">
      <c r="A53" s="42">
        <f>'【3-2】大区&amp;运营中心填-房间模型价'!H52</f>
        <v>606</v>
      </c>
      <c r="B53" s="42" t="str">
        <f>'【3-2】大区&amp;运营中心填-房间模型价'!I52</f>
        <v>V</v>
      </c>
      <c r="C53" s="91" t="str">
        <f>VLOOKUP(A53,'【3-2】大区&amp;运营中心填-房间模型价'!H:J,3,0)</f>
        <v>开间</v>
      </c>
      <c r="D53" s="13">
        <v>0</v>
      </c>
      <c r="E53" s="13">
        <v>1</v>
      </c>
      <c r="F53" s="13" t="s">
        <v>471</v>
      </c>
      <c r="G53" s="13">
        <v>0</v>
      </c>
      <c r="H53" s="13" t="str">
        <f t="shared" si="0"/>
        <v>3</v>
      </c>
      <c r="I53" s="92"/>
    </row>
    <row r="54" ht="16.25" spans="1:9">
      <c r="A54" s="42">
        <f>'【3-2】大区&amp;运营中心填-房间模型价'!H53</f>
        <v>607</v>
      </c>
      <c r="B54" s="42" t="str">
        <f>'【3-2】大区&amp;运营中心填-房间模型价'!I53</f>
        <v>W</v>
      </c>
      <c r="C54" s="91" t="str">
        <f>VLOOKUP(A54,'【3-2】大区&amp;运营中心填-房间模型价'!H:J,3,0)</f>
        <v>一居室</v>
      </c>
      <c r="D54" s="13">
        <v>1.5</v>
      </c>
      <c r="E54" s="13">
        <v>0</v>
      </c>
      <c r="F54" s="13">
        <v>0</v>
      </c>
      <c r="G54" s="13">
        <v>0</v>
      </c>
      <c r="H54" s="13" t="str">
        <f t="shared" si="0"/>
        <v>2</v>
      </c>
      <c r="I54" s="92"/>
    </row>
    <row r="55" ht="16.25" spans="1:9">
      <c r="A55" s="42">
        <f>'【3-2】大区&amp;运营中心填-房间模型价'!H54</f>
        <v>608</v>
      </c>
      <c r="B55" s="42" t="str">
        <f>'【3-2】大区&amp;运营中心填-房间模型价'!I54</f>
        <v>W</v>
      </c>
      <c r="C55" s="91" t="str">
        <f>VLOOKUP(A55,'【3-2】大区&amp;运营中心填-房间模型价'!H:J,3,0)</f>
        <v>一居室</v>
      </c>
      <c r="D55" s="13">
        <v>1.5</v>
      </c>
      <c r="E55" s="13">
        <v>0</v>
      </c>
      <c r="F55" s="13">
        <v>0</v>
      </c>
      <c r="G55" s="13">
        <v>0</v>
      </c>
      <c r="H55" s="13" t="str">
        <f t="shared" si="0"/>
        <v>2</v>
      </c>
      <c r="I55" s="92"/>
    </row>
    <row r="56" ht="16.25" spans="1:9">
      <c r="A56" s="42">
        <f>'【3-2】大区&amp;运营中心填-房间模型价'!H55</f>
        <v>609</v>
      </c>
      <c r="B56" s="42" t="str">
        <f>'【3-2】大区&amp;运营中心填-房间模型价'!I55</f>
        <v>V</v>
      </c>
      <c r="C56" s="91" t="str">
        <f>VLOOKUP(A56,'【3-2】大区&amp;运营中心填-房间模型价'!H:J,3,0)</f>
        <v>开间</v>
      </c>
      <c r="D56" s="13">
        <v>0</v>
      </c>
      <c r="E56" s="13">
        <v>1</v>
      </c>
      <c r="F56" s="13" t="s">
        <v>471</v>
      </c>
      <c r="G56" s="13">
        <v>0</v>
      </c>
      <c r="H56" s="13" t="str">
        <f t="shared" si="0"/>
        <v>3</v>
      </c>
      <c r="I56" s="92"/>
    </row>
    <row r="57" ht="16.25" spans="1:9">
      <c r="A57" s="42">
        <f>'【3-2】大区&amp;运营中心填-房间模型价'!H56</f>
        <v>610</v>
      </c>
      <c r="B57" s="42" t="str">
        <f>'【3-2】大区&amp;运营中心填-房间模型价'!I56</f>
        <v>X</v>
      </c>
      <c r="C57" s="91" t="str">
        <f>VLOOKUP(A57,'【3-2】大区&amp;运营中心填-房间模型价'!H:J,3,0)</f>
        <v>一居室</v>
      </c>
      <c r="D57" s="13">
        <v>2.5</v>
      </c>
      <c r="E57" s="13">
        <v>1</v>
      </c>
      <c r="F57" s="13" t="s">
        <v>469</v>
      </c>
      <c r="G57" s="13">
        <v>3</v>
      </c>
      <c r="H57" s="13" t="str">
        <f t="shared" si="0"/>
        <v>2</v>
      </c>
      <c r="I57" s="92"/>
    </row>
    <row r="58" ht="16.25" spans="1:9">
      <c r="A58" s="42">
        <f>'【3-2】大区&amp;运营中心填-房间模型价'!H57</f>
        <v>611</v>
      </c>
      <c r="B58" s="42" t="str">
        <f>'【3-2】大区&amp;运营中心填-房间模型价'!I57</f>
        <v>Y</v>
      </c>
      <c r="C58" s="91" t="str">
        <f>VLOOKUP(A58,'【3-2】大区&amp;运营中心填-房间模型价'!H:J,3,0)</f>
        <v>开间</v>
      </c>
      <c r="D58" s="13">
        <v>0</v>
      </c>
      <c r="E58" s="13">
        <v>1</v>
      </c>
      <c r="F58" s="13" t="s">
        <v>468</v>
      </c>
      <c r="G58" s="13">
        <v>2</v>
      </c>
      <c r="H58" s="13" t="str">
        <f t="shared" si="0"/>
        <v>1</v>
      </c>
      <c r="I58" s="92"/>
    </row>
    <row r="59" ht="16.25" spans="1:9">
      <c r="A59" s="42">
        <f>'【3-2】大区&amp;运营中心填-房间模型价'!H58</f>
        <v>612</v>
      </c>
      <c r="B59" s="42" t="str">
        <f>'【3-2】大区&amp;运营中心填-房间模型价'!I58</f>
        <v>Z</v>
      </c>
      <c r="C59" s="91" t="str">
        <f>VLOOKUP(A59,'【3-2】大区&amp;运营中心填-房间模型价'!H:J,3,0)</f>
        <v>开间</v>
      </c>
      <c r="D59" s="13">
        <v>1</v>
      </c>
      <c r="E59" s="13">
        <v>0</v>
      </c>
      <c r="F59" s="13">
        <v>0</v>
      </c>
      <c r="G59" s="13">
        <v>1</v>
      </c>
      <c r="H59" s="13" t="str">
        <f t="shared" si="0"/>
        <v>1</v>
      </c>
      <c r="I59" s="92"/>
    </row>
    <row r="60" ht="16.25" spans="1:9">
      <c r="A60" s="42">
        <f>'【3-2】大区&amp;运营中心填-房间模型价'!H59</f>
        <v>613</v>
      </c>
      <c r="B60" s="42" t="str">
        <f>'【3-2】大区&amp;运营中心填-房间模型价'!I59</f>
        <v>R</v>
      </c>
      <c r="C60" s="91" t="str">
        <f>VLOOKUP(A60,'【3-2】大区&amp;运营中心填-房间模型价'!H:J,3,0)</f>
        <v>一居室</v>
      </c>
      <c r="D60" s="13">
        <v>0</v>
      </c>
      <c r="E60" s="13">
        <v>1</v>
      </c>
      <c r="F60" s="13" t="s">
        <v>468</v>
      </c>
      <c r="G60" s="13">
        <v>2</v>
      </c>
      <c r="H60" s="13" t="str">
        <f t="shared" si="0"/>
        <v>1</v>
      </c>
      <c r="I60" s="92"/>
    </row>
    <row r="61" ht="16.25" spans="1:9">
      <c r="A61" s="42">
        <f>'【3-2】大区&amp;运营中心填-房间模型价'!H60</f>
        <v>614</v>
      </c>
      <c r="B61" s="42" t="str">
        <f>'【3-2】大区&amp;运营中心填-房间模型价'!I60</f>
        <v>Q</v>
      </c>
      <c r="C61" s="91" t="str">
        <f>VLOOKUP(A61,'【3-2】大区&amp;运营中心填-房间模型价'!H:J,3,0)</f>
        <v>一居室</v>
      </c>
      <c r="D61" s="13">
        <v>2</v>
      </c>
      <c r="E61" s="13">
        <v>0</v>
      </c>
      <c r="F61" s="13">
        <v>0</v>
      </c>
      <c r="G61" s="13">
        <v>2</v>
      </c>
      <c r="H61" s="13" t="str">
        <f t="shared" si="0"/>
        <v>1</v>
      </c>
      <c r="I61" s="92"/>
    </row>
    <row r="62" ht="16.25" spans="1:9">
      <c r="A62" s="42">
        <f>'【3-2】大区&amp;运营中心填-房间模型价'!H61</f>
        <v>701</v>
      </c>
      <c r="B62" s="42" t="str">
        <f>'【3-2】大区&amp;运营中心填-房间模型价'!I61</f>
        <v>Q</v>
      </c>
      <c r="C62" s="91" t="str">
        <f>VLOOKUP(A62,'【3-2】大区&amp;运营中心填-房间模型价'!H:J,3,0)</f>
        <v>一居室</v>
      </c>
      <c r="D62" s="13">
        <v>2</v>
      </c>
      <c r="E62" s="13">
        <v>0</v>
      </c>
      <c r="F62" s="13">
        <v>0</v>
      </c>
      <c r="G62" s="13">
        <v>2</v>
      </c>
      <c r="H62" s="13" t="str">
        <f t="shared" si="0"/>
        <v>1</v>
      </c>
      <c r="I62" s="92"/>
    </row>
    <row r="63" ht="16.25" spans="1:9">
      <c r="A63" s="42">
        <f>'【3-2】大区&amp;运营中心填-房间模型价'!H62</f>
        <v>702</v>
      </c>
      <c r="B63" s="42" t="str">
        <f>'【3-2】大区&amp;运营中心填-房间模型价'!I62</f>
        <v>R</v>
      </c>
      <c r="C63" s="91" t="str">
        <f>VLOOKUP(A63,'【3-2】大区&amp;运营中心填-房间模型价'!H:J,3,0)</f>
        <v>一居室</v>
      </c>
      <c r="D63" s="13">
        <v>0</v>
      </c>
      <c r="E63" s="13">
        <v>1</v>
      </c>
      <c r="F63" s="13" t="s">
        <v>468</v>
      </c>
      <c r="G63" s="13">
        <v>2</v>
      </c>
      <c r="H63" s="13" t="str">
        <f t="shared" si="0"/>
        <v>1</v>
      </c>
      <c r="I63" s="92"/>
    </row>
    <row r="64" ht="16.25" spans="1:9">
      <c r="A64" s="42">
        <f>'【3-2】大区&amp;运营中心填-房间模型价'!H63</f>
        <v>703</v>
      </c>
      <c r="B64" s="42" t="str">
        <f>'【3-2】大区&amp;运营中心填-房间模型价'!I63</f>
        <v>S</v>
      </c>
      <c r="C64" s="91" t="str">
        <f>VLOOKUP(A64,'【3-2】大区&amp;运营中心填-房间模型价'!H:J,3,0)</f>
        <v>开间</v>
      </c>
      <c r="D64" s="13">
        <v>1</v>
      </c>
      <c r="E64" s="13">
        <v>0</v>
      </c>
      <c r="F64" s="13">
        <v>0</v>
      </c>
      <c r="G64" s="13">
        <v>1</v>
      </c>
      <c r="H64" s="13" t="str">
        <f t="shared" si="0"/>
        <v>1</v>
      </c>
      <c r="I64" s="92"/>
    </row>
    <row r="65" ht="16.25" spans="1:9">
      <c r="A65" s="42">
        <f>'【3-2】大区&amp;运营中心填-房间模型价'!H64</f>
        <v>704</v>
      </c>
      <c r="B65" s="42" t="str">
        <f>'【3-2】大区&amp;运营中心填-房间模型价'!I64</f>
        <v>AA</v>
      </c>
      <c r="C65" s="91" t="str">
        <f>VLOOKUP(A65,'【3-2】大区&amp;运营中心填-房间模型价'!H:J,3,0)</f>
        <v>开间</v>
      </c>
      <c r="D65" s="13">
        <v>0</v>
      </c>
      <c r="E65" s="13">
        <v>1</v>
      </c>
      <c r="F65" s="13" t="s">
        <v>468</v>
      </c>
      <c r="G65" s="13">
        <v>2</v>
      </c>
      <c r="H65" s="13" t="str">
        <f t="shared" si="0"/>
        <v>1</v>
      </c>
      <c r="I65" s="92"/>
    </row>
    <row r="66" ht="16.25" spans="1:9">
      <c r="A66" s="42">
        <f>'【3-2】大区&amp;运营中心填-房间模型价'!H65</f>
        <v>705</v>
      </c>
      <c r="B66" s="42" t="str">
        <f>'【3-2】大区&amp;运营中心填-房间模型价'!I65</f>
        <v>AA</v>
      </c>
      <c r="C66" s="91" t="str">
        <f>VLOOKUP(A66,'【3-2】大区&amp;运营中心填-房间模型价'!H:J,3,0)</f>
        <v>开间</v>
      </c>
      <c r="D66" s="13">
        <v>2.5</v>
      </c>
      <c r="E66" s="13">
        <v>1</v>
      </c>
      <c r="F66" s="13" t="s">
        <v>469</v>
      </c>
      <c r="G66" s="13">
        <v>3</v>
      </c>
      <c r="H66" s="13" t="str">
        <f t="shared" si="0"/>
        <v>3</v>
      </c>
      <c r="I66" s="92"/>
    </row>
    <row r="67" ht="16.25" spans="1:9">
      <c r="A67" s="42">
        <f>'【3-2】大区&amp;运营中心填-房间模型价'!H66</f>
        <v>706</v>
      </c>
      <c r="B67" s="42" t="str">
        <f>'【3-2】大区&amp;运营中心填-房间模型价'!I66</f>
        <v>BB</v>
      </c>
      <c r="C67" s="91" t="str">
        <f>VLOOKUP(A67,'【3-2】大区&amp;运营中心填-房间模型价'!H:J,3,0)</f>
        <v>开间</v>
      </c>
      <c r="D67" s="13">
        <v>0</v>
      </c>
      <c r="E67" s="13">
        <v>1</v>
      </c>
      <c r="F67" s="13" t="s">
        <v>471</v>
      </c>
      <c r="G67" s="13">
        <v>0</v>
      </c>
      <c r="H67" s="13" t="str">
        <f t="shared" si="0"/>
        <v>3</v>
      </c>
      <c r="I67" s="92"/>
    </row>
    <row r="68" ht="16.25" spans="1:9">
      <c r="A68" s="42">
        <f>'【3-2】大区&amp;运营中心填-房间模型价'!H67</f>
        <v>707</v>
      </c>
      <c r="B68" s="42" t="str">
        <f>'【3-2】大区&amp;运营中心填-房间模型价'!I67</f>
        <v>CC</v>
      </c>
      <c r="C68" s="91" t="str">
        <f>VLOOKUP(A68,'【3-2】大区&amp;运营中心填-房间模型价'!H:J,3,0)</f>
        <v>开间</v>
      </c>
      <c r="D68" s="13">
        <v>1.5</v>
      </c>
      <c r="E68" s="13">
        <v>0</v>
      </c>
      <c r="F68" s="13">
        <v>0</v>
      </c>
      <c r="G68" s="13">
        <v>0</v>
      </c>
      <c r="H68" s="13" t="str">
        <f t="shared" ref="H68:H131" si="1">IF(C68="开间",IF(D68+E68*2-G68&lt;=0,"1",IF(D68+E68*2-G68&lt;=1,"2",IF(D68+E68*2-G68&lt;=2,"3",IF(D68+E68*2-G68&lt;=3,"4","5")))),IF(D68+E68*2-G68&lt;1.1,"1",IF(D68+E68*2-G68&lt;=2,"2",IF(D68+E68*2-G68&lt;=3,"3",IF(D68+E68*2-G68&lt;=4,"4","5")))))</f>
        <v>3</v>
      </c>
      <c r="I68" s="92"/>
    </row>
    <row r="69" ht="16.25" spans="1:9">
      <c r="A69" s="42">
        <f>'【3-2】大区&amp;运营中心填-房间模型价'!H68</f>
        <v>708</v>
      </c>
      <c r="B69" s="42" t="str">
        <f>'【3-2】大区&amp;运营中心填-房间模型价'!I68</f>
        <v>W</v>
      </c>
      <c r="C69" s="91" t="str">
        <f>VLOOKUP(A69,'【3-2】大区&amp;运营中心填-房间模型价'!H:J,3,0)</f>
        <v>一居室</v>
      </c>
      <c r="D69" s="13">
        <v>1.5</v>
      </c>
      <c r="E69" s="13">
        <v>0</v>
      </c>
      <c r="F69" s="13">
        <v>0</v>
      </c>
      <c r="G69" s="13">
        <v>0</v>
      </c>
      <c r="H69" s="13" t="str">
        <f t="shared" si="1"/>
        <v>2</v>
      </c>
      <c r="I69" s="92"/>
    </row>
    <row r="70" ht="16.25" spans="1:9">
      <c r="A70" s="42">
        <f>'【3-2】大区&amp;运营中心填-房间模型价'!H69</f>
        <v>709</v>
      </c>
      <c r="B70" s="42" t="str">
        <f>'【3-2】大区&amp;运营中心填-房间模型价'!I69</f>
        <v>W</v>
      </c>
      <c r="C70" s="91" t="str">
        <f>VLOOKUP(A70,'【3-2】大区&amp;运营中心填-房间模型价'!H:J,3,0)</f>
        <v>一居室</v>
      </c>
      <c r="D70" s="13">
        <v>0</v>
      </c>
      <c r="E70" s="13">
        <v>1</v>
      </c>
      <c r="F70" s="13" t="s">
        <v>471</v>
      </c>
      <c r="G70" s="13">
        <v>0</v>
      </c>
      <c r="H70" s="13" t="str">
        <f t="shared" si="1"/>
        <v>2</v>
      </c>
      <c r="I70" s="92"/>
    </row>
    <row r="71" ht="16.25" spans="1:9">
      <c r="A71" s="42">
        <f>'【3-2】大区&amp;运营中心填-房间模型价'!H70</f>
        <v>710</v>
      </c>
      <c r="B71" s="42" t="str">
        <f>'【3-2】大区&amp;运营中心填-房间模型价'!I70</f>
        <v>V</v>
      </c>
      <c r="C71" s="91" t="str">
        <f>VLOOKUP(A71,'【3-2】大区&amp;运营中心填-房间模型价'!H:J,3,0)</f>
        <v>开间</v>
      </c>
      <c r="D71" s="13">
        <v>2.5</v>
      </c>
      <c r="E71" s="13">
        <v>1</v>
      </c>
      <c r="F71" s="13" t="s">
        <v>469</v>
      </c>
      <c r="G71" s="13">
        <v>3</v>
      </c>
      <c r="H71" s="13" t="str">
        <f t="shared" si="1"/>
        <v>3</v>
      </c>
      <c r="I71" s="92"/>
    </row>
    <row r="72" ht="16.25" spans="1:9">
      <c r="A72" s="42">
        <f>'【3-2】大区&amp;运营中心填-房间模型价'!H71</f>
        <v>711</v>
      </c>
      <c r="B72" s="42" t="str">
        <f>'【3-2】大区&amp;运营中心填-房间模型价'!I71</f>
        <v>X</v>
      </c>
      <c r="C72" s="91" t="str">
        <f>VLOOKUP(A72,'【3-2】大区&amp;运营中心填-房间模型价'!H:J,3,0)</f>
        <v>一居室</v>
      </c>
      <c r="D72" s="13">
        <v>1</v>
      </c>
      <c r="E72" s="13">
        <v>0</v>
      </c>
      <c r="F72" s="13">
        <v>0</v>
      </c>
      <c r="G72" s="13">
        <v>0</v>
      </c>
      <c r="H72" s="13" t="str">
        <f t="shared" si="1"/>
        <v>1</v>
      </c>
      <c r="I72" s="92"/>
    </row>
    <row r="73" ht="16.25" spans="1:9">
      <c r="A73" s="42">
        <f>'【3-2】大区&amp;运营中心填-房间模型价'!H72</f>
        <v>712</v>
      </c>
      <c r="B73" s="42" t="str">
        <f>'【3-2】大区&amp;运营中心填-房间模型价'!I72</f>
        <v>Y</v>
      </c>
      <c r="C73" s="91" t="str">
        <f>VLOOKUP(A73,'【3-2】大区&amp;运营中心填-房间模型价'!H:J,3,0)</f>
        <v>开间</v>
      </c>
      <c r="D73" s="13">
        <v>0</v>
      </c>
      <c r="E73" s="13">
        <v>1</v>
      </c>
      <c r="F73" s="13" t="s">
        <v>468</v>
      </c>
      <c r="G73" s="13">
        <v>0</v>
      </c>
      <c r="H73" s="13" t="str">
        <f t="shared" si="1"/>
        <v>3</v>
      </c>
      <c r="I73" s="92"/>
    </row>
    <row r="74" ht="16.25" spans="1:9">
      <c r="A74" s="42">
        <f>'【3-2】大区&amp;运营中心填-房间模型价'!H73</f>
        <v>713</v>
      </c>
      <c r="B74" s="42" t="str">
        <f>'【3-2】大区&amp;运营中心填-房间模型价'!I73</f>
        <v>Z</v>
      </c>
      <c r="C74" s="91" t="str">
        <f>VLOOKUP(A74,'【3-2】大区&amp;运营中心填-房间模型价'!H:J,3,0)</f>
        <v>开间</v>
      </c>
      <c r="D74" s="13">
        <v>1</v>
      </c>
      <c r="E74" s="13">
        <v>0</v>
      </c>
      <c r="F74" s="13">
        <v>0</v>
      </c>
      <c r="G74" s="13">
        <v>-1</v>
      </c>
      <c r="H74" s="13" t="str">
        <f t="shared" si="1"/>
        <v>3</v>
      </c>
      <c r="I74" s="92"/>
    </row>
    <row r="75" ht="16.25" spans="1:9">
      <c r="A75" s="42">
        <f>'【3-2】大区&amp;运营中心填-房间模型价'!H74</f>
        <v>714</v>
      </c>
      <c r="B75" s="42" t="str">
        <f>'【3-2】大区&amp;运营中心填-房间模型价'!I74</f>
        <v>R</v>
      </c>
      <c r="C75" s="91" t="str">
        <f>VLOOKUP(A75,'【3-2】大区&amp;运营中心填-房间模型价'!H:J,3,0)</f>
        <v>一居室</v>
      </c>
      <c r="D75" s="13">
        <v>0</v>
      </c>
      <c r="E75" s="13">
        <v>1</v>
      </c>
      <c r="F75" s="13" t="s">
        <v>468</v>
      </c>
      <c r="G75" s="13">
        <v>-1</v>
      </c>
      <c r="H75" s="13" t="str">
        <f t="shared" si="1"/>
        <v>3</v>
      </c>
      <c r="I75" s="92"/>
    </row>
    <row r="76" ht="16.25" spans="1:9">
      <c r="A76" s="42">
        <f>'【3-2】大区&amp;运营中心填-房间模型价'!H75</f>
        <v>715</v>
      </c>
      <c r="B76" s="42" t="str">
        <f>'【3-2】大区&amp;运营中心填-房间模型价'!I75</f>
        <v>Q</v>
      </c>
      <c r="C76" s="91" t="str">
        <f>VLOOKUP(A76,'【3-2】大区&amp;运营中心填-房间模型价'!H:J,3,0)</f>
        <v>一居室</v>
      </c>
      <c r="D76" s="13">
        <v>2</v>
      </c>
      <c r="E76" s="13">
        <v>0</v>
      </c>
      <c r="F76" s="13">
        <v>0</v>
      </c>
      <c r="G76" s="13">
        <v>1</v>
      </c>
      <c r="H76" s="13" t="str">
        <f t="shared" si="1"/>
        <v>1</v>
      </c>
      <c r="I76" s="92"/>
    </row>
    <row r="77" ht="16.25" spans="1:9">
      <c r="A77" s="42" t="e">
        <f>'【3-2】大区&amp;运营中心填-房间模型价'!#REF!</f>
        <v>#REF!</v>
      </c>
      <c r="B77" s="42" t="e">
        <f>'【3-2】大区&amp;运营中心填-房间模型价'!#REF!</f>
        <v>#REF!</v>
      </c>
      <c r="C77" s="91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1"/>
        <v>#REF!</v>
      </c>
      <c r="I77" s="92"/>
    </row>
    <row r="78" ht="16.25" spans="1:9">
      <c r="A78" s="42" t="e">
        <f>'【3-2】大区&amp;运营中心填-房间模型价'!#REF!</f>
        <v>#REF!</v>
      </c>
      <c r="B78" s="42" t="e">
        <f>'【3-2】大区&amp;运营中心填-房间模型价'!#REF!</f>
        <v>#REF!</v>
      </c>
      <c r="C78" s="91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1"/>
        <v>#REF!</v>
      </c>
      <c r="I78" s="92"/>
    </row>
    <row r="79" ht="16.25" spans="1:9">
      <c r="A79" s="42" t="e">
        <f>'【3-2】大区&amp;运营中心填-房间模型价'!#REF!</f>
        <v>#REF!</v>
      </c>
      <c r="B79" s="42" t="e">
        <f>'【3-2】大区&amp;运营中心填-房间模型价'!#REF!</f>
        <v>#REF!</v>
      </c>
      <c r="C79" s="91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1"/>
        <v>#REF!</v>
      </c>
      <c r="I79" s="92"/>
    </row>
    <row r="80" ht="16.25" spans="1:9">
      <c r="A80" s="42" t="e">
        <f>'【3-2】大区&amp;运营中心填-房间模型价'!#REF!</f>
        <v>#REF!</v>
      </c>
      <c r="B80" s="42" t="e">
        <f>'【3-2】大区&amp;运营中心填-房间模型价'!#REF!</f>
        <v>#REF!</v>
      </c>
      <c r="C80" s="91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1"/>
        <v>#REF!</v>
      </c>
      <c r="I80" s="92"/>
    </row>
    <row r="81" ht="16.25" spans="1:9">
      <c r="A81" s="42" t="e">
        <f>'【3-2】大区&amp;运营中心填-房间模型价'!#REF!</f>
        <v>#REF!</v>
      </c>
      <c r="B81" s="42" t="e">
        <f>'【3-2】大区&amp;运营中心填-房间模型价'!#REF!</f>
        <v>#REF!</v>
      </c>
      <c r="C81" s="91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si="1"/>
        <v>#REF!</v>
      </c>
      <c r="I81" s="92"/>
    </row>
    <row r="82" ht="16.25" spans="1:9">
      <c r="A82" s="42" t="e">
        <f>'【3-2】大区&amp;运营中心填-房间模型价'!#REF!</f>
        <v>#REF!</v>
      </c>
      <c r="B82" s="42" t="e">
        <f>'【3-2】大区&amp;运营中心填-房间模型价'!#REF!</f>
        <v>#REF!</v>
      </c>
      <c r="C82" s="91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1"/>
        <v>#REF!</v>
      </c>
      <c r="I82" s="92"/>
    </row>
    <row r="83" ht="16.25" spans="1:9">
      <c r="A83" s="42" t="e">
        <f>'【3-2】大区&amp;运营中心填-房间模型价'!#REF!</f>
        <v>#REF!</v>
      </c>
      <c r="B83" s="42" t="e">
        <f>'【3-2】大区&amp;运营中心填-房间模型价'!#REF!</f>
        <v>#REF!</v>
      </c>
      <c r="C83" s="91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1"/>
        <v>#REF!</v>
      </c>
      <c r="I83" s="92"/>
    </row>
    <row r="84" ht="16.25" spans="1:9">
      <c r="A84" s="42" t="e">
        <f>'【3-2】大区&amp;运营中心填-房间模型价'!#REF!</f>
        <v>#REF!</v>
      </c>
      <c r="B84" s="42" t="e">
        <f>'【3-2】大区&amp;运营中心填-房间模型价'!#REF!</f>
        <v>#REF!</v>
      </c>
      <c r="C84" s="91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1"/>
        <v>#REF!</v>
      </c>
      <c r="I84" s="92"/>
    </row>
    <row r="85" ht="16.25" spans="1:9">
      <c r="A85" s="42" t="e">
        <f>'【3-2】大区&amp;运营中心填-房间模型价'!#REF!</f>
        <v>#REF!</v>
      </c>
      <c r="B85" s="42" t="e">
        <f>'【3-2】大区&amp;运营中心填-房间模型价'!#REF!</f>
        <v>#REF!</v>
      </c>
      <c r="C85" s="91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1"/>
        <v>#REF!</v>
      </c>
      <c r="I85" s="92"/>
    </row>
    <row r="86" ht="16.25" spans="1:9">
      <c r="A86" s="42" t="e">
        <f>'【3-2】大区&amp;运营中心填-房间模型价'!#REF!</f>
        <v>#REF!</v>
      </c>
      <c r="B86" s="42" t="e">
        <f>'【3-2】大区&amp;运营中心填-房间模型价'!#REF!</f>
        <v>#REF!</v>
      </c>
      <c r="C86" s="91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1"/>
        <v>#REF!</v>
      </c>
      <c r="I86" s="92"/>
    </row>
    <row r="87" ht="16.25" spans="1:9">
      <c r="A87" s="42" t="e">
        <f>'【3-2】大区&amp;运营中心填-房间模型价'!#REF!</f>
        <v>#REF!</v>
      </c>
      <c r="B87" s="42" t="e">
        <f>'【3-2】大区&amp;运营中心填-房间模型价'!#REF!</f>
        <v>#REF!</v>
      </c>
      <c r="C87" s="91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1"/>
        <v>#REF!</v>
      </c>
      <c r="I87" s="92"/>
    </row>
    <row r="88" ht="16.25" spans="1:9">
      <c r="A88" s="42" t="e">
        <f>'【3-2】大区&amp;运营中心填-房间模型价'!#REF!</f>
        <v>#REF!</v>
      </c>
      <c r="B88" s="42" t="e">
        <f>'【3-2】大区&amp;运营中心填-房间模型价'!#REF!</f>
        <v>#REF!</v>
      </c>
      <c r="C88" s="91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1"/>
        <v>#REF!</v>
      </c>
      <c r="I88" s="92"/>
    </row>
    <row r="89" ht="16.25" spans="1:9">
      <c r="A89" s="42" t="e">
        <f>'【3-2】大区&amp;运营中心填-房间模型价'!#REF!</f>
        <v>#REF!</v>
      </c>
      <c r="B89" s="42" t="e">
        <f>'【3-2】大区&amp;运营中心填-房间模型价'!#REF!</f>
        <v>#REF!</v>
      </c>
      <c r="C89" s="91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1"/>
        <v>#REF!</v>
      </c>
      <c r="I89" s="92"/>
    </row>
    <row r="90" ht="16.25" spans="1:9">
      <c r="A90" s="42" t="e">
        <f>'【3-2】大区&amp;运营中心填-房间模型价'!#REF!</f>
        <v>#REF!</v>
      </c>
      <c r="B90" s="42" t="e">
        <f>'【3-2】大区&amp;运营中心填-房间模型价'!#REF!</f>
        <v>#REF!</v>
      </c>
      <c r="C90" s="91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1"/>
        <v>#REF!</v>
      </c>
      <c r="I90" s="92"/>
    </row>
    <row r="91" ht="16.25" spans="1:9">
      <c r="A91" s="42" t="e">
        <f>'【3-2】大区&amp;运营中心填-房间模型价'!#REF!</f>
        <v>#REF!</v>
      </c>
      <c r="B91" s="42" t="e">
        <f>'【3-2】大区&amp;运营中心填-房间模型价'!#REF!</f>
        <v>#REF!</v>
      </c>
      <c r="C91" s="91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1"/>
        <v>#REF!</v>
      </c>
      <c r="I91" s="92"/>
    </row>
    <row r="92" ht="16.25" spans="1:9">
      <c r="A92" s="42" t="e">
        <f>'【3-2】大区&amp;运营中心填-房间模型价'!#REF!</f>
        <v>#REF!</v>
      </c>
      <c r="B92" s="42" t="e">
        <f>'【3-2】大区&amp;运营中心填-房间模型价'!#REF!</f>
        <v>#REF!</v>
      </c>
      <c r="C92" s="91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1"/>
        <v>#REF!</v>
      </c>
      <c r="I92" s="92"/>
    </row>
    <row r="93" ht="16.25" spans="1:9">
      <c r="A93" s="42" t="e">
        <f>'【3-2】大区&amp;运营中心填-房间模型价'!#REF!</f>
        <v>#REF!</v>
      </c>
      <c r="B93" s="42" t="e">
        <f>'【3-2】大区&amp;运营中心填-房间模型价'!#REF!</f>
        <v>#REF!</v>
      </c>
      <c r="C93" s="91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1"/>
        <v>#REF!</v>
      </c>
      <c r="I93" s="92"/>
    </row>
    <row r="94" ht="16.25" spans="1:9">
      <c r="A94" s="42" t="e">
        <f>'【3-2】大区&amp;运营中心填-房间模型价'!#REF!</f>
        <v>#REF!</v>
      </c>
      <c r="B94" s="42" t="e">
        <f>'【3-2】大区&amp;运营中心填-房间模型价'!#REF!</f>
        <v>#REF!</v>
      </c>
      <c r="C94" s="91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1"/>
        <v>#REF!</v>
      </c>
      <c r="I94" s="92"/>
    </row>
    <row r="95" ht="16.25" spans="1:9">
      <c r="A95" s="42" t="e">
        <f>'【3-2】大区&amp;运营中心填-房间模型价'!#REF!</f>
        <v>#REF!</v>
      </c>
      <c r="B95" s="42" t="e">
        <f>'【3-2】大区&amp;运营中心填-房间模型价'!#REF!</f>
        <v>#REF!</v>
      </c>
      <c r="C95" s="91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1"/>
        <v>#REF!</v>
      </c>
      <c r="I95" s="92"/>
    </row>
    <row r="96" ht="16.25" spans="1:9">
      <c r="A96" s="42" t="e">
        <f>'【3-2】大区&amp;运营中心填-房间模型价'!#REF!</f>
        <v>#REF!</v>
      </c>
      <c r="B96" s="42" t="e">
        <f>'【3-2】大区&amp;运营中心填-房间模型价'!#REF!</f>
        <v>#REF!</v>
      </c>
      <c r="C96" s="91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1"/>
        <v>#REF!</v>
      </c>
      <c r="I96" s="92"/>
    </row>
    <row r="97" ht="16.25" spans="1:9">
      <c r="A97" s="42" t="e">
        <f>'【3-2】大区&amp;运营中心填-房间模型价'!#REF!</f>
        <v>#REF!</v>
      </c>
      <c r="B97" s="42" t="e">
        <f>'【3-2】大区&amp;运营中心填-房间模型价'!#REF!</f>
        <v>#REF!</v>
      </c>
      <c r="C97" s="91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1"/>
        <v>#REF!</v>
      </c>
      <c r="I97" s="92"/>
    </row>
    <row r="98" ht="16.25" spans="1:9">
      <c r="A98" s="42" t="e">
        <f>'【3-2】大区&amp;运营中心填-房间模型价'!#REF!</f>
        <v>#REF!</v>
      </c>
      <c r="B98" s="42" t="e">
        <f>'【3-2】大区&amp;运营中心填-房间模型价'!#REF!</f>
        <v>#REF!</v>
      </c>
      <c r="C98" s="91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1"/>
        <v>#REF!</v>
      </c>
      <c r="I98" s="92"/>
    </row>
    <row r="99" ht="16.25" spans="1:9">
      <c r="A99" s="42" t="e">
        <f>'【3-2】大区&amp;运营中心填-房间模型价'!#REF!</f>
        <v>#REF!</v>
      </c>
      <c r="B99" s="42" t="e">
        <f>'【3-2】大区&amp;运营中心填-房间模型价'!#REF!</f>
        <v>#REF!</v>
      </c>
      <c r="C99" s="91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1"/>
        <v>#REF!</v>
      </c>
      <c r="I99" s="92"/>
    </row>
    <row r="100" ht="16.25" spans="1:9">
      <c r="A100" s="42" t="e">
        <f>'【3-2】大区&amp;运营中心填-房间模型价'!#REF!</f>
        <v>#REF!</v>
      </c>
      <c r="B100" s="42" t="e">
        <f>'【3-2】大区&amp;运营中心填-房间模型价'!#REF!</f>
        <v>#REF!</v>
      </c>
      <c r="C100" s="91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1"/>
        <v>#REF!</v>
      </c>
      <c r="I100" s="92"/>
    </row>
    <row r="101" ht="16.25" spans="1:9">
      <c r="A101" s="42" t="e">
        <f>'【3-2】大区&amp;运营中心填-房间模型价'!#REF!</f>
        <v>#REF!</v>
      </c>
      <c r="B101" s="42" t="e">
        <f>'【3-2】大区&amp;运营中心填-房间模型价'!#REF!</f>
        <v>#REF!</v>
      </c>
      <c r="C101" s="91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1"/>
        <v>#REF!</v>
      </c>
      <c r="I101" s="92"/>
    </row>
    <row r="102" ht="16.25" spans="1:9">
      <c r="A102" s="42" t="e">
        <f>'【3-2】大区&amp;运营中心填-房间模型价'!#REF!</f>
        <v>#REF!</v>
      </c>
      <c r="B102" s="42" t="e">
        <f>'【3-2】大区&amp;运营中心填-房间模型价'!#REF!</f>
        <v>#REF!</v>
      </c>
      <c r="C102" s="91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1"/>
        <v>#REF!</v>
      </c>
      <c r="I102" s="92"/>
    </row>
    <row r="103" ht="16.25" spans="1:9">
      <c r="A103" s="42" t="e">
        <f>'【3-2】大区&amp;运营中心填-房间模型价'!#REF!</f>
        <v>#REF!</v>
      </c>
      <c r="B103" s="42" t="e">
        <f>'【3-2】大区&amp;运营中心填-房间模型价'!#REF!</f>
        <v>#REF!</v>
      </c>
      <c r="C103" s="91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1"/>
        <v>#REF!</v>
      </c>
      <c r="I103" s="92"/>
    </row>
    <row r="104" ht="16.25" spans="1:9">
      <c r="A104" s="42" t="e">
        <f>'【3-2】大区&amp;运营中心填-房间模型价'!#REF!</f>
        <v>#REF!</v>
      </c>
      <c r="B104" s="42" t="e">
        <f>'【3-2】大区&amp;运营中心填-房间模型价'!#REF!</f>
        <v>#REF!</v>
      </c>
      <c r="C104" s="91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1"/>
        <v>#REF!</v>
      </c>
      <c r="I104" s="92"/>
    </row>
    <row r="105" ht="16.25" spans="1:9">
      <c r="A105" s="42" t="e">
        <f>'【3-2】大区&amp;运营中心填-房间模型价'!#REF!</f>
        <v>#REF!</v>
      </c>
      <c r="B105" s="42" t="e">
        <f>'【3-2】大区&amp;运营中心填-房间模型价'!#REF!</f>
        <v>#REF!</v>
      </c>
      <c r="C105" s="91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1"/>
        <v>#REF!</v>
      </c>
      <c r="I105" s="92"/>
    </row>
    <row r="106" ht="16.25" spans="1:9">
      <c r="A106" s="42" t="e">
        <f>'【3-2】大区&amp;运营中心填-房间模型价'!#REF!</f>
        <v>#REF!</v>
      </c>
      <c r="B106" s="42" t="e">
        <f>'【3-2】大区&amp;运营中心填-房间模型价'!#REF!</f>
        <v>#REF!</v>
      </c>
      <c r="C106" s="91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1"/>
        <v>#REF!</v>
      </c>
      <c r="I106" s="92"/>
    </row>
    <row r="107" ht="16.25" spans="1:9">
      <c r="A107" s="42" t="e">
        <f>'【3-2】大区&amp;运营中心填-房间模型价'!#REF!</f>
        <v>#REF!</v>
      </c>
      <c r="B107" s="42" t="e">
        <f>'【3-2】大区&amp;运营中心填-房间模型价'!#REF!</f>
        <v>#REF!</v>
      </c>
      <c r="C107" s="91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1"/>
        <v>#REF!</v>
      </c>
      <c r="I107" s="92"/>
    </row>
    <row r="108" ht="16.25" spans="1:9">
      <c r="A108" s="42" t="e">
        <f>'【3-2】大区&amp;运营中心填-房间模型价'!#REF!</f>
        <v>#REF!</v>
      </c>
      <c r="B108" s="42" t="e">
        <f>'【3-2】大区&amp;运营中心填-房间模型价'!#REF!</f>
        <v>#REF!</v>
      </c>
      <c r="C108" s="91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1"/>
        <v>#REF!</v>
      </c>
      <c r="I108" s="92"/>
    </row>
    <row r="109" ht="16.25" spans="1:9">
      <c r="A109" s="42" t="e">
        <f>'【3-2】大区&amp;运营中心填-房间模型价'!#REF!</f>
        <v>#REF!</v>
      </c>
      <c r="B109" s="42" t="e">
        <f>'【3-2】大区&amp;运营中心填-房间模型价'!#REF!</f>
        <v>#REF!</v>
      </c>
      <c r="C109" s="91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1"/>
        <v>#REF!</v>
      </c>
      <c r="I109" s="92"/>
    </row>
    <row r="110" ht="16.25" spans="1:9">
      <c r="A110" s="42" t="e">
        <f>'【3-2】大区&amp;运营中心填-房间模型价'!#REF!</f>
        <v>#REF!</v>
      </c>
      <c r="B110" s="42" t="e">
        <f>'【3-2】大区&amp;运营中心填-房间模型价'!#REF!</f>
        <v>#REF!</v>
      </c>
      <c r="C110" s="91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1"/>
        <v>#REF!</v>
      </c>
      <c r="I110" s="92"/>
    </row>
    <row r="111" ht="16.25" spans="1:9">
      <c r="A111" s="42" t="e">
        <f>'【3-2】大区&amp;运营中心填-房间模型价'!#REF!</f>
        <v>#REF!</v>
      </c>
      <c r="B111" s="42" t="e">
        <f>'【3-2】大区&amp;运营中心填-房间模型价'!#REF!</f>
        <v>#REF!</v>
      </c>
      <c r="C111" s="91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1"/>
        <v>#REF!</v>
      </c>
      <c r="I111" s="92"/>
    </row>
    <row r="112" ht="16.25" spans="1:9">
      <c r="A112" s="42" t="e">
        <f>'【3-2】大区&amp;运营中心填-房间模型价'!#REF!</f>
        <v>#REF!</v>
      </c>
      <c r="B112" s="42" t="e">
        <f>'【3-2】大区&amp;运营中心填-房间模型价'!#REF!</f>
        <v>#REF!</v>
      </c>
      <c r="C112" s="91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1"/>
        <v>#REF!</v>
      </c>
      <c r="I112" s="92"/>
    </row>
    <row r="113" ht="16.25" spans="1:9">
      <c r="A113" s="42" t="e">
        <f>'【3-2】大区&amp;运营中心填-房间模型价'!#REF!</f>
        <v>#REF!</v>
      </c>
      <c r="B113" s="42" t="e">
        <f>'【3-2】大区&amp;运营中心填-房间模型价'!#REF!</f>
        <v>#REF!</v>
      </c>
      <c r="C113" s="91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si="1"/>
        <v>#REF!</v>
      </c>
      <c r="I113" s="92"/>
    </row>
    <row r="114" ht="16.25" spans="1:9">
      <c r="A114" s="42" t="e">
        <f>'【3-2】大区&amp;运营中心填-房间模型价'!#REF!</f>
        <v>#REF!</v>
      </c>
      <c r="B114" s="42" t="e">
        <f>'【3-2】大区&amp;运营中心填-房间模型价'!#REF!</f>
        <v>#REF!</v>
      </c>
      <c r="C114" s="91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1"/>
        <v>#REF!</v>
      </c>
      <c r="I114" s="92"/>
    </row>
    <row r="115" ht="16.25" spans="1:9">
      <c r="A115" s="42" t="e">
        <f>'【3-2】大区&amp;运营中心填-房间模型价'!#REF!</f>
        <v>#REF!</v>
      </c>
      <c r="B115" s="42" t="e">
        <f>'【3-2】大区&amp;运营中心填-房间模型价'!#REF!</f>
        <v>#REF!</v>
      </c>
      <c r="C115" s="91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1"/>
        <v>#REF!</v>
      </c>
      <c r="I115" s="92"/>
    </row>
    <row r="116" ht="16.25" spans="1:9">
      <c r="A116" s="42" t="e">
        <f>'【3-2】大区&amp;运营中心填-房间模型价'!#REF!</f>
        <v>#REF!</v>
      </c>
      <c r="B116" s="42" t="e">
        <f>'【3-2】大区&amp;运营中心填-房间模型价'!#REF!</f>
        <v>#REF!</v>
      </c>
      <c r="C116" s="91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1"/>
        <v>#REF!</v>
      </c>
      <c r="I116" s="92"/>
    </row>
    <row r="117" ht="16.25" spans="1:9">
      <c r="A117" s="42" t="e">
        <f>'【3-2】大区&amp;运营中心填-房间模型价'!#REF!</f>
        <v>#REF!</v>
      </c>
      <c r="B117" s="42" t="e">
        <f>'【3-2】大区&amp;运营中心填-房间模型价'!#REF!</f>
        <v>#REF!</v>
      </c>
      <c r="C117" s="91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1"/>
        <v>#REF!</v>
      </c>
      <c r="I117" s="92"/>
    </row>
    <row r="118" ht="16.25" spans="1:9">
      <c r="A118" s="42" t="e">
        <f>'【3-2】大区&amp;运营中心填-房间模型价'!#REF!</f>
        <v>#REF!</v>
      </c>
      <c r="B118" s="42" t="e">
        <f>'【3-2】大区&amp;运营中心填-房间模型价'!#REF!</f>
        <v>#REF!</v>
      </c>
      <c r="C118" s="91" t="e">
        <f>VLOOKUP(A118,'【3-2】大区&amp;运营中心填-房间模型价'!H:J,3,0)</f>
        <v>#REF!</v>
      </c>
      <c r="D118" s="13"/>
      <c r="E118" s="13"/>
      <c r="F118" s="13"/>
      <c r="G118" s="13"/>
      <c r="H118" s="13" t="e">
        <f t="shared" si="1"/>
        <v>#REF!</v>
      </c>
      <c r="I118" s="92"/>
    </row>
    <row r="119" ht="16.25" spans="1:9">
      <c r="A119" s="42">
        <f>'【3-2】大区&amp;运营中心填-房间模型价'!H76</f>
        <v>0</v>
      </c>
      <c r="B119" s="42">
        <f>'【3-2】大区&amp;运营中心填-房间模型价'!I76</f>
        <v>0</v>
      </c>
      <c r="C119" s="91" t="e">
        <f>VLOOKUP(A119,'【3-2】大区&amp;运营中心填-房间模型价'!H:J,3,0)</f>
        <v>#N/A</v>
      </c>
      <c r="D119" s="13"/>
      <c r="E119" s="13"/>
      <c r="F119" s="13"/>
      <c r="G119" s="13"/>
      <c r="H119" s="13" t="e">
        <f t="shared" si="1"/>
        <v>#N/A</v>
      </c>
      <c r="I119" s="92"/>
    </row>
    <row r="120" ht="16.25" spans="1:9">
      <c r="A120" s="42">
        <f>'【3-2】大区&amp;运营中心填-房间模型价'!H77</f>
        <v>0</v>
      </c>
      <c r="B120" s="42">
        <f>'【3-2】大区&amp;运营中心填-房间模型价'!I77</f>
        <v>0</v>
      </c>
      <c r="C120" s="91" t="e">
        <f>VLOOKUP(A120,'【3-2】大区&amp;运营中心填-房间模型价'!H:J,3,0)</f>
        <v>#N/A</v>
      </c>
      <c r="D120" s="13"/>
      <c r="E120" s="13"/>
      <c r="F120" s="13"/>
      <c r="G120" s="13"/>
      <c r="H120" s="13" t="e">
        <f t="shared" si="1"/>
        <v>#N/A</v>
      </c>
      <c r="I120" s="92"/>
    </row>
    <row r="121" ht="16.25" spans="1:9">
      <c r="A121" s="42">
        <f>'【3-2】大区&amp;运营中心填-房间模型价'!H78</f>
        <v>0</v>
      </c>
      <c r="B121" s="42">
        <f>'【3-2】大区&amp;运营中心填-房间模型价'!I78</f>
        <v>0</v>
      </c>
      <c r="C121" s="91" t="e">
        <f>VLOOKUP(A121,'【3-2】大区&amp;运营中心填-房间模型价'!H:J,3,0)</f>
        <v>#N/A</v>
      </c>
      <c r="D121" s="13"/>
      <c r="E121" s="13"/>
      <c r="F121" s="13"/>
      <c r="G121" s="13"/>
      <c r="H121" s="13" t="e">
        <f t="shared" si="1"/>
        <v>#N/A</v>
      </c>
      <c r="I121" s="92"/>
    </row>
    <row r="122" ht="16.25" spans="1:9">
      <c r="A122" s="42">
        <f>'【3-2】大区&amp;运营中心填-房间模型价'!H79</f>
        <v>0</v>
      </c>
      <c r="B122" s="42">
        <f>'【3-2】大区&amp;运营中心填-房间模型价'!I79</f>
        <v>0</v>
      </c>
      <c r="C122" s="91" t="e">
        <f>VLOOKUP(A122,'【3-2】大区&amp;运营中心填-房间模型价'!H:J,3,0)</f>
        <v>#N/A</v>
      </c>
      <c r="D122" s="13"/>
      <c r="E122" s="13"/>
      <c r="F122" s="13"/>
      <c r="G122" s="13"/>
      <c r="H122" s="13" t="e">
        <f t="shared" si="1"/>
        <v>#N/A</v>
      </c>
      <c r="I122" s="92"/>
    </row>
    <row r="123" ht="16.25" spans="1:9">
      <c r="A123" s="42">
        <f>'【3-2】大区&amp;运营中心填-房间模型价'!H80</f>
        <v>0</v>
      </c>
      <c r="B123" s="42">
        <f>'【3-2】大区&amp;运营中心填-房间模型价'!I80</f>
        <v>0</v>
      </c>
      <c r="C123" s="91" t="e">
        <f>VLOOKUP(A123,'【3-2】大区&amp;运营中心填-房间模型价'!H:J,3,0)</f>
        <v>#N/A</v>
      </c>
      <c r="D123" s="13"/>
      <c r="E123" s="13"/>
      <c r="F123" s="13"/>
      <c r="G123" s="13"/>
      <c r="H123" s="13" t="e">
        <f t="shared" si="1"/>
        <v>#N/A</v>
      </c>
      <c r="I123" s="92"/>
    </row>
    <row r="124" ht="16.25" spans="1:9">
      <c r="A124" s="42">
        <f>'【3-2】大区&amp;运营中心填-房间模型价'!H81</f>
        <v>0</v>
      </c>
      <c r="B124" s="42">
        <f>'【3-2】大区&amp;运营中心填-房间模型价'!I81</f>
        <v>0</v>
      </c>
      <c r="C124" s="91" t="e">
        <f>VLOOKUP(A124,'【3-2】大区&amp;运营中心填-房间模型价'!H:J,3,0)</f>
        <v>#N/A</v>
      </c>
      <c r="D124" s="13"/>
      <c r="E124" s="13"/>
      <c r="F124" s="13"/>
      <c r="G124" s="13"/>
      <c r="H124" s="13" t="e">
        <f t="shared" si="1"/>
        <v>#N/A</v>
      </c>
      <c r="I124" s="92"/>
    </row>
    <row r="125" ht="16.25" spans="1:9">
      <c r="A125" s="42">
        <f>'【3-2】大区&amp;运营中心填-房间模型价'!H82</f>
        <v>0</v>
      </c>
      <c r="B125" s="42">
        <f>'【3-2】大区&amp;运营中心填-房间模型价'!I82</f>
        <v>0</v>
      </c>
      <c r="C125" s="91" t="e">
        <f>VLOOKUP(A125,'【3-2】大区&amp;运营中心填-房间模型价'!H:J,3,0)</f>
        <v>#N/A</v>
      </c>
      <c r="D125" s="13"/>
      <c r="E125" s="13"/>
      <c r="F125" s="13"/>
      <c r="G125" s="13"/>
      <c r="H125" s="13" t="e">
        <f t="shared" si="1"/>
        <v>#N/A</v>
      </c>
      <c r="I125" s="92"/>
    </row>
    <row r="126" ht="16.25" spans="1:9">
      <c r="A126" s="42">
        <f>'【3-2】大区&amp;运营中心填-房间模型价'!H83</f>
        <v>0</v>
      </c>
      <c r="B126" s="42">
        <f>'【3-2】大区&amp;运营中心填-房间模型价'!I83</f>
        <v>0</v>
      </c>
      <c r="C126" s="91" t="e">
        <f>VLOOKUP(A126,'【3-2】大区&amp;运营中心填-房间模型价'!H:J,3,0)</f>
        <v>#N/A</v>
      </c>
      <c r="D126" s="13"/>
      <c r="E126" s="13"/>
      <c r="F126" s="13"/>
      <c r="G126" s="13"/>
      <c r="H126" s="13" t="e">
        <f t="shared" si="1"/>
        <v>#N/A</v>
      </c>
      <c r="I126" s="92"/>
    </row>
    <row r="127" ht="16.25" spans="1:9">
      <c r="A127" s="42">
        <f>'【3-2】大区&amp;运营中心填-房间模型价'!H84</f>
        <v>0</v>
      </c>
      <c r="B127" s="42">
        <f>'【3-2】大区&amp;运营中心填-房间模型价'!I84</f>
        <v>0</v>
      </c>
      <c r="C127" s="91" t="e">
        <f>VLOOKUP(A127,'【3-2】大区&amp;运营中心填-房间模型价'!H:J,3,0)</f>
        <v>#N/A</v>
      </c>
      <c r="D127" s="13"/>
      <c r="E127" s="13"/>
      <c r="F127" s="13"/>
      <c r="G127" s="13"/>
      <c r="H127" s="13" t="e">
        <f t="shared" si="1"/>
        <v>#N/A</v>
      </c>
      <c r="I127" s="92"/>
    </row>
    <row r="128" ht="16.25" spans="1:9">
      <c r="A128" s="42">
        <f>'【3-2】大区&amp;运营中心填-房间模型价'!H85</f>
        <v>0</v>
      </c>
      <c r="B128" s="42">
        <f>'【3-2】大区&amp;运营中心填-房间模型价'!I85</f>
        <v>0</v>
      </c>
      <c r="C128" s="91" t="e">
        <f>VLOOKUP(A128,'【3-2】大区&amp;运营中心填-房间模型价'!H:J,3,0)</f>
        <v>#N/A</v>
      </c>
      <c r="D128" s="13"/>
      <c r="E128" s="13"/>
      <c r="F128" s="13"/>
      <c r="G128" s="13"/>
      <c r="H128" s="13" t="e">
        <f t="shared" si="1"/>
        <v>#N/A</v>
      </c>
      <c r="I128" s="92"/>
    </row>
    <row r="129" ht="16.25" spans="1:9">
      <c r="A129" s="42">
        <f>'【3-2】大区&amp;运营中心填-房间模型价'!H86</f>
        <v>0</v>
      </c>
      <c r="B129" s="42">
        <f>'【3-2】大区&amp;运营中心填-房间模型价'!I86</f>
        <v>0</v>
      </c>
      <c r="C129" s="91" t="e">
        <f>VLOOKUP(A129,'【3-2】大区&amp;运营中心填-房间模型价'!H:J,3,0)</f>
        <v>#N/A</v>
      </c>
      <c r="D129" s="13"/>
      <c r="E129" s="13"/>
      <c r="F129" s="13"/>
      <c r="G129" s="13"/>
      <c r="H129" s="13" t="e">
        <f t="shared" si="1"/>
        <v>#N/A</v>
      </c>
      <c r="I129" s="92"/>
    </row>
    <row r="130" ht="16.25" spans="1:9">
      <c r="A130" s="42">
        <f>'【3-2】大区&amp;运营中心填-房间模型价'!H87</f>
        <v>0</v>
      </c>
      <c r="B130" s="42">
        <f>'【3-2】大区&amp;运营中心填-房间模型价'!I87</f>
        <v>0</v>
      </c>
      <c r="C130" s="91" t="e">
        <f>VLOOKUP(A130,'【3-2】大区&amp;运营中心填-房间模型价'!H:J,3,0)</f>
        <v>#N/A</v>
      </c>
      <c r="D130" s="13"/>
      <c r="E130" s="13"/>
      <c r="F130" s="13"/>
      <c r="G130" s="13"/>
      <c r="H130" s="13" t="e">
        <f t="shared" si="1"/>
        <v>#N/A</v>
      </c>
      <c r="I130" s="92"/>
    </row>
    <row r="131" ht="16.25" spans="1:9">
      <c r="A131" s="42">
        <f>'【3-2】大区&amp;运营中心填-房间模型价'!H88</f>
        <v>0</v>
      </c>
      <c r="B131" s="42">
        <f>'【3-2】大区&amp;运营中心填-房间模型价'!I88</f>
        <v>0</v>
      </c>
      <c r="C131" s="91" t="e">
        <f>VLOOKUP(A131,'【3-2】大区&amp;运营中心填-房间模型价'!H:J,3,0)</f>
        <v>#N/A</v>
      </c>
      <c r="D131" s="13"/>
      <c r="E131" s="13"/>
      <c r="F131" s="13"/>
      <c r="G131" s="13"/>
      <c r="H131" s="13" t="e">
        <f t="shared" si="1"/>
        <v>#N/A</v>
      </c>
      <c r="I131" s="92"/>
    </row>
    <row r="132" ht="16.25" spans="1:9">
      <c r="A132" s="42">
        <f>'【3-2】大区&amp;运营中心填-房间模型价'!H89</f>
        <v>0</v>
      </c>
      <c r="B132" s="42">
        <f>'【3-2】大区&amp;运营中心填-房间模型价'!I89</f>
        <v>0</v>
      </c>
      <c r="C132" s="91" t="e">
        <f>VLOOKUP(A132,'【3-2】大区&amp;运营中心填-房间模型价'!H:J,3,0)</f>
        <v>#N/A</v>
      </c>
      <c r="D132" s="13"/>
      <c r="E132" s="13"/>
      <c r="F132" s="13"/>
      <c r="G132" s="13"/>
      <c r="H132" s="13" t="e">
        <f t="shared" ref="H132:H193" si="2">IF(C132="开间",IF(D132+E132*2-G132&lt;=0,"1",IF(D132+E132*2-G132&lt;=1,"2",IF(D132+E132*2-G132&lt;=2,"3",IF(D132+E132*2-G132&lt;=3,"4","5")))),IF(D132+E132*2-G132&lt;1.1,"1",IF(D132+E132*2-G132&lt;=2,"2",IF(D132+E132*2-G132&lt;=3,"3",IF(D132+E132*2-G132&lt;=4,"4","5")))))</f>
        <v>#N/A</v>
      </c>
      <c r="I132" s="92"/>
    </row>
    <row r="133" ht="16.25" spans="1:9">
      <c r="A133" s="42">
        <f>'【3-2】大区&amp;运营中心填-房间模型价'!H90</f>
        <v>0</v>
      </c>
      <c r="B133" s="42">
        <f>'【3-2】大区&amp;运营中心填-房间模型价'!I90</f>
        <v>0</v>
      </c>
      <c r="C133" s="91" t="e">
        <f>VLOOKUP(A133,'【3-2】大区&amp;运营中心填-房间模型价'!H:J,3,0)</f>
        <v>#N/A</v>
      </c>
      <c r="D133" s="13"/>
      <c r="E133" s="13"/>
      <c r="F133" s="13"/>
      <c r="G133" s="13"/>
      <c r="H133" s="13" t="e">
        <f t="shared" si="2"/>
        <v>#N/A</v>
      </c>
      <c r="I133" s="92"/>
    </row>
    <row r="134" ht="16.25" spans="1:9">
      <c r="A134" s="42">
        <f>'【3-2】大区&amp;运营中心填-房间模型价'!H91</f>
        <v>0</v>
      </c>
      <c r="B134" s="42">
        <f>'【3-2】大区&amp;运营中心填-房间模型价'!I91</f>
        <v>0</v>
      </c>
      <c r="C134" s="91" t="e">
        <f>VLOOKUP(A134,'【3-2】大区&amp;运营中心填-房间模型价'!H:J,3,0)</f>
        <v>#N/A</v>
      </c>
      <c r="D134" s="13"/>
      <c r="E134" s="13"/>
      <c r="F134" s="13"/>
      <c r="G134" s="13"/>
      <c r="H134" s="13" t="e">
        <f t="shared" si="2"/>
        <v>#N/A</v>
      </c>
      <c r="I134" s="92"/>
    </row>
    <row r="135" ht="16.25" spans="1:9">
      <c r="A135" s="42">
        <f>'【3-2】大区&amp;运营中心填-房间模型价'!H92</f>
        <v>0</v>
      </c>
      <c r="B135" s="42">
        <f>'【3-2】大区&amp;运营中心填-房间模型价'!I92</f>
        <v>0</v>
      </c>
      <c r="C135" s="91" t="e">
        <f>VLOOKUP(A135,'【3-2】大区&amp;运营中心填-房间模型价'!H:J,3,0)</f>
        <v>#N/A</v>
      </c>
      <c r="D135" s="13"/>
      <c r="E135" s="13"/>
      <c r="F135" s="13"/>
      <c r="G135" s="13"/>
      <c r="H135" s="13" t="e">
        <f t="shared" si="2"/>
        <v>#N/A</v>
      </c>
      <c r="I135" s="92"/>
    </row>
    <row r="136" ht="16.25" spans="1:9">
      <c r="A136" s="42">
        <f>'【3-2】大区&amp;运营中心填-房间模型价'!H93</f>
        <v>0</v>
      </c>
      <c r="B136" s="42">
        <f>'【3-2】大区&amp;运营中心填-房间模型价'!I93</f>
        <v>0</v>
      </c>
      <c r="C136" s="91" t="e">
        <f>VLOOKUP(A136,'【3-2】大区&amp;运营中心填-房间模型价'!H:J,3,0)</f>
        <v>#N/A</v>
      </c>
      <c r="D136" s="13"/>
      <c r="E136" s="13"/>
      <c r="F136" s="13"/>
      <c r="G136" s="13"/>
      <c r="H136" s="13" t="e">
        <f t="shared" si="2"/>
        <v>#N/A</v>
      </c>
      <c r="I136" s="92"/>
    </row>
    <row r="137" ht="16.25" spans="1:9">
      <c r="A137" s="42">
        <f>'【3-2】大区&amp;运营中心填-房间模型价'!H94</f>
        <v>0</v>
      </c>
      <c r="B137" s="42">
        <f>'【3-2】大区&amp;运营中心填-房间模型价'!I94</f>
        <v>0</v>
      </c>
      <c r="C137" s="91" t="e">
        <f>VLOOKUP(A137,'【3-2】大区&amp;运营中心填-房间模型价'!H:J,3,0)</f>
        <v>#N/A</v>
      </c>
      <c r="D137" s="13"/>
      <c r="E137" s="13"/>
      <c r="F137" s="13"/>
      <c r="G137" s="13"/>
      <c r="H137" s="13" t="e">
        <f t="shared" si="2"/>
        <v>#N/A</v>
      </c>
      <c r="I137" s="92"/>
    </row>
    <row r="138" ht="16.25" spans="1:9">
      <c r="A138" s="42">
        <f>'【3-2】大区&amp;运营中心填-房间模型价'!H95</f>
        <v>0</v>
      </c>
      <c r="B138" s="42">
        <f>'【3-2】大区&amp;运营中心填-房间模型价'!I95</f>
        <v>0</v>
      </c>
      <c r="C138" s="91" t="e">
        <f>VLOOKUP(A138,'【3-2】大区&amp;运营中心填-房间模型价'!H:J,3,0)</f>
        <v>#N/A</v>
      </c>
      <c r="D138" s="13"/>
      <c r="E138" s="13"/>
      <c r="F138" s="13"/>
      <c r="G138" s="13"/>
      <c r="H138" s="13" t="e">
        <f t="shared" si="2"/>
        <v>#N/A</v>
      </c>
      <c r="I138" s="92"/>
    </row>
    <row r="139" ht="16.25" spans="1:9">
      <c r="A139" s="42">
        <f>'【3-2】大区&amp;运营中心填-房间模型价'!H96</f>
        <v>0</v>
      </c>
      <c r="B139" s="42">
        <f>'【3-2】大区&amp;运营中心填-房间模型价'!I96</f>
        <v>0</v>
      </c>
      <c r="C139" s="91" t="e">
        <f>VLOOKUP(A139,'【3-2】大区&amp;运营中心填-房间模型价'!H:J,3,0)</f>
        <v>#N/A</v>
      </c>
      <c r="D139" s="13"/>
      <c r="E139" s="13"/>
      <c r="F139" s="13"/>
      <c r="G139" s="13"/>
      <c r="H139" s="13" t="e">
        <f t="shared" si="2"/>
        <v>#N/A</v>
      </c>
      <c r="I139" s="92"/>
    </row>
    <row r="140" ht="16.25" spans="1:9">
      <c r="A140" s="42">
        <f>'【3-2】大区&amp;运营中心填-房间模型价'!H97</f>
        <v>0</v>
      </c>
      <c r="B140" s="42">
        <f>'【3-2】大区&amp;运营中心填-房间模型价'!I97</f>
        <v>0</v>
      </c>
      <c r="C140" s="91" t="e">
        <f>VLOOKUP(A140,'【3-2】大区&amp;运营中心填-房间模型价'!H:J,3,0)</f>
        <v>#N/A</v>
      </c>
      <c r="D140" s="13"/>
      <c r="E140" s="13"/>
      <c r="F140" s="13"/>
      <c r="G140" s="13"/>
      <c r="H140" s="13" t="e">
        <f t="shared" si="2"/>
        <v>#N/A</v>
      </c>
      <c r="I140" s="92"/>
    </row>
    <row r="141" ht="16.25" spans="1:9">
      <c r="A141" s="42">
        <f>'【3-2】大区&amp;运营中心填-房间模型价'!H98</f>
        <v>0</v>
      </c>
      <c r="B141" s="42">
        <f>'【3-2】大区&amp;运营中心填-房间模型价'!I98</f>
        <v>0</v>
      </c>
      <c r="C141" s="91" t="e">
        <f>VLOOKUP(A141,'【3-2】大区&amp;运营中心填-房间模型价'!H:J,3,0)</f>
        <v>#N/A</v>
      </c>
      <c r="D141" s="13"/>
      <c r="E141" s="13"/>
      <c r="F141" s="13"/>
      <c r="G141" s="13"/>
      <c r="H141" s="13" t="e">
        <f t="shared" si="2"/>
        <v>#N/A</v>
      </c>
      <c r="I141" s="92"/>
    </row>
    <row r="142" ht="16.25" spans="1:9">
      <c r="A142" s="42">
        <f>'【3-2】大区&amp;运营中心填-房间模型价'!H99</f>
        <v>0</v>
      </c>
      <c r="B142" s="42">
        <f>'【3-2】大区&amp;运营中心填-房间模型价'!I99</f>
        <v>0</v>
      </c>
      <c r="C142" s="91" t="e">
        <f>VLOOKUP(A142,'【3-2】大区&amp;运营中心填-房间模型价'!H:J,3,0)</f>
        <v>#N/A</v>
      </c>
      <c r="D142" s="13"/>
      <c r="E142" s="13"/>
      <c r="F142" s="13"/>
      <c r="G142" s="13"/>
      <c r="H142" s="13" t="e">
        <f t="shared" si="2"/>
        <v>#N/A</v>
      </c>
      <c r="I142" s="92"/>
    </row>
    <row r="143" ht="16.25" spans="1:9">
      <c r="A143" s="42">
        <f>'【3-2】大区&amp;运营中心填-房间模型价'!H100</f>
        <v>0</v>
      </c>
      <c r="B143" s="42">
        <f>'【3-2】大区&amp;运营中心填-房间模型价'!I100</f>
        <v>0</v>
      </c>
      <c r="C143" s="91" t="e">
        <f>VLOOKUP(A143,'【3-2】大区&amp;运营中心填-房间模型价'!H:J,3,0)</f>
        <v>#N/A</v>
      </c>
      <c r="D143" s="13"/>
      <c r="E143" s="13"/>
      <c r="F143" s="13"/>
      <c r="G143" s="13"/>
      <c r="H143" s="13" t="e">
        <f t="shared" si="2"/>
        <v>#N/A</v>
      </c>
      <c r="I143" s="92"/>
    </row>
    <row r="144" ht="16.25" spans="1:9">
      <c r="A144" s="42">
        <f>'【3-2】大区&amp;运营中心填-房间模型价'!H101</f>
        <v>0</v>
      </c>
      <c r="B144" s="42">
        <f>'【3-2】大区&amp;运营中心填-房间模型价'!I101</f>
        <v>0</v>
      </c>
      <c r="C144" s="91" t="e">
        <f>VLOOKUP(A144,'【3-2】大区&amp;运营中心填-房间模型价'!H:J,3,0)</f>
        <v>#N/A</v>
      </c>
      <c r="D144" s="13"/>
      <c r="E144" s="13"/>
      <c r="F144" s="13"/>
      <c r="G144" s="13"/>
      <c r="H144" s="13" t="e">
        <f t="shared" si="2"/>
        <v>#N/A</v>
      </c>
      <c r="I144" s="92"/>
    </row>
    <row r="145" ht="16.25" spans="1:9">
      <c r="A145" s="42">
        <f>'【3-2】大区&amp;运营中心填-房间模型价'!H102</f>
        <v>0</v>
      </c>
      <c r="B145" s="42">
        <f>'【3-2】大区&amp;运营中心填-房间模型价'!I102</f>
        <v>0</v>
      </c>
      <c r="C145" s="91" t="e">
        <f>VLOOKUP(A145,'【3-2】大区&amp;运营中心填-房间模型价'!H:J,3,0)</f>
        <v>#N/A</v>
      </c>
      <c r="D145" s="13"/>
      <c r="E145" s="13"/>
      <c r="F145" s="13"/>
      <c r="G145" s="13"/>
      <c r="H145" s="13" t="e">
        <f t="shared" si="2"/>
        <v>#N/A</v>
      </c>
      <c r="I145" s="92"/>
    </row>
    <row r="146" ht="16.25" spans="1:9">
      <c r="A146" s="42">
        <f>'【3-2】大区&amp;运营中心填-房间模型价'!H103</f>
        <v>0</v>
      </c>
      <c r="B146" s="42">
        <f>'【3-2】大区&amp;运营中心填-房间模型价'!I103</f>
        <v>0</v>
      </c>
      <c r="C146" s="91" t="e">
        <f>VLOOKUP(A146,'【3-2】大区&amp;运营中心填-房间模型价'!H:J,3,0)</f>
        <v>#N/A</v>
      </c>
      <c r="D146" s="13"/>
      <c r="E146" s="13"/>
      <c r="F146" s="13"/>
      <c r="G146" s="13"/>
      <c r="H146" s="13" t="e">
        <f t="shared" si="2"/>
        <v>#N/A</v>
      </c>
      <c r="I146" s="92"/>
    </row>
    <row r="147" ht="16.25" spans="1:9">
      <c r="A147" s="42">
        <f>'【3-2】大区&amp;运营中心填-房间模型价'!H104</f>
        <v>0</v>
      </c>
      <c r="B147" s="42">
        <f>'【3-2】大区&amp;运营中心填-房间模型价'!I104</f>
        <v>0</v>
      </c>
      <c r="C147" s="91" t="e">
        <f>VLOOKUP(A147,'【3-2】大区&amp;运营中心填-房间模型价'!H:J,3,0)</f>
        <v>#N/A</v>
      </c>
      <c r="D147" s="13"/>
      <c r="E147" s="13"/>
      <c r="F147" s="13"/>
      <c r="G147" s="13"/>
      <c r="H147" s="13" t="e">
        <f t="shared" si="2"/>
        <v>#N/A</v>
      </c>
      <c r="I147" s="92"/>
    </row>
    <row r="148" ht="16.25" spans="1:9">
      <c r="A148" s="42">
        <f>'【3-2】大区&amp;运营中心填-房间模型价'!H105</f>
        <v>0</v>
      </c>
      <c r="B148" s="42">
        <f>'【3-2】大区&amp;运营中心填-房间模型价'!I105</f>
        <v>0</v>
      </c>
      <c r="C148" s="91" t="e">
        <f>VLOOKUP(A148,'【3-2】大区&amp;运营中心填-房间模型价'!H:J,3,0)</f>
        <v>#N/A</v>
      </c>
      <c r="D148" s="13"/>
      <c r="E148" s="13"/>
      <c r="F148" s="13"/>
      <c r="G148" s="13"/>
      <c r="H148" s="13" t="e">
        <f t="shared" si="2"/>
        <v>#N/A</v>
      </c>
      <c r="I148" s="92"/>
    </row>
    <row r="149" ht="16.25" spans="1:9">
      <c r="A149" s="42">
        <f>'【3-2】大区&amp;运营中心填-房间模型价'!H106</f>
        <v>0</v>
      </c>
      <c r="B149" s="42">
        <f>'【3-2】大区&amp;运营中心填-房间模型价'!I106</f>
        <v>0</v>
      </c>
      <c r="C149" s="91" t="e">
        <f>VLOOKUP(A149,'【3-2】大区&amp;运营中心填-房间模型价'!H:J,3,0)</f>
        <v>#N/A</v>
      </c>
      <c r="D149" s="13"/>
      <c r="E149" s="13"/>
      <c r="F149" s="13"/>
      <c r="G149" s="13"/>
      <c r="H149" s="13" t="e">
        <f t="shared" si="2"/>
        <v>#N/A</v>
      </c>
      <c r="I149" s="92"/>
    </row>
    <row r="150" ht="16.25" spans="1:9">
      <c r="A150" s="42">
        <f>'【3-2】大区&amp;运营中心填-房间模型价'!H107</f>
        <v>0</v>
      </c>
      <c r="B150" s="42">
        <f>'【3-2】大区&amp;运营中心填-房间模型价'!I107</f>
        <v>0</v>
      </c>
      <c r="C150" s="91" t="e">
        <f>VLOOKUP(A150,'【3-2】大区&amp;运营中心填-房间模型价'!H:J,3,0)</f>
        <v>#N/A</v>
      </c>
      <c r="D150" s="13"/>
      <c r="E150" s="13"/>
      <c r="F150" s="13"/>
      <c r="G150" s="13"/>
      <c r="H150" s="13" t="e">
        <f t="shared" si="2"/>
        <v>#N/A</v>
      </c>
      <c r="I150" s="92"/>
    </row>
    <row r="151" ht="16.25" spans="1:9">
      <c r="A151" s="42">
        <f>'【3-2】大区&amp;运营中心填-房间模型价'!H108</f>
        <v>0</v>
      </c>
      <c r="B151" s="42">
        <f>'【3-2】大区&amp;运营中心填-房间模型价'!I108</f>
        <v>0</v>
      </c>
      <c r="C151" s="91" t="e">
        <f>VLOOKUP(A151,'【3-2】大区&amp;运营中心填-房间模型价'!H:J,3,0)</f>
        <v>#N/A</v>
      </c>
      <c r="D151" s="13"/>
      <c r="E151" s="13"/>
      <c r="F151" s="13"/>
      <c r="G151" s="13"/>
      <c r="H151" s="13" t="e">
        <f t="shared" si="2"/>
        <v>#N/A</v>
      </c>
      <c r="I151" s="92"/>
    </row>
    <row r="152" ht="16.25" spans="1:9">
      <c r="A152" s="42">
        <f>'【3-2】大区&amp;运营中心填-房间模型价'!H109</f>
        <v>0</v>
      </c>
      <c r="B152" s="42">
        <f>'【3-2】大区&amp;运营中心填-房间模型价'!I109</f>
        <v>0</v>
      </c>
      <c r="C152" s="91" t="e">
        <f>VLOOKUP(A152,'【3-2】大区&amp;运营中心填-房间模型价'!H:J,3,0)</f>
        <v>#N/A</v>
      </c>
      <c r="D152" s="13"/>
      <c r="E152" s="13"/>
      <c r="F152" s="13"/>
      <c r="G152" s="13"/>
      <c r="H152" s="13" t="e">
        <f t="shared" si="2"/>
        <v>#N/A</v>
      </c>
      <c r="I152" s="92"/>
    </row>
    <row r="153" ht="16.25" spans="1:9">
      <c r="A153" s="42">
        <f>'【3-2】大区&amp;运营中心填-房间模型价'!H110</f>
        <v>0</v>
      </c>
      <c r="B153" s="42">
        <f>'【3-2】大区&amp;运营中心填-房间模型价'!I110</f>
        <v>0</v>
      </c>
      <c r="C153" s="91" t="e">
        <f>VLOOKUP(A153,'【3-2】大区&amp;运营中心填-房间模型价'!H:J,3,0)</f>
        <v>#N/A</v>
      </c>
      <c r="D153" s="13"/>
      <c r="E153" s="13"/>
      <c r="F153" s="13"/>
      <c r="G153" s="13"/>
      <c r="H153" s="13" t="e">
        <f t="shared" si="2"/>
        <v>#N/A</v>
      </c>
      <c r="I153" s="92"/>
    </row>
    <row r="154" ht="16.25" spans="1:9">
      <c r="A154" s="42">
        <f>'【3-2】大区&amp;运营中心填-房间模型价'!H111</f>
        <v>0</v>
      </c>
      <c r="B154" s="42">
        <f>'【3-2】大区&amp;运营中心填-房间模型价'!I111</f>
        <v>0</v>
      </c>
      <c r="C154" s="91" t="e">
        <f>VLOOKUP(A154,'【3-2】大区&amp;运营中心填-房间模型价'!H:J,3,0)</f>
        <v>#N/A</v>
      </c>
      <c r="D154" s="13"/>
      <c r="E154" s="13"/>
      <c r="F154" s="13"/>
      <c r="G154" s="13"/>
      <c r="H154" s="13" t="e">
        <f t="shared" si="2"/>
        <v>#N/A</v>
      </c>
      <c r="I154" s="92"/>
    </row>
    <row r="155" ht="16.25" spans="1:9">
      <c r="A155" s="42">
        <f>'【3-2】大区&amp;运营中心填-房间模型价'!H112</f>
        <v>0</v>
      </c>
      <c r="B155" s="42">
        <f>'【3-2】大区&amp;运营中心填-房间模型价'!I112</f>
        <v>0</v>
      </c>
      <c r="C155" s="91" t="e">
        <f>VLOOKUP(A155,'【3-2】大区&amp;运营中心填-房间模型价'!H:J,3,0)</f>
        <v>#N/A</v>
      </c>
      <c r="D155" s="13"/>
      <c r="E155" s="13"/>
      <c r="F155" s="13"/>
      <c r="G155" s="13"/>
      <c r="H155" s="13" t="e">
        <f t="shared" si="2"/>
        <v>#N/A</v>
      </c>
      <c r="I155" s="92"/>
    </row>
    <row r="156" ht="16.25" spans="1:9">
      <c r="A156" s="42">
        <f>'【3-2】大区&amp;运营中心填-房间模型价'!H113</f>
        <v>0</v>
      </c>
      <c r="B156" s="42">
        <f>'【3-2】大区&amp;运营中心填-房间模型价'!I113</f>
        <v>0</v>
      </c>
      <c r="C156" s="91" t="e">
        <f>VLOOKUP(A156,'【3-2】大区&amp;运营中心填-房间模型价'!H:J,3,0)</f>
        <v>#N/A</v>
      </c>
      <c r="D156" s="13"/>
      <c r="E156" s="13"/>
      <c r="F156" s="13"/>
      <c r="G156" s="13"/>
      <c r="H156" s="13" t="e">
        <f t="shared" si="2"/>
        <v>#N/A</v>
      </c>
      <c r="I156" s="92"/>
    </row>
    <row r="157" ht="16.25" spans="1:9">
      <c r="A157" s="42">
        <f>'【3-2】大区&amp;运营中心填-房间模型价'!H114</f>
        <v>0</v>
      </c>
      <c r="B157" s="42">
        <f>'【3-2】大区&amp;运营中心填-房间模型价'!I114</f>
        <v>0</v>
      </c>
      <c r="C157" s="91" t="e">
        <f>VLOOKUP(A157,'【3-2】大区&amp;运营中心填-房间模型价'!H:J,3,0)</f>
        <v>#N/A</v>
      </c>
      <c r="D157" s="13"/>
      <c r="E157" s="13"/>
      <c r="F157" s="13"/>
      <c r="G157" s="13"/>
      <c r="H157" s="13" t="e">
        <f t="shared" si="2"/>
        <v>#N/A</v>
      </c>
      <c r="I157" s="92"/>
    </row>
    <row r="158" ht="16.25" spans="1:9">
      <c r="A158" s="42">
        <f>'【3-2】大区&amp;运营中心填-房间模型价'!H115</f>
        <v>0</v>
      </c>
      <c r="B158" s="42">
        <f>'【3-2】大区&amp;运营中心填-房间模型价'!I115</f>
        <v>0</v>
      </c>
      <c r="C158" s="91" t="e">
        <f>VLOOKUP(A158,'【3-2】大区&amp;运营中心填-房间模型价'!H:J,3,0)</f>
        <v>#N/A</v>
      </c>
      <c r="D158" s="13"/>
      <c r="E158" s="13"/>
      <c r="F158" s="13"/>
      <c r="G158" s="13"/>
      <c r="H158" s="13" t="e">
        <f t="shared" si="2"/>
        <v>#N/A</v>
      </c>
      <c r="I158" s="92"/>
    </row>
    <row r="159" ht="16.25" spans="1:9">
      <c r="A159" s="42">
        <f>'【3-2】大区&amp;运营中心填-房间模型价'!H116</f>
        <v>0</v>
      </c>
      <c r="B159" s="42">
        <f>'【3-2】大区&amp;运营中心填-房间模型价'!I116</f>
        <v>0</v>
      </c>
      <c r="C159" s="91" t="e">
        <f>VLOOKUP(A159,'【3-2】大区&amp;运营中心填-房间模型价'!H:J,3,0)</f>
        <v>#N/A</v>
      </c>
      <c r="D159" s="13"/>
      <c r="E159" s="13"/>
      <c r="F159" s="13"/>
      <c r="G159" s="13"/>
      <c r="H159" s="13" t="e">
        <f t="shared" si="2"/>
        <v>#N/A</v>
      </c>
      <c r="I159" s="92"/>
    </row>
    <row r="160" ht="16.25" spans="1:9">
      <c r="A160" s="42">
        <f>'【3-2】大区&amp;运营中心填-房间模型价'!H117</f>
        <v>0</v>
      </c>
      <c r="B160" s="42">
        <f>'【3-2】大区&amp;运营中心填-房间模型价'!I117</f>
        <v>0</v>
      </c>
      <c r="C160" s="91" t="e">
        <f>VLOOKUP(A160,'【3-2】大区&amp;运营中心填-房间模型价'!H:J,3,0)</f>
        <v>#N/A</v>
      </c>
      <c r="D160" s="13"/>
      <c r="E160" s="13"/>
      <c r="F160" s="13"/>
      <c r="G160" s="13"/>
      <c r="H160" s="13" t="e">
        <f t="shared" si="2"/>
        <v>#N/A</v>
      </c>
      <c r="I160" s="92"/>
    </row>
    <row r="161" ht="16.25" spans="1:9">
      <c r="A161" s="42">
        <f>'【3-2】大区&amp;运营中心填-房间模型价'!H118</f>
        <v>0</v>
      </c>
      <c r="B161" s="42">
        <f>'【3-2】大区&amp;运营中心填-房间模型价'!I118</f>
        <v>0</v>
      </c>
      <c r="C161" s="91" t="e">
        <f>VLOOKUP(A161,'【3-2】大区&amp;运营中心填-房间模型价'!H:J,3,0)</f>
        <v>#N/A</v>
      </c>
      <c r="D161" s="13"/>
      <c r="E161" s="13"/>
      <c r="F161" s="13"/>
      <c r="G161" s="13"/>
      <c r="H161" s="13" t="e">
        <f t="shared" si="2"/>
        <v>#N/A</v>
      </c>
      <c r="I161" s="92"/>
    </row>
    <row r="162" ht="16.25" spans="1:9">
      <c r="A162" s="42">
        <f>'【3-2】大区&amp;运营中心填-房间模型价'!H119</f>
        <v>0</v>
      </c>
      <c r="B162" s="42">
        <f>'【3-2】大区&amp;运营中心填-房间模型价'!I119</f>
        <v>0</v>
      </c>
      <c r="C162" s="91" t="e">
        <f>VLOOKUP(A162,'【3-2】大区&amp;运营中心填-房间模型价'!H:J,3,0)</f>
        <v>#N/A</v>
      </c>
      <c r="D162" s="13"/>
      <c r="E162" s="13"/>
      <c r="F162" s="13"/>
      <c r="G162" s="13"/>
      <c r="H162" s="13" t="e">
        <f t="shared" si="2"/>
        <v>#N/A</v>
      </c>
      <c r="I162" s="92"/>
    </row>
    <row r="163" ht="16.25" spans="1:9">
      <c r="A163" s="42">
        <f>'【3-2】大区&amp;运营中心填-房间模型价'!H120</f>
        <v>0</v>
      </c>
      <c r="B163" s="42">
        <f>'【3-2】大区&amp;运营中心填-房间模型价'!I120</f>
        <v>0</v>
      </c>
      <c r="C163" s="91" t="e">
        <f>VLOOKUP(A163,'【3-2】大区&amp;运营中心填-房间模型价'!H:J,3,0)</f>
        <v>#N/A</v>
      </c>
      <c r="D163" s="13"/>
      <c r="E163" s="13"/>
      <c r="F163" s="13"/>
      <c r="G163" s="13"/>
      <c r="H163" s="13" t="e">
        <f t="shared" si="2"/>
        <v>#N/A</v>
      </c>
      <c r="I163" s="92"/>
    </row>
    <row r="164" ht="16.25" spans="1:9">
      <c r="A164" s="42">
        <f>'【3-2】大区&amp;运营中心填-房间模型价'!H121</f>
        <v>0</v>
      </c>
      <c r="B164" s="42">
        <f>'【3-2】大区&amp;运营中心填-房间模型价'!I121</f>
        <v>0</v>
      </c>
      <c r="C164" s="91" t="e">
        <f>VLOOKUP(A164,'【3-2】大区&amp;运营中心填-房间模型价'!H:J,3,0)</f>
        <v>#N/A</v>
      </c>
      <c r="D164" s="13"/>
      <c r="E164" s="13"/>
      <c r="F164" s="13"/>
      <c r="G164" s="13"/>
      <c r="H164" s="13" t="e">
        <f t="shared" si="2"/>
        <v>#N/A</v>
      </c>
      <c r="I164" s="92"/>
    </row>
    <row r="165" ht="16.25" spans="1:9">
      <c r="A165" s="42">
        <f>'【3-2】大区&amp;运营中心填-房间模型价'!H122</f>
        <v>0</v>
      </c>
      <c r="B165" s="42">
        <f>'【3-2】大区&amp;运营中心填-房间模型价'!I122</f>
        <v>0</v>
      </c>
      <c r="C165" s="91" t="e">
        <f>VLOOKUP(A165,'【3-2】大区&amp;运营中心填-房间模型价'!H:J,3,0)</f>
        <v>#N/A</v>
      </c>
      <c r="D165" s="13"/>
      <c r="E165" s="13"/>
      <c r="F165" s="13"/>
      <c r="G165" s="13"/>
      <c r="H165" s="13" t="e">
        <f t="shared" si="2"/>
        <v>#N/A</v>
      </c>
      <c r="I165" s="92"/>
    </row>
    <row r="166" ht="16.25" spans="1:9">
      <c r="A166" s="42">
        <f>'【3-2】大区&amp;运营中心填-房间模型价'!H123</f>
        <v>0</v>
      </c>
      <c r="B166" s="42">
        <f>'【3-2】大区&amp;运营中心填-房间模型价'!I123</f>
        <v>0</v>
      </c>
      <c r="C166" s="91" t="e">
        <f>VLOOKUP(A166,'【3-2】大区&amp;运营中心填-房间模型价'!H:J,3,0)</f>
        <v>#N/A</v>
      </c>
      <c r="D166" s="13"/>
      <c r="E166" s="13"/>
      <c r="F166" s="13"/>
      <c r="G166" s="13"/>
      <c r="H166" s="13" t="e">
        <f t="shared" si="2"/>
        <v>#N/A</v>
      </c>
      <c r="I166" s="92"/>
    </row>
    <row r="167" ht="16.25" spans="1:9">
      <c r="A167" s="42">
        <f>'【3-2】大区&amp;运营中心填-房间模型价'!H124</f>
        <v>0</v>
      </c>
      <c r="B167" s="42">
        <f>'【3-2】大区&amp;运营中心填-房间模型价'!I124</f>
        <v>0</v>
      </c>
      <c r="C167" s="91" t="e">
        <f>VLOOKUP(A167,'【3-2】大区&amp;运营中心填-房间模型价'!H:J,3,0)</f>
        <v>#N/A</v>
      </c>
      <c r="D167" s="13"/>
      <c r="E167" s="13"/>
      <c r="F167" s="13"/>
      <c r="G167" s="13"/>
      <c r="H167" s="13" t="e">
        <f t="shared" si="2"/>
        <v>#N/A</v>
      </c>
      <c r="I167" s="92"/>
    </row>
    <row r="168" ht="16.25" spans="1:9">
      <c r="A168" s="42">
        <f>'【3-2】大区&amp;运营中心填-房间模型价'!H125</f>
        <v>0</v>
      </c>
      <c r="B168" s="42">
        <f>'【3-2】大区&amp;运营中心填-房间模型价'!I125</f>
        <v>0</v>
      </c>
      <c r="C168" s="91" t="e">
        <f>VLOOKUP(A168,'【3-2】大区&amp;运营中心填-房间模型价'!H:J,3,0)</f>
        <v>#N/A</v>
      </c>
      <c r="D168" s="13"/>
      <c r="E168" s="13"/>
      <c r="F168" s="13"/>
      <c r="G168" s="13"/>
      <c r="H168" s="13" t="e">
        <f t="shared" si="2"/>
        <v>#N/A</v>
      </c>
      <c r="I168" s="92"/>
    </row>
    <row r="169" ht="16.25" spans="1:9">
      <c r="A169" s="42">
        <f>'【3-2】大区&amp;运营中心填-房间模型价'!H126</f>
        <v>0</v>
      </c>
      <c r="B169" s="42">
        <f>'【3-2】大区&amp;运营中心填-房间模型价'!I126</f>
        <v>0</v>
      </c>
      <c r="C169" s="91" t="e">
        <f>VLOOKUP(A169,'【3-2】大区&amp;运营中心填-房间模型价'!H:J,3,0)</f>
        <v>#N/A</v>
      </c>
      <c r="D169" s="13"/>
      <c r="E169" s="13"/>
      <c r="F169" s="13"/>
      <c r="G169" s="13"/>
      <c r="H169" s="13" t="e">
        <f t="shared" si="2"/>
        <v>#N/A</v>
      </c>
      <c r="I169" s="92"/>
    </row>
    <row r="170" ht="16.25" spans="1:9">
      <c r="A170" s="42">
        <f>'【3-2】大区&amp;运营中心填-房间模型价'!H127</f>
        <v>0</v>
      </c>
      <c r="B170" s="42">
        <f>'【3-2】大区&amp;运营中心填-房间模型价'!I127</f>
        <v>0</v>
      </c>
      <c r="C170" s="91" t="e">
        <f>VLOOKUP(A170,'【3-2】大区&amp;运营中心填-房间模型价'!H:J,3,0)</f>
        <v>#N/A</v>
      </c>
      <c r="D170" s="13"/>
      <c r="E170" s="13"/>
      <c r="F170" s="13"/>
      <c r="G170" s="13"/>
      <c r="H170" s="13" t="e">
        <f t="shared" si="2"/>
        <v>#N/A</v>
      </c>
      <c r="I170" s="92"/>
    </row>
    <row r="171" ht="16.25" spans="1:9">
      <c r="A171" s="42">
        <f>'【3-2】大区&amp;运营中心填-房间模型价'!H128</f>
        <v>0</v>
      </c>
      <c r="B171" s="42">
        <f>'【3-2】大区&amp;运营中心填-房间模型价'!I128</f>
        <v>0</v>
      </c>
      <c r="C171" s="91" t="e">
        <f>VLOOKUP(A171,'【3-2】大区&amp;运营中心填-房间模型价'!H:J,3,0)</f>
        <v>#N/A</v>
      </c>
      <c r="D171" s="13"/>
      <c r="E171" s="13"/>
      <c r="F171" s="13"/>
      <c r="G171" s="13"/>
      <c r="H171" s="13" t="e">
        <f t="shared" si="2"/>
        <v>#N/A</v>
      </c>
      <c r="I171" s="92"/>
    </row>
    <row r="172" ht="16.25" spans="1:9">
      <c r="A172" s="42">
        <f>'【3-2】大区&amp;运营中心填-房间模型价'!H129</f>
        <v>0</v>
      </c>
      <c r="B172" s="42">
        <f>'【3-2】大区&amp;运营中心填-房间模型价'!I129</f>
        <v>0</v>
      </c>
      <c r="C172" s="91" t="e">
        <f>VLOOKUP(A172,'【3-2】大区&amp;运营中心填-房间模型价'!H:J,3,0)</f>
        <v>#N/A</v>
      </c>
      <c r="D172" s="13"/>
      <c r="E172" s="13"/>
      <c r="F172" s="13"/>
      <c r="G172" s="13"/>
      <c r="H172" s="13" t="e">
        <f t="shared" si="2"/>
        <v>#N/A</v>
      </c>
      <c r="I172" s="92"/>
    </row>
    <row r="173" ht="16.25" spans="1:9">
      <c r="A173" s="42">
        <f>'【3-2】大区&amp;运营中心填-房间模型价'!H130</f>
        <v>0</v>
      </c>
      <c r="B173" s="42">
        <f>'【3-2】大区&amp;运营中心填-房间模型价'!I130</f>
        <v>0</v>
      </c>
      <c r="C173" s="91" t="e">
        <f>VLOOKUP(A173,'【3-2】大区&amp;运营中心填-房间模型价'!H:J,3,0)</f>
        <v>#N/A</v>
      </c>
      <c r="D173" s="13"/>
      <c r="E173" s="13"/>
      <c r="F173" s="13"/>
      <c r="G173" s="13"/>
      <c r="H173" s="13" t="e">
        <f t="shared" si="2"/>
        <v>#N/A</v>
      </c>
      <c r="I173" s="92"/>
    </row>
    <row r="174" ht="16.25" spans="1:9">
      <c r="A174" s="42">
        <f>'【3-2】大区&amp;运营中心填-房间模型价'!H131</f>
        <v>0</v>
      </c>
      <c r="B174" s="42">
        <f>'【3-2】大区&amp;运营中心填-房间模型价'!I131</f>
        <v>0</v>
      </c>
      <c r="C174" s="91" t="e">
        <f>VLOOKUP(A174,'【3-2】大区&amp;运营中心填-房间模型价'!H:J,3,0)</f>
        <v>#N/A</v>
      </c>
      <c r="D174" s="13"/>
      <c r="E174" s="13"/>
      <c r="F174" s="13"/>
      <c r="G174" s="13"/>
      <c r="H174" s="13" t="e">
        <f t="shared" si="2"/>
        <v>#N/A</v>
      </c>
      <c r="I174" s="92"/>
    </row>
    <row r="175" ht="16.25" spans="1:9">
      <c r="A175" s="42">
        <f>'【3-2】大区&amp;运营中心填-房间模型价'!H132</f>
        <v>0</v>
      </c>
      <c r="B175" s="42">
        <f>'【3-2】大区&amp;运营中心填-房间模型价'!I132</f>
        <v>0</v>
      </c>
      <c r="C175" s="91" t="e">
        <f>VLOOKUP(A175,'【3-2】大区&amp;运营中心填-房间模型价'!H:J,3,0)</f>
        <v>#N/A</v>
      </c>
      <c r="D175" s="13"/>
      <c r="E175" s="13"/>
      <c r="F175" s="13"/>
      <c r="G175" s="13"/>
      <c r="H175" s="13" t="e">
        <f t="shared" si="2"/>
        <v>#N/A</v>
      </c>
      <c r="I175" s="92"/>
    </row>
    <row r="176" ht="16.25" spans="1:9">
      <c r="A176" s="42">
        <f>'【3-2】大区&amp;运营中心填-房间模型价'!H133</f>
        <v>0</v>
      </c>
      <c r="B176" s="42">
        <f>'【3-2】大区&amp;运营中心填-房间模型价'!I133</f>
        <v>0</v>
      </c>
      <c r="C176" s="91" t="e">
        <f>VLOOKUP(A176,'【3-2】大区&amp;运营中心填-房间模型价'!H:J,3,0)</f>
        <v>#N/A</v>
      </c>
      <c r="D176" s="13"/>
      <c r="E176" s="13"/>
      <c r="F176" s="13"/>
      <c r="G176" s="13"/>
      <c r="H176" s="13" t="e">
        <f t="shared" si="2"/>
        <v>#N/A</v>
      </c>
      <c r="I176" s="92"/>
    </row>
    <row r="177" ht="16.25" spans="1:9">
      <c r="A177" s="42">
        <f>'【3-2】大区&amp;运营中心填-房间模型价'!H134</f>
        <v>0</v>
      </c>
      <c r="B177" s="42">
        <f>'【3-2】大区&amp;运营中心填-房间模型价'!I134</f>
        <v>0</v>
      </c>
      <c r="C177" s="91" t="e">
        <f>VLOOKUP(A177,'【3-2】大区&amp;运营中心填-房间模型价'!H:J,3,0)</f>
        <v>#N/A</v>
      </c>
      <c r="D177" s="13"/>
      <c r="E177" s="13"/>
      <c r="F177" s="13"/>
      <c r="G177" s="13"/>
      <c r="H177" s="13" t="e">
        <f t="shared" si="2"/>
        <v>#N/A</v>
      </c>
      <c r="I177" s="92"/>
    </row>
    <row r="178" ht="16.25" spans="1:9">
      <c r="A178" s="42">
        <f>'【3-2】大区&amp;运营中心填-房间模型价'!H135</f>
        <v>0</v>
      </c>
      <c r="B178" s="42">
        <f>'【3-2】大区&amp;运营中心填-房间模型价'!I135</f>
        <v>0</v>
      </c>
      <c r="C178" s="91" t="e">
        <f>VLOOKUP(A178,'【3-2】大区&amp;运营中心填-房间模型价'!H:J,3,0)</f>
        <v>#N/A</v>
      </c>
      <c r="D178" s="13"/>
      <c r="E178" s="13"/>
      <c r="F178" s="13"/>
      <c r="G178" s="13"/>
      <c r="H178" s="13" t="e">
        <f t="shared" si="2"/>
        <v>#N/A</v>
      </c>
      <c r="I178" s="92"/>
    </row>
    <row r="179" ht="16.25" spans="1:9">
      <c r="A179" s="42">
        <f>'【3-2】大区&amp;运营中心填-房间模型价'!H136</f>
        <v>0</v>
      </c>
      <c r="B179" s="42">
        <f>'【3-2】大区&amp;运营中心填-房间模型价'!I136</f>
        <v>0</v>
      </c>
      <c r="C179" s="91" t="e">
        <f>VLOOKUP(A179,'【3-2】大区&amp;运营中心填-房间模型价'!H:J,3,0)</f>
        <v>#N/A</v>
      </c>
      <c r="D179" s="13"/>
      <c r="E179" s="13"/>
      <c r="F179" s="13"/>
      <c r="G179" s="13"/>
      <c r="H179" s="13" t="e">
        <f t="shared" si="2"/>
        <v>#N/A</v>
      </c>
      <c r="I179" s="92"/>
    </row>
    <row r="180" ht="16.25" spans="1:9">
      <c r="A180" s="42">
        <f>'【3-2】大区&amp;运营中心填-房间模型价'!H137</f>
        <v>0</v>
      </c>
      <c r="B180" s="42">
        <f>'【3-2】大区&amp;运营中心填-房间模型价'!I137</f>
        <v>0</v>
      </c>
      <c r="C180" s="91" t="e">
        <f>VLOOKUP(A180,'【3-2】大区&amp;运营中心填-房间模型价'!H:J,3,0)</f>
        <v>#N/A</v>
      </c>
      <c r="D180" s="13"/>
      <c r="E180" s="13"/>
      <c r="F180" s="13"/>
      <c r="G180" s="13"/>
      <c r="H180" s="13" t="e">
        <f t="shared" si="2"/>
        <v>#N/A</v>
      </c>
      <c r="I180" s="92"/>
    </row>
    <row r="181" ht="16.25" spans="1:9">
      <c r="A181" s="42">
        <f>'【3-2】大区&amp;运营中心填-房间模型价'!H138</f>
        <v>0</v>
      </c>
      <c r="B181" s="42">
        <f>'【3-2】大区&amp;运营中心填-房间模型价'!I138</f>
        <v>0</v>
      </c>
      <c r="C181" s="91" t="e">
        <f>VLOOKUP(A181,'【3-2】大区&amp;运营中心填-房间模型价'!H:J,3,0)</f>
        <v>#N/A</v>
      </c>
      <c r="D181" s="13"/>
      <c r="E181" s="13"/>
      <c r="F181" s="13"/>
      <c r="G181" s="13"/>
      <c r="H181" s="13" t="e">
        <f t="shared" si="2"/>
        <v>#N/A</v>
      </c>
      <c r="I181" s="92"/>
    </row>
    <row r="182" ht="16.25" spans="1:9">
      <c r="A182" s="42">
        <f>'【3-2】大区&amp;运营中心填-房间模型价'!H139</f>
        <v>0</v>
      </c>
      <c r="B182" s="42">
        <f>'【3-2】大区&amp;运营中心填-房间模型价'!I139</f>
        <v>0</v>
      </c>
      <c r="C182" s="91" t="e">
        <f>VLOOKUP(A182,'【3-2】大区&amp;运营中心填-房间模型价'!H:J,3,0)</f>
        <v>#N/A</v>
      </c>
      <c r="D182" s="13"/>
      <c r="E182" s="13"/>
      <c r="F182" s="13"/>
      <c r="G182" s="13"/>
      <c r="H182" s="13" t="e">
        <f t="shared" si="2"/>
        <v>#N/A</v>
      </c>
      <c r="I182" s="92"/>
    </row>
    <row r="183" ht="16.25" spans="1:9">
      <c r="A183" s="42">
        <f>'【3-2】大区&amp;运营中心填-房间模型价'!H140</f>
        <v>0</v>
      </c>
      <c r="B183" s="42">
        <f>'【3-2】大区&amp;运营中心填-房间模型价'!I140</f>
        <v>0</v>
      </c>
      <c r="C183" s="91" t="e">
        <f>VLOOKUP(A183,'【3-2】大区&amp;运营中心填-房间模型价'!H:J,3,0)</f>
        <v>#N/A</v>
      </c>
      <c r="D183" s="13"/>
      <c r="E183" s="13"/>
      <c r="F183" s="13"/>
      <c r="G183" s="13"/>
      <c r="H183" s="13" t="e">
        <f t="shared" si="2"/>
        <v>#N/A</v>
      </c>
      <c r="I183" s="92"/>
    </row>
    <row r="184" ht="16.25" spans="1:9">
      <c r="A184" s="42">
        <f>'【3-2】大区&amp;运营中心填-房间模型价'!H141</f>
        <v>0</v>
      </c>
      <c r="B184" s="42">
        <f>'【3-2】大区&amp;运营中心填-房间模型价'!I141</f>
        <v>0</v>
      </c>
      <c r="C184" s="91" t="e">
        <f>VLOOKUP(A184,'【3-2】大区&amp;运营中心填-房间模型价'!H:J,3,0)</f>
        <v>#N/A</v>
      </c>
      <c r="D184" s="13"/>
      <c r="E184" s="13"/>
      <c r="F184" s="13"/>
      <c r="G184" s="13"/>
      <c r="H184" s="13" t="e">
        <f t="shared" si="2"/>
        <v>#N/A</v>
      </c>
      <c r="I184" s="92"/>
    </row>
    <row r="185" ht="16.25" spans="1:9">
      <c r="A185" s="42">
        <f>'【3-2】大区&amp;运营中心填-房间模型价'!H142</f>
        <v>0</v>
      </c>
      <c r="B185" s="42">
        <f>'【3-2】大区&amp;运营中心填-房间模型价'!I142</f>
        <v>0</v>
      </c>
      <c r="C185" s="91" t="e">
        <f>VLOOKUP(A185,'【3-2】大区&amp;运营中心填-房间模型价'!H:J,3,0)</f>
        <v>#N/A</v>
      </c>
      <c r="D185" s="13"/>
      <c r="E185" s="13"/>
      <c r="F185" s="13"/>
      <c r="G185" s="13"/>
      <c r="H185" s="13" t="e">
        <f t="shared" si="2"/>
        <v>#N/A</v>
      </c>
      <c r="I185" s="92"/>
    </row>
    <row r="186" ht="16.25" spans="1:9">
      <c r="A186" s="42">
        <f>'【3-2】大区&amp;运营中心填-房间模型价'!H143</f>
        <v>0</v>
      </c>
      <c r="B186" s="42">
        <f>'【3-2】大区&amp;运营中心填-房间模型价'!I143</f>
        <v>0</v>
      </c>
      <c r="C186" s="91" t="e">
        <f>VLOOKUP(A186,'【3-2】大区&amp;运营中心填-房间模型价'!H:J,3,0)</f>
        <v>#N/A</v>
      </c>
      <c r="D186" s="13"/>
      <c r="E186" s="13"/>
      <c r="F186" s="13"/>
      <c r="G186" s="13"/>
      <c r="H186" s="13" t="e">
        <f t="shared" si="2"/>
        <v>#N/A</v>
      </c>
      <c r="I186" s="92"/>
    </row>
    <row r="187" ht="16.25" spans="1:9">
      <c r="A187" s="42">
        <f>'【3-2】大区&amp;运营中心填-房间模型价'!H144</f>
        <v>0</v>
      </c>
      <c r="B187" s="42">
        <f>'【3-2】大区&amp;运营中心填-房间模型价'!I144</f>
        <v>0</v>
      </c>
      <c r="C187" s="91" t="e">
        <f>VLOOKUP(A187,'【3-2】大区&amp;运营中心填-房间模型价'!H:J,3,0)</f>
        <v>#N/A</v>
      </c>
      <c r="D187" s="13"/>
      <c r="E187" s="13"/>
      <c r="F187" s="13"/>
      <c r="G187" s="13"/>
      <c r="H187" s="13" t="e">
        <f t="shared" si="2"/>
        <v>#N/A</v>
      </c>
      <c r="I187" s="92"/>
    </row>
    <row r="188" ht="16.25" spans="1:9">
      <c r="A188" s="42">
        <f>'【3-2】大区&amp;运营中心填-房间模型价'!H145</f>
        <v>0</v>
      </c>
      <c r="B188" s="42">
        <f>'【3-2】大区&amp;运营中心填-房间模型价'!I145</f>
        <v>0</v>
      </c>
      <c r="C188" s="91" t="e">
        <f>VLOOKUP(A188,'【3-2】大区&amp;运营中心填-房间模型价'!H:J,3,0)</f>
        <v>#N/A</v>
      </c>
      <c r="D188" s="13"/>
      <c r="E188" s="13"/>
      <c r="F188" s="13"/>
      <c r="G188" s="13"/>
      <c r="H188" s="13" t="e">
        <f t="shared" si="2"/>
        <v>#N/A</v>
      </c>
      <c r="I188" s="92"/>
    </row>
    <row r="189" ht="16.25" spans="1:9">
      <c r="A189" s="42">
        <f>'【3-2】大区&amp;运营中心填-房间模型价'!H146</f>
        <v>0</v>
      </c>
      <c r="B189" s="42">
        <f>'【3-2】大区&amp;运营中心填-房间模型价'!I146</f>
        <v>0</v>
      </c>
      <c r="C189" s="91" t="e">
        <f>VLOOKUP(A189,'【3-2】大区&amp;运营中心填-房间模型价'!H:J,3,0)</f>
        <v>#N/A</v>
      </c>
      <c r="D189" s="13"/>
      <c r="E189" s="13"/>
      <c r="F189" s="13"/>
      <c r="G189" s="13"/>
      <c r="H189" s="13" t="e">
        <f t="shared" si="2"/>
        <v>#N/A</v>
      </c>
      <c r="I189" s="92"/>
    </row>
    <row r="190" ht="16.25" spans="1:9">
      <c r="A190" s="42">
        <f>'【3-2】大区&amp;运营中心填-房间模型价'!H147</f>
        <v>0</v>
      </c>
      <c r="B190" s="42">
        <f>'【3-2】大区&amp;运营中心填-房间模型价'!I147</f>
        <v>0</v>
      </c>
      <c r="C190" s="91" t="e">
        <f>VLOOKUP(A190,'【3-2】大区&amp;运营中心填-房间模型价'!H:J,3,0)</f>
        <v>#N/A</v>
      </c>
      <c r="D190" s="13"/>
      <c r="E190" s="13"/>
      <c r="F190" s="13"/>
      <c r="G190" s="13"/>
      <c r="H190" s="13" t="e">
        <f t="shared" si="2"/>
        <v>#N/A</v>
      </c>
      <c r="I190" s="92"/>
    </row>
    <row r="191" ht="16.25" spans="1:9">
      <c r="A191" s="42">
        <f>'【3-2】大区&amp;运营中心填-房间模型价'!H148</f>
        <v>0</v>
      </c>
      <c r="B191" s="42">
        <f>'【3-2】大区&amp;运营中心填-房间模型价'!I148</f>
        <v>0</v>
      </c>
      <c r="C191" s="91" t="e">
        <f>VLOOKUP(A191,'【3-2】大区&amp;运营中心填-房间模型价'!H:J,3,0)</f>
        <v>#N/A</v>
      </c>
      <c r="D191" s="13"/>
      <c r="E191" s="13"/>
      <c r="F191" s="13"/>
      <c r="G191" s="13"/>
      <c r="H191" s="13" t="e">
        <f t="shared" si="2"/>
        <v>#N/A</v>
      </c>
      <c r="I191" s="92"/>
    </row>
    <row r="192" ht="16.25" spans="1:9">
      <c r="A192" s="42">
        <f>'【3-2】大区&amp;运营中心填-房间模型价'!H149</f>
        <v>0</v>
      </c>
      <c r="B192" s="42">
        <f>'【3-2】大区&amp;运营中心填-房间模型价'!I149</f>
        <v>0</v>
      </c>
      <c r="C192" s="91" t="e">
        <f>VLOOKUP(A192,'【3-2】大区&amp;运营中心填-房间模型价'!H:J,3,0)</f>
        <v>#N/A</v>
      </c>
      <c r="D192" s="13"/>
      <c r="E192" s="13"/>
      <c r="F192" s="13"/>
      <c r="G192" s="13"/>
      <c r="H192" s="13" t="e">
        <f t="shared" si="2"/>
        <v>#N/A</v>
      </c>
      <c r="I192" s="92"/>
    </row>
    <row r="193" ht="16.25" spans="1:9">
      <c r="A193" s="42">
        <f>'【3-2】大区&amp;运营中心填-房间模型价'!H150</f>
        <v>0</v>
      </c>
      <c r="B193" s="42">
        <f>'【3-2】大区&amp;运营中心填-房间模型价'!I150</f>
        <v>0</v>
      </c>
      <c r="C193" s="91" t="e">
        <f>VLOOKUP(A193,'【3-2】大区&amp;运营中心填-房间模型价'!H:J,3,0)</f>
        <v>#N/A</v>
      </c>
      <c r="D193" s="13"/>
      <c r="E193" s="13"/>
      <c r="F193" s="13"/>
      <c r="G193" s="13"/>
      <c r="H193" s="13" t="e">
        <f t="shared" si="2"/>
        <v>#N/A</v>
      </c>
      <c r="I193" s="92"/>
    </row>
    <row r="194" spans="1:9">
      <c r="A194" s="42">
        <f>'【3-2】大区&amp;运营中心填-房间模型价'!H148</f>
        <v>0</v>
      </c>
      <c r="B194" s="42">
        <f>'【3-2】大区&amp;运营中心填-房间模型价'!I148</f>
        <v>0</v>
      </c>
      <c r="C194" s="91" t="e">
        <f>VLOOKUP(A194,'【3-2】大区&amp;运营中心填-房间模型价'!H:J,3,0)</f>
        <v>#N/A</v>
      </c>
      <c r="D194" s="13"/>
      <c r="E194" s="13"/>
      <c r="F194" s="13"/>
      <c r="G194" s="13"/>
      <c r="H194" s="13" t="e">
        <f t="shared" ref="H194:H198" si="3">IF(C194="开间",IF(D194+E194*2-G194&lt;=0,"1",IF(D194+E194*2-G194&lt;=1,"2",IF(D194+E194*2-G194&lt;=2,"3",IF(D194+E194*2-G194&lt;=3,"4","5")))),IF(D194+E194*2-G194&lt;1.1,"1",IF(D194+E194*2-G194&lt;=2,"2",IF(D194+E194*2-G194&lt;=3,"3",IF(D194+E194*2-G194&lt;=4,"4","5")))))</f>
        <v>#N/A</v>
      </c>
      <c r="I194" s="99"/>
    </row>
    <row r="195" ht="16.25" spans="1:9">
      <c r="A195" s="42">
        <f>'【3-2】大区&amp;运营中心填-房间模型价'!H149</f>
        <v>0</v>
      </c>
      <c r="B195" s="42">
        <f>'【3-2】大区&amp;运营中心填-房间模型价'!I149</f>
        <v>0</v>
      </c>
      <c r="C195" s="91" t="e">
        <f>VLOOKUP(A195,'【3-2】大区&amp;运营中心填-房间模型价'!H:J,3,0)</f>
        <v>#N/A</v>
      </c>
      <c r="D195" s="13"/>
      <c r="E195" s="13"/>
      <c r="F195" s="13"/>
      <c r="G195" s="13"/>
      <c r="H195" s="13" t="e">
        <f t="shared" si="3"/>
        <v>#N/A</v>
      </c>
      <c r="I195" s="92"/>
    </row>
    <row r="196" ht="16.25" spans="1:9">
      <c r="A196" s="42">
        <f>'【3-2】大区&amp;运营中心填-房间模型价'!H150</f>
        <v>0</v>
      </c>
      <c r="B196" s="42">
        <f>'【3-2】大区&amp;运营中心填-房间模型价'!I150</f>
        <v>0</v>
      </c>
      <c r="C196" s="91" t="e">
        <f>VLOOKUP(A196,'【3-2】大区&amp;运营中心填-房间模型价'!H:J,3,0)</f>
        <v>#N/A</v>
      </c>
      <c r="D196" s="13"/>
      <c r="E196" s="13"/>
      <c r="F196" s="13"/>
      <c r="G196" s="13"/>
      <c r="H196" s="13" t="e">
        <f t="shared" si="3"/>
        <v>#N/A</v>
      </c>
      <c r="I196" s="92"/>
    </row>
    <row r="197" spans="1:9">
      <c r="A197" s="42">
        <f>'【3-2】大区&amp;运营中心填-房间模型价'!H151</f>
        <v>0</v>
      </c>
      <c r="B197" s="42">
        <f>'【3-2】大区&amp;运营中心填-房间模型价'!I151</f>
        <v>0</v>
      </c>
      <c r="C197" s="91" t="e">
        <f>VLOOKUP(A197,'【3-2】大区&amp;运营中心填-房间模型价'!H:J,3,0)</f>
        <v>#N/A</v>
      </c>
      <c r="D197" s="13"/>
      <c r="E197" s="13"/>
      <c r="F197" s="13"/>
      <c r="G197" s="13"/>
      <c r="H197" s="13" t="e">
        <f t="shared" si="3"/>
        <v>#N/A</v>
      </c>
      <c r="I197" s="99"/>
    </row>
    <row r="198" ht="16.25" spans="1:9">
      <c r="A198" s="42">
        <f>'【3-2】大区&amp;运营中心填-房间模型价'!H152</f>
        <v>0</v>
      </c>
      <c r="B198" s="42">
        <f>'【3-2】大区&amp;运营中心填-房间模型价'!I152</f>
        <v>0</v>
      </c>
      <c r="C198" s="91" t="e">
        <f>VLOOKUP(A198,'【3-2】大区&amp;运营中心填-房间模型价'!H:J,3,0)</f>
        <v>#N/A</v>
      </c>
      <c r="D198" s="13"/>
      <c r="E198" s="13"/>
      <c r="F198" s="13"/>
      <c r="G198" s="13"/>
      <c r="H198" s="13" t="e">
        <f t="shared" si="3"/>
        <v>#N/A</v>
      </c>
      <c r="I198" s="92"/>
    </row>
    <row r="199" spans="1:9">
      <c r="A199" s="42">
        <f>'【3-2】大区&amp;运营中心填-房间模型价'!H153</f>
        <v>0</v>
      </c>
      <c r="B199" s="42">
        <f>'【3-2】大区&amp;运营中心填-房间模型价'!I153</f>
        <v>0</v>
      </c>
      <c r="C199" s="91" t="e">
        <f>VLOOKUP(A199,'【3-2】大区&amp;运营中心填-房间模型价'!H:J,3,0)</f>
        <v>#N/A</v>
      </c>
      <c r="D199" s="13"/>
      <c r="E199" s="13"/>
      <c r="F199" s="13"/>
      <c r="G199" s="13"/>
      <c r="H199" s="13" t="e">
        <f t="shared" ref="H199:H200" si="4">IF(C199="开间",IF(D199+E199*2-G199&lt;=0,"1",IF(D199+E199*2-G199&lt;=1,"2",IF(D199+E199*2-G199&lt;=2,"3",IF(D199+E199*2-G199&lt;=3,"4","5")))),IF(D199+E199*2-G199&lt;1.1,"1",IF(D199+E199*2-G199&lt;=2,"2",IF(D199+E199*2-G199&lt;=3,"3",IF(D199+E199*2-G199&lt;=4,"4","5")))))</f>
        <v>#N/A</v>
      </c>
      <c r="I199" s="99"/>
    </row>
    <row r="200" spans="1:9">
      <c r="A200" s="42">
        <f>'【3-2】大区&amp;运营中心填-房间模型价'!H154</f>
        <v>0</v>
      </c>
      <c r="B200" s="42">
        <f>'【3-2】大区&amp;运营中心填-房间模型价'!I154</f>
        <v>0</v>
      </c>
      <c r="C200" s="91" t="e">
        <f>VLOOKUP(A200,'【3-2】大区&amp;运营中心填-房间模型价'!H:J,3,0)</f>
        <v>#N/A</v>
      </c>
      <c r="D200" s="13"/>
      <c r="E200" s="13"/>
      <c r="F200" s="13"/>
      <c r="G200" s="13"/>
      <c r="H200" s="13" t="e">
        <f t="shared" si="4"/>
        <v>#N/A</v>
      </c>
      <c r="I200" s="99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Q75"/>
  <sheetViews>
    <sheetView tabSelected="1" zoomScale="85" zoomScaleNormal="85" workbookViewId="0">
      <pane ySplit="1" topLeftCell="A31" activePane="bottomLeft" state="frozen"/>
      <selection/>
      <selection pane="bottomLeft" activeCell="L90" sqref="L90"/>
    </sheetView>
  </sheetViews>
  <sheetFormatPr defaultColWidth="8.41666666666667" defaultRowHeight="14.1"/>
  <cols>
    <col min="1" max="1" width="39.6666666666667" style="37" customWidth="1"/>
    <col min="2" max="7" width="14.25" style="37" hidden="1" customWidth="1"/>
    <col min="8" max="8" width="13.0833333333333" style="37" customWidth="1"/>
    <col min="9" max="9" width="11.0833333333333" style="37" customWidth="1"/>
    <col min="10" max="10" width="15.0833333333333" style="37" customWidth="1"/>
    <col min="11" max="11" width="11.0833333333333" style="37" hidden="1" customWidth="1"/>
    <col min="12" max="12" width="19.4166666666667" style="38" customWidth="1"/>
    <col min="13" max="14" width="15.0833333333333" style="37" customWidth="1" outlineLevel="1"/>
    <col min="15" max="15" width="16.25" hidden="1" customWidth="1" outlineLevel="1"/>
    <col min="16" max="16" width="11.0833333333333" style="2" hidden="1" customWidth="1" outlineLevel="1"/>
    <col min="17" max="17" width="16.25" style="2" hidden="1" customWidth="1" outlineLevel="1"/>
    <col min="18" max="18" width="17.3333333333333" style="2" hidden="1" customWidth="1" outlineLevel="1"/>
    <col min="19" max="19" width="16.25" hidden="1" customWidth="1" outlineLevel="1"/>
    <col min="20" max="20" width="17.3333333333333" hidden="1" customWidth="1" outlineLevel="1"/>
    <col min="21" max="21" width="16.25" hidden="1" customWidth="1" outlineLevel="1"/>
    <col min="22" max="22" width="13.0833333333333" hidden="1" customWidth="1" outlineLevel="1"/>
    <col min="23" max="23" width="11.0833333333333" hidden="1" customWidth="1" outlineLevel="1"/>
    <col min="24" max="25" width="15.0833333333333" hidden="1" customWidth="1" outlineLevel="1"/>
    <col min="26" max="26" width="11.0833333333333" hidden="1" customWidth="1" outlineLevel="1"/>
    <col min="27" max="27" width="15.0833333333333" hidden="1" customWidth="1" outlineLevel="1"/>
    <col min="28" max="28" width="11.0833333333333" hidden="1" customWidth="1" outlineLevel="1"/>
    <col min="29" max="29" width="21.75" hidden="1" customWidth="1" outlineLevel="1"/>
    <col min="30" max="30" width="24.0833333333333" hidden="1" customWidth="1" outlineLevel="1"/>
    <col min="31" max="31" width="16.25" hidden="1" customWidth="1" outlineLevel="1"/>
    <col min="32" max="32" width="24.0833333333333" hidden="1" customWidth="1" outlineLevel="1"/>
    <col min="33" max="33" width="16.25" hidden="1" customWidth="1" outlineLevel="1"/>
    <col min="34" max="34" width="24.0833333333333" hidden="1" customWidth="1" outlineLevel="1"/>
    <col min="35" max="35" width="16.25" hidden="1" customWidth="1" outlineLevel="1"/>
    <col min="36" max="36" width="11.0833333333333" customWidth="1" outlineLevel="1"/>
    <col min="37" max="37" width="16.25" hidden="1" customWidth="1" outlineLevel="1"/>
    <col min="38" max="38" width="17.3333333333333" style="39" customWidth="1"/>
    <col min="39" max="39" width="15.4166666666667" style="2" customWidth="1"/>
    <col min="40" max="40" width="11.3333333333333" customWidth="1"/>
    <col min="41" max="41" width="15.0833333333333" style="37" customWidth="1" outlineLevel="1"/>
    <col min="42" max="42" width="17.4" customWidth="1"/>
    <col min="43" max="43" width="11.4833333333333" customWidth="1"/>
  </cols>
  <sheetData>
    <row r="1" ht="33" customHeight="1" spans="1:43">
      <c r="A1" s="40" t="s">
        <v>442</v>
      </c>
      <c r="B1" s="40" t="s">
        <v>472</v>
      </c>
      <c r="C1" s="40" t="s">
        <v>473</v>
      </c>
      <c r="D1" s="40" t="s">
        <v>474</v>
      </c>
      <c r="E1" s="40" t="s">
        <v>475</v>
      </c>
      <c r="F1" s="40" t="s">
        <v>476</v>
      </c>
      <c r="G1" s="40" t="s">
        <v>477</v>
      </c>
      <c r="H1" s="40" t="s">
        <v>448</v>
      </c>
      <c r="I1" s="40" t="s">
        <v>361</v>
      </c>
      <c r="J1" s="40" t="s">
        <v>36</v>
      </c>
      <c r="K1" s="40" t="s">
        <v>272</v>
      </c>
      <c r="L1" s="41" t="s">
        <v>446</v>
      </c>
      <c r="M1" s="42" t="s">
        <v>57</v>
      </c>
      <c r="N1" s="42" t="s">
        <v>478</v>
      </c>
      <c r="O1" s="42" t="s">
        <v>444</v>
      </c>
      <c r="P1" s="42" t="s">
        <v>67</v>
      </c>
      <c r="Q1" s="43" t="s">
        <v>445</v>
      </c>
      <c r="R1" s="42" t="s">
        <v>68</v>
      </c>
      <c r="S1" s="43" t="s">
        <v>479</v>
      </c>
      <c r="T1" s="42" t="s">
        <v>104</v>
      </c>
      <c r="U1" s="43" t="s">
        <v>480</v>
      </c>
      <c r="V1" s="42" t="s">
        <v>481</v>
      </c>
      <c r="W1" s="42" t="s">
        <v>482</v>
      </c>
      <c r="X1" s="42" t="s">
        <v>483</v>
      </c>
      <c r="Y1" s="42" t="s">
        <v>484</v>
      </c>
      <c r="Z1" s="42" t="s">
        <v>485</v>
      </c>
      <c r="AA1" s="42" t="s">
        <v>486</v>
      </c>
      <c r="AB1" s="42" t="s">
        <v>487</v>
      </c>
      <c r="AC1" s="42" t="s">
        <v>488</v>
      </c>
      <c r="AD1" s="42" t="str">
        <f>【1】定价因子!$C$35</f>
        <v>功能配置（开间）</v>
      </c>
      <c r="AE1" s="43" t="s">
        <v>489</v>
      </c>
      <c r="AF1" s="42" t="str">
        <f>【1】定价因子!$C$47</f>
        <v>功能配置（一居）</v>
      </c>
      <c r="AG1" s="44" t="s">
        <v>490</v>
      </c>
      <c r="AH1" s="42" t="str">
        <f>【1】定价因子!$C$54</f>
        <v>功能配置（二居）</v>
      </c>
      <c r="AI1" s="44" t="s">
        <v>491</v>
      </c>
      <c r="AJ1" s="45" t="s">
        <v>118</v>
      </c>
      <c r="AK1" s="43" t="s">
        <v>492</v>
      </c>
      <c r="AL1" s="46" t="s">
        <v>493</v>
      </c>
      <c r="AM1" s="47" t="s">
        <v>494</v>
      </c>
      <c r="AN1" s="48" t="s">
        <v>495</v>
      </c>
      <c r="AO1" s="49" t="s">
        <v>496</v>
      </c>
      <c r="AP1" s="50" t="s">
        <v>497</v>
      </c>
      <c r="AQ1" t="s">
        <v>498</v>
      </c>
    </row>
    <row r="2" s="34" customFormat="1" ht="17" customHeight="1" spans="1:43">
      <c r="A2" s="51" t="str">
        <f>'【2】运营中心填-基本信息&amp;审核标准'!$E$2</f>
        <v>东福围西街30栋</v>
      </c>
      <c r="B2" s="51">
        <f>INT(H2/100)</f>
        <v>3</v>
      </c>
      <c r="C2" s="51">
        <f>COUNTIF($B$2:$B$75,B2)</f>
        <v>17</v>
      </c>
      <c r="D2" s="51">
        <f>COUNTIF(C$2:C$75,C2)</f>
        <v>17</v>
      </c>
      <c r="E2" s="51">
        <f>MAX(D2:D75)</f>
        <v>42</v>
      </c>
      <c r="F2" s="51" t="str">
        <f>IF(D2=$E$2,C2,"")</f>
        <v/>
      </c>
      <c r="G2" s="51">
        <f>MAX(F2:F75)</f>
        <v>14</v>
      </c>
      <c r="H2" s="52">
        <v>301</v>
      </c>
      <c r="I2" s="53" t="s">
        <v>499</v>
      </c>
      <c r="J2" s="53" t="s">
        <v>40</v>
      </c>
      <c r="K2" s="51" t="str" cm="1">
        <f t="array" ref="K2">IFERROR(INDEX($J$2:$J$75,MATCH(0,IF(ISBLANK($J$2:$J$75),1,COUNTIF($K$1:K1,$J$2:$J$75)),0)),"")</f>
        <v>开间</v>
      </c>
      <c r="L2" s="54">
        <f>VLOOKUP(J2,'【3】大区填-楼栋基准格局定价'!B:H,7,0)</f>
        <v>1579.858</v>
      </c>
      <c r="M2" s="55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适中</v>
      </c>
      <c r="N2" s="55">
        <v>13.26</v>
      </c>
      <c r="O2" s="51">
        <f>VLOOKUP($M$1&amp;M2,【1】定价因子!E:F,2,0)</f>
        <v>1</v>
      </c>
      <c r="P2" s="51" t="str">
        <f>IF(COUNTIFS(户型资产表!E:E,I2,户型资产表!H:H,"阳台门")&gt;0,"有","无")</f>
        <v>无</v>
      </c>
      <c r="Q2" s="51">
        <f>VLOOKUP($P$1&amp;P2,【1】定价因子!E:F,2,0)</f>
        <v>1</v>
      </c>
      <c r="R2" s="51" t="str">
        <f>IF('【2】运营中心填-基本信息&amp;审核标准'!$D$4="是","无",IF(INT(H2/100)&gt;9,"9F",INT(H2/100)&amp;"F"))</f>
        <v>3F</v>
      </c>
      <c r="S2" s="51">
        <f>VLOOKUP(R2,【1】定价因子!D:F,3,0)</f>
        <v>1.01</v>
      </c>
      <c r="T2" s="51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无</v>
      </c>
      <c r="U2" s="51">
        <f>VLOOKUP($T$1&amp;T2,【1】定价因子!E:F,2,0)</f>
        <v>1</v>
      </c>
      <c r="V2" s="51" t="str">
        <f>IF(COUNTIFS(户型资产表!E:E,I2,户型资产表!H:H,"操作台")&gt;0,"有","无")</f>
        <v>有</v>
      </c>
      <c r="W2" s="51" t="str">
        <f>IF(COUNTIFS(户型资产表!E:E,I2,户型资产表!H:H,"书桌")&gt;0,"有","无")</f>
        <v>有</v>
      </c>
      <c r="X2" s="51" t="str" cm="1">
        <f t="array" ref="X2">IF(SUMPRODUCT((户型资产表!E:E=I2)*((户型资产表!I:I="沙发01单人")+(户型资产表!I:I="单人沙发02")+(户型资产表!I:I="租赁-单人沙发02")+(户型资产表!I:I="租赁-沙发01单人")))&gt;0,"有","无")</f>
        <v>无</v>
      </c>
      <c r="Y2" s="51" t="str" cm="1">
        <f t="array" ref="Y2">IF(SUMPRODUCT((户型资产表!E:E=I2)*((户型资产表!I:I="沙发02两人")+(户型资产表!I:I="双人沙发01")+(户型资产表!I:I="租赁-沙发02两人")+(户型资产表!I:I="租赁-双人沙发01")))&gt;0,"有","无")</f>
        <v>无</v>
      </c>
      <c r="Z2" s="51" t="str">
        <f>IF(COUNTIFS(户型资产表!E:E,I2,户型资产表!H:H,"餐桌")&gt;0,"有","无")</f>
        <v>无</v>
      </c>
      <c r="AA2" s="51" t="str">
        <f>IF(COUNTIFS(户型资产表!E:E,I2,户型资产表!H:H,"吸油烟机")&gt;0,"有","无")</f>
        <v>无</v>
      </c>
      <c r="AB2" s="51" t="str">
        <f>IF(COUNTIFS(户型资产表!E:E,I2,户型资产表!H:H,"冰箱")&gt;0,"有","无")</f>
        <v>无</v>
      </c>
      <c r="AC2" s="51" t="str">
        <f>IF(COUNTIFS(户型资产表!E:E,I2,户型资产表!H:H,"电视柜")&gt;0,"有","无")</f>
        <v>无</v>
      </c>
      <c r="AD2" s="55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51">
        <f>VLOOKUP($AD$1&amp;AD2,【1】定价因子!E:F,2,0)</f>
        <v>1</v>
      </c>
      <c r="AF2" s="55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51">
        <f>VLOOKUP($AF$1&amp;AF2,【1】定价因子!E:F,2,0)</f>
        <v>1</v>
      </c>
      <c r="AH2" s="55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51">
        <f>VLOOKUP($AH$1&amp;AH2,【1】定价因子!E:F,2,0)</f>
        <v>1</v>
      </c>
      <c r="AJ2" s="51" t="str">
        <f>VLOOKUP(H2,'【3-1】大区填-采光基本要素'!A:H,8,0)</f>
        <v>1</v>
      </c>
      <c r="AK2" s="51">
        <f>VLOOKUP($AJ$1&amp;AJ2,【1】定价因子!E:F,2,0)</f>
        <v>0.91</v>
      </c>
      <c r="AL2" s="56">
        <f>L2*PRODUCT(AG2,AK2,AE2,U2,S2,Q2,O2)</f>
        <v>1452.0474878</v>
      </c>
      <c r="AM2" s="51">
        <v>1010</v>
      </c>
      <c r="AN2" s="57">
        <f>AM2/AL2-1</f>
        <v>-0.304430462167423</v>
      </c>
      <c r="AO2" s="55">
        <f>SUMIFS(户型资产表!M:M,户型资产表!I:I,"*租赁*",户型资产表!E:E,I2)</f>
        <v>224.54</v>
      </c>
      <c r="AP2" s="58">
        <f>AM2-AO2</f>
        <v>785.46</v>
      </c>
      <c r="AQ2" s="34">
        <v>1400</v>
      </c>
    </row>
    <row r="3" s="34" customFormat="1" ht="14.15" spans="1:43">
      <c r="A3" s="51" t="str">
        <f>'【2】运营中心填-基本信息&amp;审核标准'!$E$2</f>
        <v>东福围西街30栋</v>
      </c>
      <c r="B3" s="51">
        <f t="shared" ref="B3:B18" si="0">INT(H3/100)</f>
        <v>3</v>
      </c>
      <c r="C3" s="51">
        <f t="shared" ref="C3:C66" si="1">COUNTIF($B$2:$B$75,B3)</f>
        <v>17</v>
      </c>
      <c r="D3" s="51">
        <f t="shared" ref="D3:D66" si="2">COUNTIF(C$2:C$75,C3)</f>
        <v>17</v>
      </c>
      <c r="E3" s="51"/>
      <c r="F3" s="51" t="str">
        <f t="shared" ref="F3:F66" si="3">IF(D3=$E$2,C3,"")</f>
        <v/>
      </c>
      <c r="G3" s="51"/>
      <c r="H3" s="52">
        <v>302</v>
      </c>
      <c r="I3" s="53" t="s">
        <v>500</v>
      </c>
      <c r="J3" s="53" t="s">
        <v>40</v>
      </c>
      <c r="K3" s="51" t="str" cm="1">
        <f t="array" ref="K3">IFERROR(INDEX($J$2:$J$75,MATCH(0,IF(ISBLANK($J$2:$J$75),1,COUNTIF($K$1:K2,$J$2:$J$75)),0)),"")</f>
        <v>一居室</v>
      </c>
      <c r="L3" s="54">
        <f>VLOOKUP(J3,'【3】大区填-楼栋基准格局定价'!B:H,7,0)</f>
        <v>1579.858</v>
      </c>
      <c r="M3" s="55" t="str">
        <f t="shared" ref="M3:M32" si="4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适中</v>
      </c>
      <c r="N3" s="55">
        <v>16.07</v>
      </c>
      <c r="O3" s="51">
        <f>VLOOKUP($M$1&amp;M3,【1】定价因子!E:F,2,0)</f>
        <v>1</v>
      </c>
      <c r="P3" s="51" t="str">
        <f>IF(COUNTIFS(户型资产表!E:E,I3,户型资产表!H:H,"阳台门")&gt;0,"有","无")</f>
        <v>无</v>
      </c>
      <c r="Q3" s="51">
        <f>VLOOKUP($P$1&amp;P3,【1】定价因子!E:F,2,0)</f>
        <v>1</v>
      </c>
      <c r="R3" s="51" t="str">
        <f>IF('【2】运营中心填-基本信息&amp;审核标准'!$D$4="是","无",IF(INT(H3/100)&gt;9,"9F",INT(H3/100)&amp;"F"))</f>
        <v>3F</v>
      </c>
      <c r="S3" s="51">
        <f>VLOOKUP(R3,【1】定价因子!D:F,3,0)</f>
        <v>1.01</v>
      </c>
      <c r="T3" s="51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无</v>
      </c>
      <c r="U3" s="51">
        <f>VLOOKUP($T$1&amp;T3,【1】定价因子!E:F,2,0)</f>
        <v>1</v>
      </c>
      <c r="V3" s="51" t="str">
        <f>IF(COUNTIFS(户型资产表!E:E,I3,户型资产表!H:H,"操作台")&gt;0,"有","无")</f>
        <v>有</v>
      </c>
      <c r="W3" s="51" t="str">
        <f>IF(COUNTIFS(户型资产表!E:E,I3,户型资产表!H:H,"书桌")&gt;0,"有","无")</f>
        <v>有</v>
      </c>
      <c r="X3" s="51" t="str" cm="1">
        <f t="array" ref="X3">IF(SUMPRODUCT((户型资产表!E:E=I3)*((户型资产表!I:I="沙发01单人")+(户型资产表!I:I="单人沙发02")+(户型资产表!I:I="租赁-单人沙发02")+(户型资产表!I:I="租赁-沙发01单人")))&gt;0,"有","无")</f>
        <v>无</v>
      </c>
      <c r="Y3" s="51" t="str" cm="1">
        <f t="array" ref="Y3">IF(SUMPRODUCT((户型资产表!E:E=I3)*((户型资产表!I:I="沙发02两人")+(户型资产表!I:I="双人沙发01")+(户型资产表!I:I="租赁-沙发02两人")+(户型资产表!I:I="租赁-双人沙发01")))&gt;0,"有","无")</f>
        <v>无</v>
      </c>
      <c r="Z3" s="51" t="str">
        <f>IF(COUNTIFS(户型资产表!E:E,I3,户型资产表!H:H,"餐桌")&gt;0,"有","无")</f>
        <v>无</v>
      </c>
      <c r="AA3" s="51" t="str">
        <f>IF(COUNTIFS(户型资产表!E:E,I3,户型资产表!H:H,"吸油烟机")&gt;0,"有","无")</f>
        <v>无</v>
      </c>
      <c r="AB3" s="51" t="str">
        <f>IF(COUNTIFS(户型资产表!E:E,I3,户型资产表!H:H,"冰箱")&gt;0,"有","无")</f>
        <v>无</v>
      </c>
      <c r="AC3" s="51" t="str">
        <f>IF(COUNTIFS(户型资产表!E:E,I3,户型资产表!H:H,"电视柜")&gt;0,"有","无")</f>
        <v>无</v>
      </c>
      <c r="AD3" s="55" t="str">
        <f t="shared" ref="AD3:AD18" si="5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51">
        <f>VLOOKUP($AD$1&amp;AD3,【1】定价因子!E:F,2,0)</f>
        <v>1</v>
      </c>
      <c r="AF3" s="55" t="str">
        <f t="shared" ref="AF3:AF18" si="6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适中</v>
      </c>
      <c r="AG3" s="51">
        <f>VLOOKUP($AF$1&amp;AF3,【1】定价因子!E:F,2,0)</f>
        <v>1</v>
      </c>
      <c r="AH3" s="55" t="str">
        <f t="shared" ref="AH3:AH18" si="7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51">
        <f>VLOOKUP($AH$1&amp;AH3,【1】定价因子!E:F,2,0)</f>
        <v>1</v>
      </c>
      <c r="AJ3" s="51" t="str">
        <f>VLOOKUP(H3,'【3-1】大区填-采光基本要素'!A:H,8,0)</f>
        <v>1</v>
      </c>
      <c r="AK3" s="51">
        <f>VLOOKUP($AJ$1&amp;AJ3,【1】定价因子!E:F,2,0)</f>
        <v>0.91</v>
      </c>
      <c r="AL3" s="56">
        <f t="shared" ref="AL3:AL18" si="8">L3*PRODUCT(AG3,AK3,AE3,U3,S3,Q3,O3)</f>
        <v>1452.0474878</v>
      </c>
      <c r="AM3" s="51">
        <v>1210</v>
      </c>
      <c r="AN3" s="57">
        <f t="shared" ref="AN3:AN18" si="9">AM3/AL3-1</f>
        <v>-0.166693920022359</v>
      </c>
      <c r="AO3" s="55">
        <f>SUMIFS(户型资产表!M:M,户型资产表!I:I,"*租赁*",户型资产表!E:E,I3)</f>
        <v>224.54</v>
      </c>
      <c r="AP3" s="58">
        <f t="shared" ref="AP3:AP34" si="10">AM3-AO3</f>
        <v>985.46</v>
      </c>
      <c r="AQ3" s="34">
        <v>1400</v>
      </c>
    </row>
    <row r="4" s="34" customFormat="1" ht="14.15" spans="1:43">
      <c r="A4" s="51" t="str">
        <f>'【2】运营中心填-基本信息&amp;审核标准'!$E$2</f>
        <v>东福围西街30栋</v>
      </c>
      <c r="B4" s="51">
        <f t="shared" si="0"/>
        <v>3</v>
      </c>
      <c r="C4" s="51">
        <f t="shared" si="1"/>
        <v>17</v>
      </c>
      <c r="D4" s="51">
        <f t="shared" si="2"/>
        <v>17</v>
      </c>
      <c r="E4" s="51"/>
      <c r="F4" s="51" t="str">
        <f t="shared" si="3"/>
        <v/>
      </c>
      <c r="G4" s="51"/>
      <c r="H4" s="52">
        <v>303</v>
      </c>
      <c r="I4" s="53" t="s">
        <v>501</v>
      </c>
      <c r="J4" s="53" t="s">
        <v>40</v>
      </c>
      <c r="K4" s="51" t="str" cm="1">
        <f t="array" ref="K4">IFERROR(INDEX($J$2:$J$75,MATCH(0,IF(ISBLANK($J$2:$J$75),1,COUNTIF($K$1:K3,$J$2:$J$75)),0)),"")</f>
        <v/>
      </c>
      <c r="L4" s="54">
        <f>VLOOKUP(J4,'【3】大区填-楼栋基准格局定价'!B:H,7,0)</f>
        <v>1579.858</v>
      </c>
      <c r="M4" s="55" t="str">
        <f t="shared" si="4"/>
        <v>较宽敞</v>
      </c>
      <c r="N4" s="55">
        <v>17.63</v>
      </c>
      <c r="O4" s="51">
        <f>VLOOKUP($M$1&amp;M4,【1】定价因子!E:F,2,0)</f>
        <v>1.06</v>
      </c>
      <c r="P4" s="51" t="str">
        <f>IF(COUNTIFS(户型资产表!E:E,I4,户型资产表!H:H,"阳台门")&gt;0,"有","无")</f>
        <v>无</v>
      </c>
      <c r="Q4" s="51">
        <f>VLOOKUP($P$1&amp;P4,【1】定价因子!E:F,2,0)</f>
        <v>1</v>
      </c>
      <c r="R4" s="51" t="str">
        <f>IF('【2】运营中心填-基本信息&amp;审核标准'!$D$4="是","无",IF(INT(H4/100)&gt;9,"9F",INT(H4/100)&amp;"F"))</f>
        <v>3F</v>
      </c>
      <c r="S4" s="51">
        <f>VLOOKUP(R4,【1】定价因子!D:F,3,0)</f>
        <v>1.01</v>
      </c>
      <c r="T4" s="51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无</v>
      </c>
      <c r="U4" s="51">
        <f>VLOOKUP($T$1&amp;T4,【1】定价因子!E:F,2,0)</f>
        <v>1</v>
      </c>
      <c r="V4" s="51" t="str">
        <f>IF(COUNTIFS(户型资产表!E:E,I4,户型资产表!H:H,"操作台")&gt;0,"有","无")</f>
        <v>有</v>
      </c>
      <c r="W4" s="51" t="str">
        <f>IF(COUNTIFS(户型资产表!E:E,I4,户型资产表!H:H,"书桌")&gt;0,"有","无")</f>
        <v>有</v>
      </c>
      <c r="X4" s="51" t="str" cm="1">
        <f t="array" ref="X4">IF(SUMPRODUCT((户型资产表!E:E=I4)*((户型资产表!I:I="沙发01单人")+(户型资产表!I:I="单人沙发02")+(户型资产表!I:I="租赁-单人沙发02")+(户型资产表!I:I="租赁-沙发01单人")))&gt;0,"有","无")</f>
        <v>无</v>
      </c>
      <c r="Y4" s="51" t="str" cm="1">
        <f t="array" ref="Y4">IF(SUMPRODUCT((户型资产表!E:E=I4)*((户型资产表!I:I="沙发02两人")+(户型资产表!I:I="双人沙发01")+(户型资产表!I:I="租赁-沙发02两人")+(户型资产表!I:I="租赁-双人沙发01")))&gt;0,"有","无")</f>
        <v>无</v>
      </c>
      <c r="Z4" s="51" t="str">
        <f>IF(COUNTIFS(户型资产表!E:E,I4,户型资产表!H:H,"餐桌")&gt;0,"有","无")</f>
        <v>无</v>
      </c>
      <c r="AA4" s="51" t="str">
        <f>IF(COUNTIFS(户型资产表!E:E,I4,户型资产表!H:H,"吸油烟机")&gt;0,"有","无")</f>
        <v>无</v>
      </c>
      <c r="AB4" s="51" t="str">
        <f>IF(COUNTIFS(户型资产表!E:E,I4,户型资产表!H:H,"冰箱")&gt;0,"有","无")</f>
        <v>无</v>
      </c>
      <c r="AC4" s="51" t="str">
        <f>IF(COUNTIFS(户型资产表!E:E,I4,户型资产表!H:H,"电视柜")&gt;0,"有","无")</f>
        <v>无</v>
      </c>
      <c r="AD4" s="55" t="str">
        <f t="shared" si="5"/>
        <v>适中</v>
      </c>
      <c r="AE4" s="51">
        <f>VLOOKUP($AD$1&amp;AD4,【1】定价因子!E:F,2,0)</f>
        <v>1</v>
      </c>
      <c r="AF4" s="55" t="str">
        <f t="shared" si="6"/>
        <v>适中</v>
      </c>
      <c r="AG4" s="51">
        <f>VLOOKUP($AF$1&amp;AF4,【1】定价因子!E:F,2,0)</f>
        <v>1</v>
      </c>
      <c r="AH4" s="55" t="str">
        <f t="shared" si="7"/>
        <v>适中</v>
      </c>
      <c r="AI4" s="51">
        <f>VLOOKUP($AH$1&amp;AH4,【1】定价因子!E:F,2,0)</f>
        <v>1</v>
      </c>
      <c r="AJ4" s="51" t="str">
        <f>VLOOKUP(H4,'【3-1】大区填-采光基本要素'!A:H,8,0)</f>
        <v>1</v>
      </c>
      <c r="AK4" s="51">
        <f>VLOOKUP($AJ$1&amp;AJ4,【1】定价因子!E:F,2,0)</f>
        <v>0.91</v>
      </c>
      <c r="AL4" s="56">
        <f t="shared" si="8"/>
        <v>1539.170337068</v>
      </c>
      <c r="AM4" s="51">
        <v>1010</v>
      </c>
      <c r="AN4" s="57">
        <f t="shared" si="9"/>
        <v>-0.343802322799456</v>
      </c>
      <c r="AO4" s="55">
        <f>SUMIFS(户型资产表!M:M,户型资产表!I:I,"*租赁*",户型资产表!E:E,I4)</f>
        <v>224.54</v>
      </c>
      <c r="AP4" s="58">
        <f t="shared" si="10"/>
        <v>785.46</v>
      </c>
      <c r="AQ4" s="34">
        <v>1480</v>
      </c>
    </row>
    <row r="5" s="34" customFormat="1" ht="14.15" spans="1:43">
      <c r="A5" s="51" t="str">
        <f>'【2】运营中心填-基本信息&amp;审核标准'!$E$2</f>
        <v>东福围西街30栋</v>
      </c>
      <c r="B5" s="51">
        <f t="shared" si="0"/>
        <v>3</v>
      </c>
      <c r="C5" s="51">
        <f t="shared" si="1"/>
        <v>17</v>
      </c>
      <c r="D5" s="51">
        <f t="shared" si="2"/>
        <v>17</v>
      </c>
      <c r="E5" s="51"/>
      <c r="F5" s="51" t="str">
        <f t="shared" si="3"/>
        <v/>
      </c>
      <c r="G5" s="51"/>
      <c r="H5" s="52">
        <v>304</v>
      </c>
      <c r="I5" s="53" t="s">
        <v>502</v>
      </c>
      <c r="J5" s="53" t="s">
        <v>40</v>
      </c>
      <c r="K5" s="51" t="str" cm="1">
        <f t="array" ref="K5">IFERROR(INDEX($J$2:$J$75,MATCH(0,IF(ISBLANK($J$2:$J$75),1,COUNTIF($K$1:K4,$J$2:$J$75)),0)),"")</f>
        <v/>
      </c>
      <c r="L5" s="54">
        <f>VLOOKUP(J5,'【3】大区填-楼栋基准格局定价'!B:H,7,0)</f>
        <v>1579.858</v>
      </c>
      <c r="M5" s="55" t="str">
        <f t="shared" si="4"/>
        <v>很宽敞</v>
      </c>
      <c r="N5" s="55">
        <v>20.24</v>
      </c>
      <c r="O5" s="51">
        <f>VLOOKUP($M$1&amp;M5,【1】定价因子!E:F,2,0)</f>
        <v>1.1</v>
      </c>
      <c r="P5" s="51" t="str">
        <f>IF(COUNTIFS(户型资产表!E:E,I5,户型资产表!H:H,"阳台门")&gt;0,"有","无")</f>
        <v>无</v>
      </c>
      <c r="Q5" s="51">
        <f>VLOOKUP($P$1&amp;P5,【1】定价因子!E:F,2,0)</f>
        <v>1</v>
      </c>
      <c r="R5" s="51" t="str">
        <f>IF('【2】运营中心填-基本信息&amp;审核标准'!$D$4="是","无",IF(INT(H5/100)&gt;9,"9F",INT(H5/100)&amp;"F"))</f>
        <v>3F</v>
      </c>
      <c r="S5" s="51">
        <f>VLOOKUP(R5,【1】定价因子!D:F,3,0)</f>
        <v>1.01</v>
      </c>
      <c r="T5" s="51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无</v>
      </c>
      <c r="U5" s="51">
        <f>VLOOKUP($T$1&amp;T5,【1】定价因子!E:F,2,0)</f>
        <v>1</v>
      </c>
      <c r="V5" s="51" t="str">
        <f>IF(COUNTIFS(户型资产表!E:E,I5,户型资产表!H:H,"操作台")&gt;0,"有","无")</f>
        <v>有</v>
      </c>
      <c r="W5" s="51" t="str">
        <f>IF(COUNTIFS(户型资产表!E:E,I5,户型资产表!H:H,"书桌")&gt;0,"有","无")</f>
        <v>有</v>
      </c>
      <c r="X5" s="51" t="str" cm="1">
        <f t="array" ref="X5">IF(SUMPRODUCT((户型资产表!E:E=I5)*((户型资产表!I:I="沙发01单人")+(户型资产表!I:I="单人沙发02")+(户型资产表!I:I="租赁-单人沙发02")+(户型资产表!I:I="租赁-沙发01单人")))&gt;0,"有","无")</f>
        <v>无</v>
      </c>
      <c r="Y5" s="51" t="str" cm="1">
        <f t="array" ref="Y5">IF(SUMPRODUCT((户型资产表!E:E=I5)*((户型资产表!I:I="沙发02两人")+(户型资产表!I:I="双人沙发01")+(户型资产表!I:I="租赁-沙发02两人")+(户型资产表!I:I="租赁-双人沙发01")))&gt;0,"有","无")</f>
        <v>无</v>
      </c>
      <c r="Z5" s="51" t="str">
        <f>IF(COUNTIFS(户型资产表!E:E,I5,户型资产表!H:H,"餐桌")&gt;0,"有","无")</f>
        <v>无</v>
      </c>
      <c r="AA5" s="51" t="str">
        <f>IF(COUNTIFS(户型资产表!E:E,I5,户型资产表!H:H,"吸油烟机")&gt;0,"有","无")</f>
        <v>无</v>
      </c>
      <c r="AB5" s="51" t="str">
        <f>IF(COUNTIFS(户型资产表!E:E,I5,户型资产表!H:H,"冰箱")&gt;0,"有","无")</f>
        <v>无</v>
      </c>
      <c r="AC5" s="51" t="str">
        <f>IF(COUNTIFS(户型资产表!E:E,I5,户型资产表!H:H,"电视柜")&gt;0,"有","无")</f>
        <v>无</v>
      </c>
      <c r="AD5" s="55" t="str">
        <f t="shared" si="5"/>
        <v>适中</v>
      </c>
      <c r="AE5" s="51">
        <f>VLOOKUP($AD$1&amp;AD5,【1】定价因子!E:F,2,0)</f>
        <v>1</v>
      </c>
      <c r="AF5" s="55" t="str">
        <f t="shared" si="6"/>
        <v>适中</v>
      </c>
      <c r="AG5" s="51">
        <f>VLOOKUP($AF$1&amp;AF5,【1】定价因子!E:F,2,0)</f>
        <v>1</v>
      </c>
      <c r="AH5" s="55" t="str">
        <f t="shared" si="7"/>
        <v>适中</v>
      </c>
      <c r="AI5" s="51">
        <f>VLOOKUP($AH$1&amp;AH5,【1】定价因子!E:F,2,0)</f>
        <v>1</v>
      </c>
      <c r="AJ5" s="51" t="str">
        <f>VLOOKUP(H5,'【3-1】大区填-采光基本要素'!A:H,8,0)</f>
        <v>1</v>
      </c>
      <c r="AK5" s="51">
        <f>VLOOKUP($AJ$1&amp;AJ5,【1】定价因子!E:F,2,0)</f>
        <v>0.91</v>
      </c>
      <c r="AL5" s="56">
        <f t="shared" si="8"/>
        <v>1597.25223658</v>
      </c>
      <c r="AM5" s="51">
        <v>1010</v>
      </c>
      <c r="AN5" s="57">
        <f t="shared" si="9"/>
        <v>-0.367664056515839</v>
      </c>
      <c r="AO5" s="55">
        <f>SUMIFS(户型资产表!M:M,户型资产表!I:I,"*租赁*",户型资产表!E:E,I5)</f>
        <v>224.54</v>
      </c>
      <c r="AP5" s="58">
        <f t="shared" si="10"/>
        <v>785.46</v>
      </c>
      <c r="AQ5" s="34">
        <v>1530</v>
      </c>
    </row>
    <row r="6" ht="14.15" spans="1:43">
      <c r="A6" s="59" t="str">
        <f>'【2】运营中心填-基本信息&amp;审核标准'!$E$2</f>
        <v>东福围西街30栋</v>
      </c>
      <c r="B6" s="13">
        <f t="shared" si="0"/>
        <v>3</v>
      </c>
      <c r="C6" s="13">
        <f t="shared" si="1"/>
        <v>17</v>
      </c>
      <c r="D6" s="13">
        <f t="shared" si="2"/>
        <v>17</v>
      </c>
      <c r="E6" s="13"/>
      <c r="F6" s="13" t="str">
        <f t="shared" si="3"/>
        <v/>
      </c>
      <c r="G6" s="13"/>
      <c r="H6" s="60">
        <v>305</v>
      </c>
      <c r="I6" s="61" t="s">
        <v>503</v>
      </c>
      <c r="J6" s="61" t="s">
        <v>40</v>
      </c>
      <c r="K6" s="13" t="str" cm="1">
        <f t="array" ref="K6">IFERROR(INDEX($J$2:$J$75,MATCH(0,IF(ISBLANK($J$2:$J$75),1,COUNTIF($K$1:K5,$J$2:$J$75)),0)),"")</f>
        <v/>
      </c>
      <c r="L6" s="62">
        <f>VLOOKUP(J6,'【3】大区填-楼栋基准格局定价'!B:H,7,0)</f>
        <v>1579.858</v>
      </c>
      <c r="M6" s="63" t="str">
        <f t="shared" si="4"/>
        <v>适中</v>
      </c>
      <c r="N6" s="63">
        <v>14.56</v>
      </c>
      <c r="O6" s="64">
        <f>VLOOKUP($M$1&amp;M6,【1】定价因子!E:F,2,0)</f>
        <v>1</v>
      </c>
      <c r="P6" s="64" t="str">
        <f>IF(COUNTIFS(户型资产表!E:E,I6,户型资产表!H:H,"阳台门")&gt;0,"有","无")</f>
        <v>无</v>
      </c>
      <c r="Q6" s="64">
        <f>VLOOKUP($P$1&amp;P6,【1】定价因子!E:F,2,0)</f>
        <v>1</v>
      </c>
      <c r="R6" s="64" t="str">
        <f>IF('【2】运营中心填-基本信息&amp;审核标准'!$D$4="是","无",IF(INT(H6/100)&gt;9,"9F",INT(H6/100)&amp;"F"))</f>
        <v>3F</v>
      </c>
      <c r="S6" s="64">
        <f>VLOOKUP(R6,【1】定价因子!D:F,3,0)</f>
        <v>1.01</v>
      </c>
      <c r="T6" s="64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无</v>
      </c>
      <c r="U6" s="64">
        <f>VLOOKUP($T$1&amp;T6,【1】定价因子!E:F,2,0)</f>
        <v>1</v>
      </c>
      <c r="V6" s="64" t="str">
        <f>IF(COUNTIFS(户型资产表!E:E,I6,户型资产表!H:H,"操作台")&gt;0,"有","无")</f>
        <v>有</v>
      </c>
      <c r="W6" s="64" t="str">
        <f>IF(COUNTIFS(户型资产表!E:E,I6,户型资产表!H:H,"书桌")&gt;0,"有","无")</f>
        <v>有</v>
      </c>
      <c r="X6" s="64" t="str" cm="1">
        <f t="array" ref="X6">IF(SUMPRODUCT((户型资产表!E:E=I6)*((户型资产表!I:I="沙发01单人")+(户型资产表!I:I="单人沙发02")+(户型资产表!I:I="租赁-单人沙发02")+(户型资产表!I:I="租赁-沙发01单人")))&gt;0,"有","无")</f>
        <v>无</v>
      </c>
      <c r="Y6" s="64" t="str" cm="1">
        <f t="array" ref="Y6">IF(SUMPRODUCT((户型资产表!E:E=I6)*((户型资产表!I:I="沙发02两人")+(户型资产表!I:I="双人沙发01")+(户型资产表!I:I="租赁-沙发02两人")+(户型资产表!I:I="租赁-双人沙发01")))&gt;0,"有","无")</f>
        <v>无</v>
      </c>
      <c r="Z6" s="64" t="str">
        <f>IF(COUNTIFS(户型资产表!E:E,I6,户型资产表!H:H,"餐桌")&gt;0,"有","无")</f>
        <v>无</v>
      </c>
      <c r="AA6" s="64" t="str">
        <f>IF(COUNTIFS(户型资产表!E:E,I6,户型资产表!H:H,"吸油烟机")&gt;0,"有","无")</f>
        <v>无</v>
      </c>
      <c r="AB6" s="64" t="str">
        <f>IF(COUNTIFS(户型资产表!E:E,I6,户型资产表!H:H,"冰箱")&gt;0,"有","无")</f>
        <v>无</v>
      </c>
      <c r="AC6" s="64" t="str">
        <f>IF(COUNTIFS(户型资产表!E:E,I6,户型资产表!H:H,"电视柜")&gt;0,"有","无")</f>
        <v>无</v>
      </c>
      <c r="AD6" s="63" t="str">
        <f t="shared" si="5"/>
        <v>适中</v>
      </c>
      <c r="AE6" s="64">
        <f>VLOOKUP($AD$1&amp;AD6,【1】定价因子!E:F,2,0)</f>
        <v>1</v>
      </c>
      <c r="AF6" s="63" t="str">
        <f t="shared" si="6"/>
        <v>适中</v>
      </c>
      <c r="AG6" s="64">
        <f>VLOOKUP($AF$1&amp;AF6,【1】定价因子!E:F,2,0)</f>
        <v>1</v>
      </c>
      <c r="AH6" s="63" t="str">
        <f t="shared" si="7"/>
        <v>适中</v>
      </c>
      <c r="AI6" s="64">
        <f>VLOOKUP($AH$1&amp;AH6,【1】定价因子!E:F,2,0)</f>
        <v>1</v>
      </c>
      <c r="AJ6" s="64" t="str">
        <f>VLOOKUP(H6,'【3-1】大区填-采光基本要素'!A:H,8,0)</f>
        <v>1</v>
      </c>
      <c r="AK6" s="64">
        <f>VLOOKUP($AJ$1&amp;AJ6,【1】定价因子!E:F,2,0)</f>
        <v>0.91</v>
      </c>
      <c r="AL6" s="65">
        <f t="shared" si="8"/>
        <v>1452.0474878</v>
      </c>
      <c r="AM6" s="13">
        <v>1400</v>
      </c>
      <c r="AN6" s="66">
        <f t="shared" si="9"/>
        <v>-0.0358442049845472</v>
      </c>
      <c r="AO6" s="67">
        <f>SUMIFS(户型资产表!M:M,户型资产表!I:I,"*租赁*",户型资产表!E:E,I6)</f>
        <v>224.54</v>
      </c>
      <c r="AP6" s="68">
        <f t="shared" si="10"/>
        <v>1175.46</v>
      </c>
    </row>
    <row r="7" ht="14.15" spans="1:43">
      <c r="A7" s="59" t="str">
        <f>'【2】运营中心填-基本信息&amp;审核标准'!$E$2</f>
        <v>东福围西街30栋</v>
      </c>
      <c r="B7" s="13">
        <f t="shared" si="0"/>
        <v>3</v>
      </c>
      <c r="C7" s="13">
        <f t="shared" si="1"/>
        <v>17</v>
      </c>
      <c r="D7" s="13">
        <f t="shared" si="2"/>
        <v>17</v>
      </c>
      <c r="E7" s="13"/>
      <c r="F7" s="13" t="str">
        <f t="shared" si="3"/>
        <v/>
      </c>
      <c r="G7" s="13"/>
      <c r="H7" s="60">
        <v>306</v>
      </c>
      <c r="I7" s="61" t="s">
        <v>504</v>
      </c>
      <c r="J7" s="61" t="s">
        <v>40</v>
      </c>
      <c r="K7" s="13" t="str" cm="1">
        <f t="array" ref="K7">IFERROR(INDEX($J$2:$J$75,MATCH(0,IF(ISBLANK($J$2:$J$75),1,COUNTIF($K$1:K6,$J$2:$J$75)),0)),"")</f>
        <v/>
      </c>
      <c r="L7" s="62">
        <f>VLOOKUP(J7,'【3】大区填-楼栋基准格局定价'!B:H,7,0)</f>
        <v>1579.858</v>
      </c>
      <c r="M7" s="63" t="str">
        <f t="shared" si="4"/>
        <v>很宽敞</v>
      </c>
      <c r="N7" s="63">
        <v>25.94</v>
      </c>
      <c r="O7" s="64">
        <f>VLOOKUP($M$1&amp;M7,【1】定价因子!E:F,2,0)</f>
        <v>1.1</v>
      </c>
      <c r="P7" s="64" t="str">
        <f>IF(COUNTIFS(户型资产表!E:E,I7,户型资产表!H:H,"阳台门")&gt;0,"有","无")</f>
        <v>无</v>
      </c>
      <c r="Q7" s="64">
        <f>VLOOKUP($P$1&amp;P7,【1】定价因子!E:F,2,0)</f>
        <v>1</v>
      </c>
      <c r="R7" s="64" t="str">
        <f>IF('【2】运营中心填-基本信息&amp;审核标准'!$D$4="是","无",IF(INT(H7/100)&gt;9,"9F",INT(H7/100)&amp;"F"))</f>
        <v>3F</v>
      </c>
      <c r="S7" s="64">
        <f>VLOOKUP(R7,【1】定价因子!D:F,3,0)</f>
        <v>1.01</v>
      </c>
      <c r="T7" s="64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无</v>
      </c>
      <c r="U7" s="64">
        <f>VLOOKUP($T$1&amp;T7,【1】定价因子!E:F,2,0)</f>
        <v>1</v>
      </c>
      <c r="V7" s="64" t="str">
        <f>IF(COUNTIFS(户型资产表!E:E,I7,户型资产表!H:H,"操作台")&gt;0,"有","无")</f>
        <v>有</v>
      </c>
      <c r="W7" s="64" t="str">
        <f>IF(COUNTIFS(户型资产表!E:E,I7,户型资产表!H:H,"书桌")&gt;0,"有","无")</f>
        <v>有</v>
      </c>
      <c r="X7" s="64" t="str" cm="1">
        <f t="array" ref="X7">IF(SUMPRODUCT((户型资产表!E:E=I7)*((户型资产表!I:I="沙发01单人")+(户型资产表!I:I="单人沙发02")+(户型资产表!I:I="租赁-单人沙发02")+(户型资产表!I:I="租赁-沙发01单人")))&gt;0,"有","无")</f>
        <v>无</v>
      </c>
      <c r="Y7" s="64" t="str" cm="1">
        <f t="array" ref="Y7">IF(SUMPRODUCT((户型资产表!E:E=I7)*((户型资产表!I:I="沙发02两人")+(户型资产表!I:I="双人沙发01")+(户型资产表!I:I="租赁-沙发02两人")+(户型资产表!I:I="租赁-双人沙发01")))&gt;0,"有","无")</f>
        <v>无</v>
      </c>
      <c r="Z7" s="64" t="str">
        <f>IF(COUNTIFS(户型资产表!E:E,I7,户型资产表!H:H,"餐桌")&gt;0,"有","无")</f>
        <v>无</v>
      </c>
      <c r="AA7" s="64" t="str">
        <f>IF(COUNTIFS(户型资产表!E:E,I7,户型资产表!H:H,"吸油烟机")&gt;0,"有","无")</f>
        <v>无</v>
      </c>
      <c r="AB7" s="64" t="str">
        <f>IF(COUNTIFS(户型资产表!E:E,I7,户型资产表!H:H,"冰箱")&gt;0,"有","无")</f>
        <v>无</v>
      </c>
      <c r="AC7" s="64" t="str">
        <f>IF(COUNTIFS(户型资产表!E:E,I7,户型资产表!H:H,"电视柜")&gt;0,"有","无")</f>
        <v>无</v>
      </c>
      <c r="AD7" s="63" t="str">
        <f t="shared" si="5"/>
        <v>适中</v>
      </c>
      <c r="AE7" s="64">
        <f>VLOOKUP($AD$1&amp;AD7,【1】定价因子!E:F,2,0)</f>
        <v>1</v>
      </c>
      <c r="AF7" s="63" t="str">
        <f t="shared" si="6"/>
        <v>适中</v>
      </c>
      <c r="AG7" s="64">
        <f>VLOOKUP($AF$1&amp;AF7,【1】定价因子!E:F,2,0)</f>
        <v>1</v>
      </c>
      <c r="AH7" s="63" t="str">
        <f t="shared" si="7"/>
        <v>适中</v>
      </c>
      <c r="AI7" s="64">
        <f>VLOOKUP($AH$1&amp;AH7,【1】定价因子!E:F,2,0)</f>
        <v>1</v>
      </c>
      <c r="AJ7" s="64" t="str">
        <f>VLOOKUP(H7,'【3-1】大区填-采光基本要素'!A:H,8,0)</f>
        <v>1</v>
      </c>
      <c r="AK7" s="64">
        <f>VLOOKUP($AJ$1&amp;AJ7,【1】定价因子!E:F,2,0)</f>
        <v>0.91</v>
      </c>
      <c r="AL7" s="65">
        <f t="shared" si="8"/>
        <v>1597.25223658</v>
      </c>
      <c r="AM7" s="13">
        <v>1530</v>
      </c>
      <c r="AN7" s="66">
        <f t="shared" si="9"/>
        <v>-0.042104956900232</v>
      </c>
      <c r="AO7" s="67">
        <f>SUMIFS(户型资产表!M:M,户型资产表!I:I,"*租赁*",户型资产表!E:E,I7)</f>
        <v>224.54</v>
      </c>
      <c r="AP7" s="68">
        <f t="shared" si="10"/>
        <v>1305.46</v>
      </c>
    </row>
    <row r="8" s="34" customFormat="1" ht="14.15" spans="1:43">
      <c r="A8" s="51" t="str">
        <f>'【2】运营中心填-基本信息&amp;审核标准'!$E$2</f>
        <v>东福围西街30栋</v>
      </c>
      <c r="B8" s="51">
        <f t="shared" si="0"/>
        <v>3</v>
      </c>
      <c r="C8" s="51">
        <f t="shared" si="1"/>
        <v>17</v>
      </c>
      <c r="D8" s="51">
        <f t="shared" si="2"/>
        <v>17</v>
      </c>
      <c r="E8" s="51"/>
      <c r="F8" s="51" t="str">
        <f t="shared" si="3"/>
        <v/>
      </c>
      <c r="G8" s="51"/>
      <c r="H8" s="52">
        <v>307</v>
      </c>
      <c r="I8" s="53" t="s">
        <v>505</v>
      </c>
      <c r="J8" s="53" t="s">
        <v>40</v>
      </c>
      <c r="K8" s="51" t="str" cm="1">
        <f t="array" ref="K8">IFERROR(INDEX($J$2:$J$75,MATCH(0,IF(ISBLANK($J$2:$J$75),1,COUNTIF($K$1:K7,$J$2:$J$75)),0)),"")</f>
        <v/>
      </c>
      <c r="L8" s="54">
        <f>VLOOKUP(J8,'【3】大区填-楼栋基准格局定价'!B:H,7,0)</f>
        <v>1579.858</v>
      </c>
      <c r="M8" s="55" t="str">
        <f t="shared" si="4"/>
        <v>很宽敞</v>
      </c>
      <c r="N8" s="55">
        <v>24.34</v>
      </c>
      <c r="O8" s="51">
        <f>VLOOKUP($M$1&amp;M8,【1】定价因子!E:F,2,0)</f>
        <v>1.1</v>
      </c>
      <c r="P8" s="51" t="str">
        <f>IF(COUNTIFS(户型资产表!E:E,I8,户型资产表!H:H,"阳台门")&gt;0,"有","无")</f>
        <v>无</v>
      </c>
      <c r="Q8" s="51">
        <f>VLOOKUP($P$1&amp;P8,【1】定价因子!E:F,2,0)</f>
        <v>1</v>
      </c>
      <c r="R8" s="51" t="str">
        <f>IF('【2】运营中心填-基本信息&amp;审核标准'!$D$4="是","无",IF(INT(H8/100)&gt;9,"9F",INT(H8/100)&amp;"F"))</f>
        <v>3F</v>
      </c>
      <c r="S8" s="51">
        <f>VLOOKUP(R8,【1】定价因子!D:F,3,0)</f>
        <v>1.01</v>
      </c>
      <c r="T8" s="51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无</v>
      </c>
      <c r="U8" s="51">
        <f>VLOOKUP($T$1&amp;T8,【1】定价因子!E:F,2,0)</f>
        <v>1</v>
      </c>
      <c r="V8" s="51" t="str">
        <f>IF(COUNTIFS(户型资产表!E:E,I8,户型资产表!H:H,"操作台")&gt;0,"有","无")</f>
        <v>有</v>
      </c>
      <c r="W8" s="51" t="str">
        <f>IF(COUNTIFS(户型资产表!E:E,I8,户型资产表!H:H,"书桌")&gt;0,"有","无")</f>
        <v>有</v>
      </c>
      <c r="X8" s="51" t="str" cm="1">
        <f t="array" ref="X8">IF(SUMPRODUCT((户型资产表!E:E=I8)*((户型资产表!I:I="沙发01单人")+(户型资产表!I:I="单人沙发02")+(户型资产表!I:I="租赁-单人沙发02")+(户型资产表!I:I="租赁-沙发01单人")))&gt;0,"有","无")</f>
        <v>无</v>
      </c>
      <c r="Y8" s="51" t="str" cm="1">
        <f t="array" ref="Y8">IF(SUMPRODUCT((户型资产表!E:E=I8)*((户型资产表!I:I="沙发02两人")+(户型资产表!I:I="双人沙发01")+(户型资产表!I:I="租赁-沙发02两人")+(户型资产表!I:I="租赁-双人沙发01")))&gt;0,"有","无")</f>
        <v>无</v>
      </c>
      <c r="Z8" s="51" t="str">
        <f>IF(COUNTIFS(户型资产表!E:E,I8,户型资产表!H:H,"餐桌")&gt;0,"有","无")</f>
        <v>无</v>
      </c>
      <c r="AA8" s="51" t="str">
        <f>IF(COUNTIFS(户型资产表!E:E,I8,户型资产表!H:H,"吸油烟机")&gt;0,"有","无")</f>
        <v>无</v>
      </c>
      <c r="AB8" s="51" t="str">
        <f>IF(COUNTIFS(户型资产表!E:E,I8,户型资产表!H:H,"冰箱")&gt;0,"有","无")</f>
        <v>无</v>
      </c>
      <c r="AC8" s="51" t="str">
        <f>IF(COUNTIFS(户型资产表!E:E,I8,户型资产表!H:H,"电视柜")&gt;0,"有","无")</f>
        <v>无</v>
      </c>
      <c r="AD8" s="55" t="str">
        <f t="shared" si="5"/>
        <v>适中</v>
      </c>
      <c r="AE8" s="51">
        <f>VLOOKUP($AD$1&amp;AD8,【1】定价因子!E:F,2,0)</f>
        <v>1</v>
      </c>
      <c r="AF8" s="55" t="str">
        <f t="shared" si="6"/>
        <v>适中</v>
      </c>
      <c r="AG8" s="51">
        <f>VLOOKUP($AF$1&amp;AF8,【1】定价因子!E:F,2,0)</f>
        <v>1</v>
      </c>
      <c r="AH8" s="55" t="str">
        <f t="shared" si="7"/>
        <v>适中</v>
      </c>
      <c r="AI8" s="51">
        <f>VLOOKUP($AH$1&amp;AH8,【1】定价因子!E:F,2,0)</f>
        <v>1</v>
      </c>
      <c r="AJ8" s="51" t="str">
        <f>VLOOKUP(H8,'【3-1】大区填-采光基本要素'!A:H,8,0)</f>
        <v>1</v>
      </c>
      <c r="AK8" s="51">
        <f>VLOOKUP($AJ$1&amp;AJ8,【1】定价因子!E:F,2,0)</f>
        <v>0.91</v>
      </c>
      <c r="AL8" s="56">
        <f t="shared" si="8"/>
        <v>1597.25223658</v>
      </c>
      <c r="AM8" s="51">
        <v>1250</v>
      </c>
      <c r="AN8" s="57">
        <f t="shared" si="9"/>
        <v>-0.217406010539405</v>
      </c>
      <c r="AO8" s="55">
        <f>SUMIFS(户型资产表!M:M,户型资产表!I:I,"*租赁*",户型资产表!E:E,I8)</f>
        <v>223.45</v>
      </c>
      <c r="AP8" s="58">
        <f t="shared" si="10"/>
        <v>1026.55</v>
      </c>
      <c r="AQ8" s="34">
        <v>1530</v>
      </c>
    </row>
    <row r="9" ht="14.15" spans="1:43">
      <c r="A9" s="59" t="str">
        <f>'【2】运营中心填-基本信息&amp;审核标准'!$E$2</f>
        <v>东福围西街30栋</v>
      </c>
      <c r="B9" s="13">
        <f t="shared" si="0"/>
        <v>3</v>
      </c>
      <c r="C9" s="13">
        <f t="shared" si="1"/>
        <v>17</v>
      </c>
      <c r="D9" s="13">
        <f t="shared" si="2"/>
        <v>17</v>
      </c>
      <c r="E9" s="13"/>
      <c r="F9" s="13" t="str">
        <f t="shared" si="3"/>
        <v/>
      </c>
      <c r="G9" s="13"/>
      <c r="H9" s="60">
        <v>308</v>
      </c>
      <c r="I9" s="61" t="s">
        <v>506</v>
      </c>
      <c r="J9" s="61" t="s">
        <v>40</v>
      </c>
      <c r="K9" s="13" t="str" cm="1">
        <f t="array" ref="K9">IFERROR(INDEX($J$2:$J$75,MATCH(0,IF(ISBLANK($J$2:$J$75),1,COUNTIF($K$1:K8,$J$2:$J$75)),0)),"")</f>
        <v/>
      </c>
      <c r="L9" s="62">
        <f>VLOOKUP(J9,'【3】大区填-楼栋基准格局定价'!B:H,7,0)</f>
        <v>1579.858</v>
      </c>
      <c r="M9" s="63" t="str">
        <f t="shared" si="4"/>
        <v>适中</v>
      </c>
      <c r="N9" s="63">
        <v>13.18</v>
      </c>
      <c r="O9" s="64">
        <f>VLOOKUP($M$1&amp;M9,【1】定价因子!E:F,2,0)</f>
        <v>1</v>
      </c>
      <c r="P9" s="64" t="str">
        <f>IF(COUNTIFS(户型资产表!E:E,I9,户型资产表!H:H,"阳台门")&gt;0,"有","无")</f>
        <v>无</v>
      </c>
      <c r="Q9" s="64">
        <f>VLOOKUP($P$1&amp;P9,【1】定价因子!E:F,2,0)</f>
        <v>1</v>
      </c>
      <c r="R9" s="64" t="str">
        <f>IF('【2】运营中心填-基本信息&amp;审核标准'!$D$4="是","无",IF(INT(H9/100)&gt;9,"9F",INT(H9/100)&amp;"F"))</f>
        <v>3F</v>
      </c>
      <c r="S9" s="64">
        <f>VLOOKUP(R9,【1】定价因子!D:F,3,0)</f>
        <v>1.01</v>
      </c>
      <c r="T9" s="64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无</v>
      </c>
      <c r="U9" s="64">
        <f>VLOOKUP($T$1&amp;T9,【1】定价因子!E:F,2,0)</f>
        <v>1</v>
      </c>
      <c r="V9" s="64" t="str">
        <f>IF(COUNTIFS(户型资产表!E:E,I9,户型资产表!H:H,"操作台")&gt;0,"有","无")</f>
        <v>有</v>
      </c>
      <c r="W9" s="64" t="str">
        <f>IF(COUNTIFS(户型资产表!E:E,I9,户型资产表!H:H,"书桌")&gt;0,"有","无")</f>
        <v>有</v>
      </c>
      <c r="X9" s="64" t="str" cm="1">
        <f t="array" ref="X9">IF(SUMPRODUCT((户型资产表!E:E=I9)*((户型资产表!I:I="沙发01单人")+(户型资产表!I:I="单人沙发02")+(户型资产表!I:I="租赁-单人沙发02")+(户型资产表!I:I="租赁-沙发01单人")))&gt;0,"有","无")</f>
        <v>无</v>
      </c>
      <c r="Y9" s="64" t="str" cm="1">
        <f t="array" ref="Y9">IF(SUMPRODUCT((户型资产表!E:E=I9)*((户型资产表!I:I="沙发02两人")+(户型资产表!I:I="双人沙发01")+(户型资产表!I:I="租赁-沙发02两人")+(户型资产表!I:I="租赁-双人沙发01")))&gt;0,"有","无")</f>
        <v>无</v>
      </c>
      <c r="Z9" s="64" t="str">
        <f>IF(COUNTIFS(户型资产表!E:E,I9,户型资产表!H:H,"餐桌")&gt;0,"有","无")</f>
        <v>无</v>
      </c>
      <c r="AA9" s="64" t="str">
        <f>IF(COUNTIFS(户型资产表!E:E,I9,户型资产表!H:H,"吸油烟机")&gt;0,"有","无")</f>
        <v>无</v>
      </c>
      <c r="AB9" s="64" t="str">
        <f>IF(COUNTIFS(户型资产表!E:E,I9,户型资产表!H:H,"冰箱")&gt;0,"有","无")</f>
        <v>无</v>
      </c>
      <c r="AC9" s="64" t="str">
        <f>IF(COUNTIFS(户型资产表!E:E,I9,户型资产表!H:H,"电视柜")&gt;0,"有","无")</f>
        <v>无</v>
      </c>
      <c r="AD9" s="63" t="str">
        <f t="shared" si="5"/>
        <v>适中</v>
      </c>
      <c r="AE9" s="64">
        <f>VLOOKUP($AD$1&amp;AD9,【1】定价因子!E:F,2,0)</f>
        <v>1</v>
      </c>
      <c r="AF9" s="63" t="str">
        <f t="shared" si="6"/>
        <v>适中</v>
      </c>
      <c r="AG9" s="64">
        <f>VLOOKUP($AF$1&amp;AF9,【1】定价因子!E:F,2,0)</f>
        <v>1</v>
      </c>
      <c r="AH9" s="63" t="str">
        <f t="shared" si="7"/>
        <v>适中</v>
      </c>
      <c r="AI9" s="64">
        <f>VLOOKUP($AH$1&amp;AH9,【1】定价因子!E:F,2,0)</f>
        <v>1</v>
      </c>
      <c r="AJ9" s="64" t="str">
        <f>VLOOKUP(H9,'【3-1】大区填-采光基本要素'!A:H,8,0)</f>
        <v>2</v>
      </c>
      <c r="AK9" s="64">
        <f>VLOOKUP($AJ$1&amp;AJ9,【1】定价因子!E:F,2,0)</f>
        <v>0.96</v>
      </c>
      <c r="AL9" s="65">
        <f t="shared" si="8"/>
        <v>1531.8303168</v>
      </c>
      <c r="AM9" s="13">
        <v>1470</v>
      </c>
      <c r="AN9" s="66">
        <f t="shared" si="9"/>
        <v>-0.0403636852736822</v>
      </c>
      <c r="AO9" s="67">
        <f>SUMIFS(户型资产表!M:M,户型资产表!I:I,"*租赁*",户型资产表!E:E,I9)</f>
        <v>224.54</v>
      </c>
      <c r="AP9" s="68">
        <f t="shared" si="10"/>
        <v>1245.46</v>
      </c>
    </row>
    <row r="10" s="34" customFormat="1" ht="14.15" spans="1:43">
      <c r="A10" s="51" t="str">
        <f>'【2】运营中心填-基本信息&amp;审核标准'!$E$2</f>
        <v>东福围西街30栋</v>
      </c>
      <c r="B10" s="51">
        <f t="shared" si="0"/>
        <v>3</v>
      </c>
      <c r="C10" s="51">
        <f t="shared" si="1"/>
        <v>17</v>
      </c>
      <c r="D10" s="51">
        <f t="shared" si="2"/>
        <v>17</v>
      </c>
      <c r="E10" s="51"/>
      <c r="F10" s="51" t="str">
        <f t="shared" si="3"/>
        <v/>
      </c>
      <c r="G10" s="51"/>
      <c r="H10" s="52">
        <v>309</v>
      </c>
      <c r="I10" s="53" t="s">
        <v>507</v>
      </c>
      <c r="J10" s="53" t="s">
        <v>43</v>
      </c>
      <c r="K10" s="51" t="str" cm="1">
        <f t="array" ref="K10">IFERROR(INDEX($J$2:$J$75,MATCH(0,IF(ISBLANK($J$2:$J$75),1,COUNTIF($K$1:K9,$J$2:$J$75)),0)),"")</f>
        <v/>
      </c>
      <c r="L10" s="54">
        <f>VLOOKUP(J10,'【3】大区填-楼栋基准格局定价'!B:H,7,0)</f>
        <v>2354.45</v>
      </c>
      <c r="M10" s="55" t="str">
        <f t="shared" si="4"/>
        <v>适中</v>
      </c>
      <c r="N10" s="55">
        <v>24.59</v>
      </c>
      <c r="O10" s="51">
        <f>VLOOKUP($M$1&amp;M10,【1】定价因子!E:F,2,0)</f>
        <v>1</v>
      </c>
      <c r="P10" s="51" t="str">
        <f>IF(COUNTIFS(户型资产表!E:E,I10,户型资产表!H:H,"阳台门")&gt;0,"有","无")</f>
        <v>无</v>
      </c>
      <c r="Q10" s="51">
        <f>VLOOKUP($P$1&amp;P10,【1】定价因子!E:F,2,0)</f>
        <v>1</v>
      </c>
      <c r="R10" s="51" t="str">
        <f>IF('【2】运营中心填-基本信息&amp;审核标准'!$D$4="是","无",IF(INT(H10/100)&gt;9,"9F",INT(H10/100)&amp;"F"))</f>
        <v>3F</v>
      </c>
      <c r="S10" s="51">
        <f>VLOOKUP(R10,【1】定价因子!D:F,3,0)</f>
        <v>1.01</v>
      </c>
      <c r="T10" s="51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无</v>
      </c>
      <c r="U10" s="51">
        <f>VLOOKUP($T$1&amp;T10,【1】定价因子!E:F,2,0)</f>
        <v>1</v>
      </c>
      <c r="V10" s="51" t="str">
        <f>IF(COUNTIFS(户型资产表!E:E,I10,户型资产表!H:H,"操作台")&gt;0,"有","无")</f>
        <v>有</v>
      </c>
      <c r="W10" s="51" t="str">
        <f>IF(COUNTIFS(户型资产表!E:E,I10,户型资产表!H:H,"书桌")&gt;0,"有","无")</f>
        <v>无</v>
      </c>
      <c r="X10" s="51" t="str" cm="1">
        <f t="array" ref="X10">IF(SUMPRODUCT((户型资产表!E:E=I10)*((户型资产表!I:I="沙发01单人")+(户型资产表!I:I="单人沙发02")+(户型资产表!I:I="租赁-单人沙发02")+(户型资产表!I:I="租赁-沙发01单人")))&gt;0,"有","无")</f>
        <v>无</v>
      </c>
      <c r="Y10" s="51" t="str" cm="1">
        <f t="array" ref="Y10">IF(SUMPRODUCT((户型资产表!E:E=I10)*((户型资产表!I:I="沙发02两人")+(户型资产表!I:I="双人沙发01")+(户型资产表!I:I="租赁-沙发02两人")+(户型资产表!I:I="租赁-双人沙发01")))&gt;0,"有","无")</f>
        <v>有</v>
      </c>
      <c r="Z10" s="51" t="str">
        <f>IF(COUNTIFS(户型资产表!E:E,I10,户型资产表!H:H,"餐桌")&gt;0,"有","无")</f>
        <v>有</v>
      </c>
      <c r="AA10" s="51" t="str">
        <f>IF(COUNTIFS(户型资产表!E:E,I10,户型资产表!H:H,"吸油烟机")&gt;0,"有","无")</f>
        <v>无</v>
      </c>
      <c r="AB10" s="51" t="str">
        <f>IF(COUNTIFS(户型资产表!E:E,I10,户型资产表!H:H,"冰箱")&gt;0,"有","无")</f>
        <v>无</v>
      </c>
      <c r="AC10" s="51" t="str">
        <f>IF(COUNTIFS(户型资产表!E:E,I10,户型资产表!H:H,"电视柜")&gt;0,"有","无")</f>
        <v>无</v>
      </c>
      <c r="AD10" s="55" t="str">
        <f t="shared" si="5"/>
        <v>适中</v>
      </c>
      <c r="AE10" s="51">
        <f>VLOOKUP($AD$1&amp;AD10,【1】定价因子!E:F,2,0)</f>
        <v>1</v>
      </c>
      <c r="AF10" s="55" t="str">
        <f t="shared" si="6"/>
        <v>适中</v>
      </c>
      <c r="AG10" s="51">
        <f>VLOOKUP($AF$1&amp;AF10,【1】定价因子!E:F,2,0)</f>
        <v>1</v>
      </c>
      <c r="AH10" s="55" t="str">
        <f t="shared" si="7"/>
        <v>适中</v>
      </c>
      <c r="AI10" s="51">
        <f>VLOOKUP($AH$1&amp;AH10,【1】定价因子!E:F,2,0)</f>
        <v>1</v>
      </c>
      <c r="AJ10" s="51" t="str">
        <f>VLOOKUP(H10,'【3-1】大区填-采光基本要素'!A:H,8,0)</f>
        <v>2</v>
      </c>
      <c r="AK10" s="51">
        <f>VLOOKUP($AJ$1&amp;AJ10,【1】定价因子!E:F,2,0)</f>
        <v>0.96</v>
      </c>
      <c r="AL10" s="56">
        <f t="shared" si="8"/>
        <v>2282.87472</v>
      </c>
      <c r="AM10" s="51">
        <v>1800</v>
      </c>
      <c r="AN10" s="57">
        <f t="shared" si="9"/>
        <v>-0.211520463987616</v>
      </c>
      <c r="AO10" s="55">
        <f>SUMIFS(户型资产表!M:M,户型资产表!I:I,"*租赁*",户型资产表!E:E,I10)</f>
        <v>284.09</v>
      </c>
      <c r="AP10" s="58">
        <f t="shared" si="10"/>
        <v>1515.91</v>
      </c>
      <c r="AQ10" s="34">
        <v>2150</v>
      </c>
    </row>
    <row r="11" ht="14.15" spans="1:43">
      <c r="A11" s="59" t="str">
        <f>'【2】运营中心填-基本信息&amp;审核标准'!$E$2</f>
        <v>东福围西街30栋</v>
      </c>
      <c r="B11" s="13">
        <f t="shared" si="0"/>
        <v>3</v>
      </c>
      <c r="C11" s="13">
        <f t="shared" si="1"/>
        <v>17</v>
      </c>
      <c r="D11" s="13">
        <f t="shared" si="2"/>
        <v>17</v>
      </c>
      <c r="E11" s="13"/>
      <c r="F11" s="13" t="str">
        <f t="shared" si="3"/>
        <v/>
      </c>
      <c r="G11" s="13"/>
      <c r="H11" s="60">
        <v>310</v>
      </c>
      <c r="I11" s="61" t="s">
        <v>507</v>
      </c>
      <c r="J11" s="61" t="s">
        <v>43</v>
      </c>
      <c r="K11" s="13" t="str" cm="1">
        <f t="array" ref="K11">IFERROR(INDEX($J$2:$J$75,MATCH(0,IF(ISBLANK($J$2:$J$75),1,COUNTIF($K$1:K10,$J$2:$J$75)),0)),"")</f>
        <v/>
      </c>
      <c r="L11" s="62">
        <f>VLOOKUP(J11,'【3】大区填-楼栋基准格局定价'!B:H,7,0)</f>
        <v>2354.45</v>
      </c>
      <c r="M11" s="63" t="str">
        <f t="shared" si="4"/>
        <v>较狭小</v>
      </c>
      <c r="N11" s="63">
        <v>22.68</v>
      </c>
      <c r="O11" s="64">
        <f>VLOOKUP($M$1&amp;M11,【1】定价因子!E:F,2,0)</f>
        <v>0.95</v>
      </c>
      <c r="P11" s="64" t="str">
        <f>IF(COUNTIFS(户型资产表!E:E,I11,户型资产表!H:H,"阳台门")&gt;0,"有","无")</f>
        <v>无</v>
      </c>
      <c r="Q11" s="64">
        <f>VLOOKUP($P$1&amp;P11,【1】定价因子!E:F,2,0)</f>
        <v>1</v>
      </c>
      <c r="R11" s="64" t="str">
        <f>IF('【2】运营中心填-基本信息&amp;审核标准'!$D$4="是","无",IF(INT(H11/100)&gt;9,"9F",INT(H11/100)&amp;"F"))</f>
        <v>3F</v>
      </c>
      <c r="S11" s="64">
        <f>VLOOKUP(R11,【1】定价因子!D:F,3,0)</f>
        <v>1.01</v>
      </c>
      <c r="T11" s="64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无</v>
      </c>
      <c r="U11" s="64">
        <f>VLOOKUP($T$1&amp;T11,【1】定价因子!E:F,2,0)</f>
        <v>1</v>
      </c>
      <c r="V11" s="64" t="str">
        <f>IF(COUNTIFS(户型资产表!E:E,I11,户型资产表!H:H,"操作台")&gt;0,"有","无")</f>
        <v>有</v>
      </c>
      <c r="W11" s="64" t="str">
        <f>IF(COUNTIFS(户型资产表!E:E,I11,户型资产表!H:H,"书桌")&gt;0,"有","无")</f>
        <v>无</v>
      </c>
      <c r="X11" s="64" t="str" cm="1">
        <f t="array" ref="X11">IF(SUMPRODUCT((户型资产表!E:E=I11)*((户型资产表!I:I="沙发01单人")+(户型资产表!I:I="单人沙发02")+(户型资产表!I:I="租赁-单人沙发02")+(户型资产表!I:I="租赁-沙发01单人")))&gt;0,"有","无")</f>
        <v>无</v>
      </c>
      <c r="Y11" s="64" t="str" cm="1">
        <f t="array" ref="Y11">IF(SUMPRODUCT((户型资产表!E:E=I11)*((户型资产表!I:I="沙发02两人")+(户型资产表!I:I="双人沙发01")+(户型资产表!I:I="租赁-沙发02两人")+(户型资产表!I:I="租赁-双人沙发01")))&gt;0,"有","无")</f>
        <v>有</v>
      </c>
      <c r="Z11" s="64" t="str">
        <f>IF(COUNTIFS(户型资产表!E:E,I11,户型资产表!H:H,"餐桌")&gt;0,"有","无")</f>
        <v>有</v>
      </c>
      <c r="AA11" s="64" t="str">
        <f>IF(COUNTIFS(户型资产表!E:E,I11,户型资产表!H:H,"吸油烟机")&gt;0,"有","无")</f>
        <v>无</v>
      </c>
      <c r="AB11" s="64" t="str">
        <f>IF(COUNTIFS(户型资产表!E:E,I11,户型资产表!H:H,"冰箱")&gt;0,"有","无")</f>
        <v>无</v>
      </c>
      <c r="AC11" s="64" t="str">
        <f>IF(COUNTIFS(户型资产表!E:E,I11,户型资产表!H:H,"电视柜")&gt;0,"有","无")</f>
        <v>无</v>
      </c>
      <c r="AD11" s="63" t="str">
        <f t="shared" si="5"/>
        <v>适中</v>
      </c>
      <c r="AE11" s="64">
        <f>VLOOKUP($AD$1&amp;AD11,【1】定价因子!E:F,2,0)</f>
        <v>1</v>
      </c>
      <c r="AF11" s="63" t="str">
        <f t="shared" si="6"/>
        <v>适中</v>
      </c>
      <c r="AG11" s="64">
        <f>VLOOKUP($AF$1&amp;AF11,【1】定价因子!E:F,2,0)</f>
        <v>1</v>
      </c>
      <c r="AH11" s="63" t="str">
        <f t="shared" si="7"/>
        <v>适中</v>
      </c>
      <c r="AI11" s="64">
        <f>VLOOKUP($AH$1&amp;AH11,【1】定价因子!E:F,2,0)</f>
        <v>1</v>
      </c>
      <c r="AJ11" s="64" t="str">
        <f>VLOOKUP(H11,'【3-1】大区填-采光基本要素'!A:H,8,0)</f>
        <v>2</v>
      </c>
      <c r="AK11" s="64">
        <f>VLOOKUP($AJ$1&amp;AJ11,【1】定价因子!E:F,2,0)</f>
        <v>0.96</v>
      </c>
      <c r="AL11" s="65">
        <f t="shared" si="8"/>
        <v>2168.730984</v>
      </c>
      <c r="AM11" s="13">
        <v>2050</v>
      </c>
      <c r="AN11" s="66">
        <f t="shared" si="9"/>
        <v>-0.0547467550728734</v>
      </c>
      <c r="AO11" s="67">
        <f>SUMIFS(户型资产表!M:M,户型资产表!I:I,"*租赁*",户型资产表!E:E,I11)</f>
        <v>284.09</v>
      </c>
      <c r="AP11" s="68">
        <f t="shared" si="10"/>
        <v>1765.91</v>
      </c>
    </row>
    <row r="12" s="34" customFormat="1" ht="14.15" spans="1:43">
      <c r="A12" s="51" t="str">
        <f>'【2】运营中心填-基本信息&amp;审核标准'!$E$2</f>
        <v>东福围西街30栋</v>
      </c>
      <c r="B12" s="51">
        <f t="shared" si="0"/>
        <v>3</v>
      </c>
      <c r="C12" s="51">
        <f t="shared" si="1"/>
        <v>17</v>
      </c>
      <c r="D12" s="51">
        <f t="shared" si="2"/>
        <v>17</v>
      </c>
      <c r="E12" s="51"/>
      <c r="F12" s="51" t="str">
        <f t="shared" si="3"/>
        <v/>
      </c>
      <c r="G12" s="51"/>
      <c r="H12" s="52">
        <v>311</v>
      </c>
      <c r="I12" s="53" t="s">
        <v>508</v>
      </c>
      <c r="J12" s="53" t="s">
        <v>40</v>
      </c>
      <c r="K12" s="51" t="str" cm="1">
        <f t="array" ref="K12">IFERROR(INDEX($J$2:$J$75,MATCH(0,IF(ISBLANK($J$2:$J$75),1,COUNTIF($K$1:K11,$J$2:$J$75)),0)),"")</f>
        <v/>
      </c>
      <c r="L12" s="54">
        <f>VLOOKUP(J12,'【3】大区填-楼栋基准格局定价'!B:H,7,0)</f>
        <v>1579.858</v>
      </c>
      <c r="M12" s="55" t="str">
        <f t="shared" si="4"/>
        <v>适中</v>
      </c>
      <c r="N12" s="55">
        <v>16.43</v>
      </c>
      <c r="O12" s="51">
        <f>VLOOKUP($M$1&amp;M12,【1】定价因子!E:F,2,0)</f>
        <v>1</v>
      </c>
      <c r="P12" s="51" t="str">
        <f>IF(COUNTIFS(户型资产表!E:E,I12,户型资产表!H:H,"阳台门")&gt;0,"有","无")</f>
        <v>无</v>
      </c>
      <c r="Q12" s="51">
        <f>VLOOKUP($P$1&amp;P12,【1】定价因子!E:F,2,0)</f>
        <v>1</v>
      </c>
      <c r="R12" s="51" t="str">
        <f>IF('【2】运营中心填-基本信息&amp;审核标准'!$D$4="是","无",IF(INT(H12/100)&gt;9,"9F",INT(H12/100)&amp;"F"))</f>
        <v>3F</v>
      </c>
      <c r="S12" s="51">
        <f>VLOOKUP(R12,【1】定价因子!D:F,3,0)</f>
        <v>1.01</v>
      </c>
      <c r="T12" s="51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无</v>
      </c>
      <c r="U12" s="51">
        <f>VLOOKUP($T$1&amp;T12,【1】定价因子!E:F,2,0)</f>
        <v>1</v>
      </c>
      <c r="V12" s="51" t="str">
        <f>IF(COUNTIFS(户型资产表!E:E,I12,户型资产表!H:H,"操作台")&gt;0,"有","无")</f>
        <v>有</v>
      </c>
      <c r="W12" s="51" t="str">
        <f>IF(COUNTIFS(户型资产表!E:E,I12,户型资产表!H:H,"书桌")&gt;0,"有","无")</f>
        <v>有</v>
      </c>
      <c r="X12" s="51" t="str" cm="1">
        <f t="array" ref="X12">IF(SUMPRODUCT((户型资产表!E:E=I12)*((户型资产表!I:I="沙发01单人")+(户型资产表!I:I="单人沙发02")+(户型资产表!I:I="租赁-单人沙发02")+(户型资产表!I:I="租赁-沙发01单人")))&gt;0,"有","无")</f>
        <v>无</v>
      </c>
      <c r="Y12" s="51" t="str" cm="1">
        <f t="array" ref="Y12">IF(SUMPRODUCT((户型资产表!E:E=I12)*((户型资产表!I:I="沙发02两人")+(户型资产表!I:I="双人沙发01")+(户型资产表!I:I="租赁-沙发02两人")+(户型资产表!I:I="租赁-双人沙发01")))&gt;0,"有","无")</f>
        <v>无</v>
      </c>
      <c r="Z12" s="51" t="str">
        <f>IF(COUNTIFS(户型资产表!E:E,I12,户型资产表!H:H,"餐桌")&gt;0,"有","无")</f>
        <v>无</v>
      </c>
      <c r="AA12" s="51" t="str">
        <f>IF(COUNTIFS(户型资产表!E:E,I12,户型资产表!H:H,"吸油烟机")&gt;0,"有","无")</f>
        <v>无</v>
      </c>
      <c r="AB12" s="51" t="str">
        <f>IF(COUNTIFS(户型资产表!E:E,I12,户型资产表!H:H,"冰箱")&gt;0,"有","无")</f>
        <v>无</v>
      </c>
      <c r="AC12" s="51" t="str">
        <f>IF(COUNTIFS(户型资产表!E:E,I12,户型资产表!H:H,"电视柜")&gt;0,"有","无")</f>
        <v>无</v>
      </c>
      <c r="AD12" s="55" t="str">
        <f t="shared" si="5"/>
        <v>适中</v>
      </c>
      <c r="AE12" s="51">
        <f>VLOOKUP($AD$1&amp;AD12,【1】定价因子!E:F,2,0)</f>
        <v>1</v>
      </c>
      <c r="AF12" s="55" t="str">
        <f t="shared" si="6"/>
        <v>适中</v>
      </c>
      <c r="AG12" s="51">
        <f>VLOOKUP($AF$1&amp;AF12,【1】定价因子!E:F,2,0)</f>
        <v>1</v>
      </c>
      <c r="AH12" s="55" t="str">
        <f t="shared" si="7"/>
        <v>适中</v>
      </c>
      <c r="AI12" s="51">
        <f>VLOOKUP($AH$1&amp;AH12,【1】定价因子!E:F,2,0)</f>
        <v>1</v>
      </c>
      <c r="AJ12" s="51" t="str">
        <f>VLOOKUP(H12,'【3-1】大区填-采光基本要素'!A:H,8,0)</f>
        <v>1</v>
      </c>
      <c r="AK12" s="51">
        <f>VLOOKUP($AJ$1&amp;AJ12,【1】定价因子!E:F,2,0)</f>
        <v>0.91</v>
      </c>
      <c r="AL12" s="56">
        <f t="shared" si="8"/>
        <v>1452.0474878</v>
      </c>
      <c r="AM12" s="51">
        <v>1050</v>
      </c>
      <c r="AN12" s="57">
        <f t="shared" si="9"/>
        <v>-0.27688315373841</v>
      </c>
      <c r="AO12" s="55">
        <f>SUMIFS(户型资产表!M:M,户型资产表!I:I,"*租赁*",户型资产表!E:E,I12)</f>
        <v>224.54</v>
      </c>
      <c r="AP12" s="58">
        <f t="shared" si="10"/>
        <v>825.46</v>
      </c>
      <c r="AQ12" s="34">
        <v>1400</v>
      </c>
    </row>
    <row r="13" s="34" customFormat="1" ht="14.15" spans="1:43">
      <c r="A13" s="51" t="str">
        <f>'【2】运营中心填-基本信息&amp;审核标准'!$E$2</f>
        <v>东福围西街30栋</v>
      </c>
      <c r="B13" s="51">
        <f t="shared" si="0"/>
        <v>3</v>
      </c>
      <c r="C13" s="51">
        <f t="shared" si="1"/>
        <v>17</v>
      </c>
      <c r="D13" s="51">
        <f t="shared" si="2"/>
        <v>17</v>
      </c>
      <c r="E13" s="51"/>
      <c r="F13" s="51" t="str">
        <f t="shared" si="3"/>
        <v/>
      </c>
      <c r="G13" s="51"/>
      <c r="H13" s="52">
        <v>312</v>
      </c>
      <c r="I13" s="53" t="s">
        <v>509</v>
      </c>
      <c r="J13" s="53" t="s">
        <v>43</v>
      </c>
      <c r="K13" s="51" t="str" cm="1">
        <f t="array" ref="K13">IFERROR(INDEX($J$2:$J$75,MATCH(0,IF(ISBLANK($J$2:$J$75),1,COUNTIF($K$1:K12,$J$2:$J$75)),0)),"")</f>
        <v/>
      </c>
      <c r="L13" s="54">
        <f>VLOOKUP(J13,'【3】大区填-楼栋基准格局定价'!B:H,7,0)</f>
        <v>2354.45</v>
      </c>
      <c r="M13" s="55" t="str">
        <f t="shared" si="4"/>
        <v>很狭小</v>
      </c>
      <c r="N13" s="55">
        <v>12.81</v>
      </c>
      <c r="O13" s="51">
        <f>VLOOKUP($M$1&amp;M13,【1】定价因子!E:F,2,0)</f>
        <v>0.9</v>
      </c>
      <c r="P13" s="51" t="str">
        <f>IF(COUNTIFS(户型资产表!E:E,I13,户型资产表!H:H,"阳台门")&gt;0,"有","无")</f>
        <v>无</v>
      </c>
      <c r="Q13" s="51">
        <f>VLOOKUP($P$1&amp;P13,【1】定价因子!E:F,2,0)</f>
        <v>1</v>
      </c>
      <c r="R13" s="51" t="str">
        <f>IF('【2】运营中心填-基本信息&amp;审核标准'!$D$4="是","无",IF(INT(H13/100)&gt;9,"9F",INT(H13/100)&amp;"F"))</f>
        <v>3F</v>
      </c>
      <c r="S13" s="51">
        <f>VLOOKUP(R13,【1】定价因子!D:F,3,0)</f>
        <v>1.01</v>
      </c>
      <c r="T13" s="51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无</v>
      </c>
      <c r="U13" s="51">
        <f>VLOOKUP($T$1&amp;T13,【1】定价因子!E:F,2,0)</f>
        <v>1</v>
      </c>
      <c r="V13" s="51" t="str">
        <f>IF(COUNTIFS(户型资产表!E:E,I13,户型资产表!H:H,"操作台")&gt;0,"有","无")</f>
        <v>有</v>
      </c>
      <c r="W13" s="51" t="str">
        <f>IF(COUNTIFS(户型资产表!E:E,I13,户型资产表!H:H,"书桌")&gt;0,"有","无")</f>
        <v>无</v>
      </c>
      <c r="X13" s="51" t="str" cm="1">
        <f t="array" ref="X13">IF(SUMPRODUCT((户型资产表!E:E=I13)*((户型资产表!I:I="沙发01单人")+(户型资产表!I:I="单人沙发02")+(户型资产表!I:I="租赁-单人沙发02")+(户型资产表!I:I="租赁-沙发01单人")))&gt;0,"有","无")</f>
        <v>无</v>
      </c>
      <c r="Y13" s="51" t="str" cm="1">
        <f t="array" ref="Y13">IF(SUMPRODUCT((户型资产表!E:E=I13)*((户型资产表!I:I="沙发02两人")+(户型资产表!I:I="双人沙发01")+(户型资产表!I:I="租赁-沙发02两人")+(户型资产表!I:I="租赁-双人沙发01")))&gt;0,"有","无")</f>
        <v>有</v>
      </c>
      <c r="Z13" s="51" t="str">
        <f>IF(COUNTIFS(户型资产表!E:E,I13,户型资产表!H:H,"餐桌")&gt;0,"有","无")</f>
        <v>有</v>
      </c>
      <c r="AA13" s="51" t="str">
        <f>IF(COUNTIFS(户型资产表!E:E,I13,户型资产表!H:H,"吸油烟机")&gt;0,"有","无")</f>
        <v>无</v>
      </c>
      <c r="AB13" s="51" t="str">
        <f>IF(COUNTIFS(户型资产表!E:E,I13,户型资产表!H:H,"冰箱")&gt;0,"有","无")</f>
        <v>无</v>
      </c>
      <c r="AC13" s="51" t="str">
        <f>IF(COUNTIFS(户型资产表!E:E,I13,户型资产表!H:H,"电视柜")&gt;0,"有","无")</f>
        <v>无</v>
      </c>
      <c r="AD13" s="55" t="str">
        <f t="shared" si="5"/>
        <v>适中</v>
      </c>
      <c r="AE13" s="51">
        <f>VLOOKUP($AD$1&amp;AD13,【1】定价因子!E:F,2,0)</f>
        <v>1</v>
      </c>
      <c r="AF13" s="55" t="str">
        <f t="shared" si="6"/>
        <v>适中</v>
      </c>
      <c r="AG13" s="51">
        <f>VLOOKUP($AF$1&amp;AF13,【1】定价因子!E:F,2,0)</f>
        <v>1</v>
      </c>
      <c r="AH13" s="55" t="str">
        <f t="shared" si="7"/>
        <v>适中</v>
      </c>
      <c r="AI13" s="51">
        <f>VLOOKUP($AH$1&amp;AH13,【1】定价因子!E:F,2,0)</f>
        <v>1</v>
      </c>
      <c r="AJ13" s="51" t="str">
        <f>VLOOKUP(H13,'【3-1】大区填-采光基本要素'!A:H,8,0)</f>
        <v>2</v>
      </c>
      <c r="AK13" s="51">
        <f>VLOOKUP($AJ$1&amp;AJ13,【1】定价因子!E:F,2,0)</f>
        <v>0.96</v>
      </c>
      <c r="AL13" s="56">
        <f t="shared" si="8"/>
        <v>2054.587248</v>
      </c>
      <c r="AM13" s="51">
        <v>1800</v>
      </c>
      <c r="AN13" s="57">
        <f t="shared" si="9"/>
        <v>-0.123911626652907</v>
      </c>
      <c r="AO13" s="55">
        <f>SUMIFS(户型资产表!M:M,户型资产表!I:I,"*租赁*",户型资产表!E:E,I13)</f>
        <v>284.36</v>
      </c>
      <c r="AP13" s="58">
        <f t="shared" si="10"/>
        <v>1515.64</v>
      </c>
      <c r="AQ13" s="34">
        <v>1940</v>
      </c>
    </row>
    <row r="14" s="34" customFormat="1" ht="14.15" spans="1:43">
      <c r="A14" s="51" t="str">
        <f>'【2】运营中心填-基本信息&amp;审核标准'!$E$2</f>
        <v>东福围西街30栋</v>
      </c>
      <c r="B14" s="51">
        <f t="shared" si="0"/>
        <v>3</v>
      </c>
      <c r="C14" s="51">
        <f t="shared" si="1"/>
        <v>17</v>
      </c>
      <c r="D14" s="51">
        <f t="shared" si="2"/>
        <v>17</v>
      </c>
      <c r="E14" s="51"/>
      <c r="F14" s="51" t="str">
        <f t="shared" si="3"/>
        <v/>
      </c>
      <c r="G14" s="51"/>
      <c r="H14" s="52">
        <v>313</v>
      </c>
      <c r="I14" s="53" t="s">
        <v>510</v>
      </c>
      <c r="J14" s="53" t="s">
        <v>43</v>
      </c>
      <c r="K14" s="51" t="str" cm="1">
        <f t="array" ref="K14">IFERROR(INDEX($J$2:$J$75,MATCH(0,IF(ISBLANK($J$2:$J$75),1,COUNTIF($K$1:K13,$J$2:$J$75)),0)),"")</f>
        <v/>
      </c>
      <c r="L14" s="54">
        <f>VLOOKUP(J14,'【3】大区填-楼栋基准格局定价'!B:H,7,0)</f>
        <v>2354.45</v>
      </c>
      <c r="M14" s="55" t="str">
        <f t="shared" si="4"/>
        <v>很狭小</v>
      </c>
      <c r="N14" s="55">
        <v>14.48</v>
      </c>
      <c r="O14" s="51">
        <f>VLOOKUP($M$1&amp;M14,【1】定价因子!E:F,2,0)</f>
        <v>0.9</v>
      </c>
      <c r="P14" s="51" t="str">
        <f>IF(COUNTIFS(户型资产表!E:E,I14,户型资产表!H:H,"阳台门")&gt;0,"有","无")</f>
        <v>无</v>
      </c>
      <c r="Q14" s="51">
        <f>VLOOKUP($P$1&amp;P14,【1】定价因子!E:F,2,0)</f>
        <v>1</v>
      </c>
      <c r="R14" s="51" t="str">
        <f>IF('【2】运营中心填-基本信息&amp;审核标准'!$D$4="是","无",IF(INT(H14/100)&gt;9,"9F",INT(H14/100)&amp;"F"))</f>
        <v>3F</v>
      </c>
      <c r="S14" s="51">
        <f>VLOOKUP(R14,【1】定价因子!D:F,3,0)</f>
        <v>1.01</v>
      </c>
      <c r="T14" s="51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无</v>
      </c>
      <c r="U14" s="51">
        <f>VLOOKUP($T$1&amp;T14,【1】定价因子!E:F,2,0)</f>
        <v>1</v>
      </c>
      <c r="V14" s="51" t="str">
        <f>IF(COUNTIFS(户型资产表!E:E,I14,户型资产表!H:H,"操作台")&gt;0,"有","无")</f>
        <v>有</v>
      </c>
      <c r="W14" s="51" t="str">
        <f>IF(COUNTIFS(户型资产表!E:E,I14,户型资产表!H:H,"书桌")&gt;0,"有","无")</f>
        <v>有</v>
      </c>
      <c r="X14" s="51" t="str" cm="1">
        <f t="array" ref="X14">IF(SUMPRODUCT((户型资产表!E:E=I14)*((户型资产表!I:I="沙发01单人")+(户型资产表!I:I="单人沙发02")+(户型资产表!I:I="租赁-单人沙发02")+(户型资产表!I:I="租赁-沙发01单人")))&gt;0,"有","无")</f>
        <v>无</v>
      </c>
      <c r="Y14" s="51" t="str" cm="1">
        <f t="array" ref="Y14">IF(SUMPRODUCT((户型资产表!E:E=I14)*((户型资产表!I:I="沙发02两人")+(户型资产表!I:I="双人沙发01")+(户型资产表!I:I="租赁-沙发02两人")+(户型资产表!I:I="租赁-双人沙发01")))&gt;0,"有","无")</f>
        <v>无</v>
      </c>
      <c r="Z14" s="51" t="str">
        <f>IF(COUNTIFS(户型资产表!E:E,I14,户型资产表!H:H,"餐桌")&gt;0,"有","无")</f>
        <v>无</v>
      </c>
      <c r="AA14" s="51" t="str">
        <f>IF(COUNTIFS(户型资产表!E:E,I14,户型资产表!H:H,"吸油烟机")&gt;0,"有","无")</f>
        <v>无</v>
      </c>
      <c r="AB14" s="51" t="str">
        <f>IF(COUNTIFS(户型资产表!E:E,I14,户型资产表!H:H,"冰箱")&gt;0,"有","无")</f>
        <v>无</v>
      </c>
      <c r="AC14" s="51" t="str">
        <f>IF(COUNTIFS(户型资产表!E:E,I14,户型资产表!H:H,"电视柜")&gt;0,"有","无")</f>
        <v>无</v>
      </c>
      <c r="AD14" s="55" t="str">
        <f t="shared" si="5"/>
        <v>适中</v>
      </c>
      <c r="AE14" s="51">
        <f>VLOOKUP($AD$1&amp;AD14,【1】定价因子!E:F,2,0)</f>
        <v>1</v>
      </c>
      <c r="AF14" s="55" t="str">
        <f t="shared" si="6"/>
        <v>缺失（操作台/双人沙发）</v>
      </c>
      <c r="AG14" s="51">
        <f>VLOOKUP($AF$1&amp;AF14,【1】定价因子!E:F,2,0)</f>
        <v>0.96</v>
      </c>
      <c r="AH14" s="55" t="str">
        <f t="shared" si="7"/>
        <v>适中</v>
      </c>
      <c r="AI14" s="51">
        <f>VLOOKUP($AH$1&amp;AH14,【1】定价因子!E:F,2,0)</f>
        <v>1</v>
      </c>
      <c r="AJ14" s="51" t="str">
        <f>VLOOKUP(H14,'【3-1】大区填-采光基本要素'!A:H,8,0)</f>
        <v>3</v>
      </c>
      <c r="AK14" s="51">
        <f>VLOOKUP($AJ$1&amp;AJ14,【1】定价因子!E:F,2,0)</f>
        <v>1</v>
      </c>
      <c r="AL14" s="56">
        <f t="shared" si="8"/>
        <v>2054.587248</v>
      </c>
      <c r="AM14" s="51">
        <v>1500</v>
      </c>
      <c r="AN14" s="57">
        <f t="shared" si="9"/>
        <v>-0.269926355544089</v>
      </c>
      <c r="AO14" s="55">
        <f>SUMIFS(户型资产表!M:M,户型资产表!I:I,"*租赁*",户型资产表!E:E,I14)</f>
        <v>224.54</v>
      </c>
      <c r="AP14" s="58">
        <f t="shared" si="10"/>
        <v>1275.46</v>
      </c>
      <c r="AQ14" s="34">
        <v>1940</v>
      </c>
    </row>
    <row r="15" s="34" customFormat="1" ht="14.15" spans="1:43">
      <c r="A15" s="51" t="str">
        <f>'【2】运营中心填-基本信息&amp;审核标准'!$E$2</f>
        <v>东福围西街30栋</v>
      </c>
      <c r="B15" s="51">
        <f t="shared" si="0"/>
        <v>3</v>
      </c>
      <c r="C15" s="51">
        <f t="shared" si="1"/>
        <v>17</v>
      </c>
      <c r="D15" s="51">
        <f t="shared" si="2"/>
        <v>17</v>
      </c>
      <c r="E15" s="51"/>
      <c r="F15" s="51" t="str">
        <f t="shared" si="3"/>
        <v/>
      </c>
      <c r="G15" s="51"/>
      <c r="H15" s="52">
        <v>314</v>
      </c>
      <c r="I15" s="53" t="s">
        <v>511</v>
      </c>
      <c r="J15" s="53" t="s">
        <v>40</v>
      </c>
      <c r="K15" s="51" t="str" cm="1">
        <f t="array" ref="K15">IFERROR(INDEX($J$2:$J$75,MATCH(0,IF(ISBLANK($J$2:$J$75),1,COUNTIF($K$1:K14,$J$2:$J$75)),0)),"")</f>
        <v/>
      </c>
      <c r="L15" s="54">
        <f>VLOOKUP(J15,'【3】大区填-楼栋基准格局定价'!B:H,7,0)</f>
        <v>1579.858</v>
      </c>
      <c r="M15" s="55" t="str">
        <f t="shared" si="4"/>
        <v>适中</v>
      </c>
      <c r="N15" s="55">
        <v>16.03</v>
      </c>
      <c r="O15" s="51">
        <f>VLOOKUP($M$1&amp;M15,【1】定价因子!E:F,2,0)</f>
        <v>1</v>
      </c>
      <c r="P15" s="51" t="str">
        <f>IF(COUNTIFS(户型资产表!E:E,I15,户型资产表!H:H,"阳台门")&gt;0,"有","无")</f>
        <v>无</v>
      </c>
      <c r="Q15" s="51">
        <f>VLOOKUP($P$1&amp;P15,【1】定价因子!E:F,2,0)</f>
        <v>1</v>
      </c>
      <c r="R15" s="51" t="str">
        <f>IF('【2】运营中心填-基本信息&amp;审核标准'!$D$4="是","无",IF(INT(H15/100)&gt;9,"9F",INT(H15/100)&amp;"F"))</f>
        <v>3F</v>
      </c>
      <c r="S15" s="51">
        <f>VLOOKUP(R15,【1】定价因子!D:F,3,0)</f>
        <v>1.01</v>
      </c>
      <c r="T15" s="51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无</v>
      </c>
      <c r="U15" s="51">
        <f>VLOOKUP($T$1&amp;T15,【1】定价因子!E:F,2,0)</f>
        <v>1</v>
      </c>
      <c r="V15" s="51" t="str">
        <f>IF(COUNTIFS(户型资产表!E:E,I15,户型资产表!H:H,"操作台")&gt;0,"有","无")</f>
        <v>有</v>
      </c>
      <c r="W15" s="51" t="str">
        <f>IF(COUNTIFS(户型资产表!E:E,I15,户型资产表!H:H,"书桌")&gt;0,"有","无")</f>
        <v>有</v>
      </c>
      <c r="X15" s="51" t="str" cm="1">
        <f t="array" ref="X15">IF(SUMPRODUCT((户型资产表!E:E=I15)*((户型资产表!I:I="沙发01单人")+(户型资产表!I:I="单人沙发02")+(户型资产表!I:I="租赁-单人沙发02")+(户型资产表!I:I="租赁-沙发01单人")))&gt;0,"有","无")</f>
        <v>无</v>
      </c>
      <c r="Y15" s="51" t="str" cm="1">
        <f t="array" ref="Y15">IF(SUMPRODUCT((户型资产表!E:E=I15)*((户型资产表!I:I="沙发02两人")+(户型资产表!I:I="双人沙发01")+(户型资产表!I:I="租赁-沙发02两人")+(户型资产表!I:I="租赁-双人沙发01")))&gt;0,"有","无")</f>
        <v>无</v>
      </c>
      <c r="Z15" s="51" t="str">
        <f>IF(COUNTIFS(户型资产表!E:E,I15,户型资产表!H:H,"餐桌")&gt;0,"有","无")</f>
        <v>无</v>
      </c>
      <c r="AA15" s="51" t="str">
        <f>IF(COUNTIFS(户型资产表!E:E,I15,户型资产表!H:H,"吸油烟机")&gt;0,"有","无")</f>
        <v>无</v>
      </c>
      <c r="AB15" s="51" t="str">
        <f>IF(COUNTIFS(户型资产表!E:E,I15,户型资产表!H:H,"冰箱")&gt;0,"有","无")</f>
        <v>无</v>
      </c>
      <c r="AC15" s="51" t="str">
        <f>IF(COUNTIFS(户型资产表!E:E,I15,户型资产表!H:H,"电视柜")&gt;0,"有","无")</f>
        <v>无</v>
      </c>
      <c r="AD15" s="55" t="str">
        <f t="shared" si="5"/>
        <v>适中</v>
      </c>
      <c r="AE15" s="51">
        <f>VLOOKUP($AD$1&amp;AD15,【1】定价因子!E:F,2,0)</f>
        <v>1</v>
      </c>
      <c r="AF15" s="55" t="str">
        <f t="shared" si="6"/>
        <v>适中</v>
      </c>
      <c r="AG15" s="51">
        <f>VLOOKUP($AF$1&amp;AF15,【1】定价因子!E:F,2,0)</f>
        <v>1</v>
      </c>
      <c r="AH15" s="55" t="str">
        <f t="shared" si="7"/>
        <v>适中</v>
      </c>
      <c r="AI15" s="51">
        <f>VLOOKUP($AH$1&amp;AH15,【1】定价因子!E:F,2,0)</f>
        <v>1</v>
      </c>
      <c r="AJ15" s="51" t="str">
        <f>VLOOKUP(H15,'【3-1】大区填-采光基本要素'!A:H,8,0)</f>
        <v>1</v>
      </c>
      <c r="AK15" s="51">
        <f>VLOOKUP($AJ$1&amp;AJ15,【1】定价因子!E:F,2,0)</f>
        <v>0.91</v>
      </c>
      <c r="AL15" s="56">
        <f t="shared" si="8"/>
        <v>1452.0474878</v>
      </c>
      <c r="AM15" s="51">
        <v>1010</v>
      </c>
      <c r="AN15" s="57">
        <f t="shared" si="9"/>
        <v>-0.304430462167423</v>
      </c>
      <c r="AO15" s="55">
        <f>SUMIFS(户型资产表!M:M,户型资产表!I:I,"*租赁*",户型资产表!E:E,I15)</f>
        <v>224.54</v>
      </c>
      <c r="AP15" s="58">
        <f t="shared" si="10"/>
        <v>785.46</v>
      </c>
      <c r="AQ15" s="34">
        <v>1400</v>
      </c>
    </row>
    <row r="16" ht="14.15" spans="1:43">
      <c r="A16" s="59" t="str">
        <f>'【2】运营中心填-基本信息&amp;审核标准'!$E$2</f>
        <v>东福围西街30栋</v>
      </c>
      <c r="B16" s="13">
        <f t="shared" si="0"/>
        <v>3</v>
      </c>
      <c r="C16" s="13">
        <f t="shared" si="1"/>
        <v>17</v>
      </c>
      <c r="D16" s="13">
        <f t="shared" si="2"/>
        <v>17</v>
      </c>
      <c r="E16" s="13"/>
      <c r="F16" s="13" t="str">
        <f t="shared" si="3"/>
        <v/>
      </c>
      <c r="G16" s="13"/>
      <c r="H16" s="60">
        <v>315</v>
      </c>
      <c r="I16" s="61" t="s">
        <v>512</v>
      </c>
      <c r="J16" s="61" t="s">
        <v>40</v>
      </c>
      <c r="K16" s="13" t="str" cm="1">
        <f t="array" ref="K16">IFERROR(INDEX($J$2:$J$75,MATCH(0,IF(ISBLANK($J$2:$J$75),1,COUNTIF($K$1:K15,$J$2:$J$75)),0)),"")</f>
        <v/>
      </c>
      <c r="L16" s="62">
        <f>VLOOKUP(J16,'【3】大区填-楼栋基准格局定价'!B:H,7,0)</f>
        <v>1579.858</v>
      </c>
      <c r="M16" s="63" t="str">
        <f t="shared" si="4"/>
        <v>适中</v>
      </c>
      <c r="N16" s="63">
        <v>14.49</v>
      </c>
      <c r="O16" s="64">
        <f>VLOOKUP($M$1&amp;M16,【1】定价因子!E:F,2,0)</f>
        <v>1</v>
      </c>
      <c r="P16" s="64" t="str">
        <f>IF(COUNTIFS(户型资产表!E:E,I16,户型资产表!H:H,"阳台门")&gt;0,"有","无")</f>
        <v>无</v>
      </c>
      <c r="Q16" s="64">
        <f>VLOOKUP($P$1&amp;P16,【1】定价因子!E:F,2,0)</f>
        <v>1</v>
      </c>
      <c r="R16" s="64" t="str">
        <f>IF('【2】运营中心填-基本信息&amp;审核标准'!$D$4="是","无",IF(INT(H16/100)&gt;9,"9F",INT(H16/100)&amp;"F"))</f>
        <v>3F</v>
      </c>
      <c r="S16" s="64">
        <f>VLOOKUP(R16,【1】定价因子!D:F,3,0)</f>
        <v>1.01</v>
      </c>
      <c r="T16" s="64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无</v>
      </c>
      <c r="U16" s="64">
        <f>VLOOKUP($T$1&amp;T16,【1】定价因子!E:F,2,0)</f>
        <v>1</v>
      </c>
      <c r="V16" s="64" t="str">
        <f>IF(COUNTIFS(户型资产表!E:E,I16,户型资产表!H:H,"操作台")&gt;0,"有","无")</f>
        <v>有</v>
      </c>
      <c r="W16" s="64" t="str">
        <f>IF(COUNTIFS(户型资产表!E:E,I16,户型资产表!H:H,"书桌")&gt;0,"有","无")</f>
        <v>有</v>
      </c>
      <c r="X16" s="64" t="str" cm="1">
        <f t="array" ref="X16">IF(SUMPRODUCT((户型资产表!E:E=I16)*((户型资产表!I:I="沙发01单人")+(户型资产表!I:I="单人沙发02")+(户型资产表!I:I="租赁-单人沙发02")+(户型资产表!I:I="租赁-沙发01单人")))&gt;0,"有","无")</f>
        <v>无</v>
      </c>
      <c r="Y16" s="64" t="str" cm="1">
        <f t="array" ref="Y16">IF(SUMPRODUCT((户型资产表!E:E=I16)*((户型资产表!I:I="沙发02两人")+(户型资产表!I:I="双人沙发01")+(户型资产表!I:I="租赁-沙发02两人")+(户型资产表!I:I="租赁-双人沙发01")))&gt;0,"有","无")</f>
        <v>无</v>
      </c>
      <c r="Z16" s="64" t="str">
        <f>IF(COUNTIFS(户型资产表!E:E,I16,户型资产表!H:H,"餐桌")&gt;0,"有","无")</f>
        <v>无</v>
      </c>
      <c r="AA16" s="64" t="str">
        <f>IF(COUNTIFS(户型资产表!E:E,I16,户型资产表!H:H,"吸油烟机")&gt;0,"有","无")</f>
        <v>无</v>
      </c>
      <c r="AB16" s="64" t="str">
        <f>IF(COUNTIFS(户型资产表!E:E,I16,户型资产表!H:H,"冰箱")&gt;0,"有","无")</f>
        <v>无</v>
      </c>
      <c r="AC16" s="64" t="str">
        <f>IF(COUNTIFS(户型资产表!E:E,I16,户型资产表!H:H,"电视柜")&gt;0,"有","无")</f>
        <v>无</v>
      </c>
      <c r="AD16" s="63" t="str">
        <f t="shared" si="5"/>
        <v>适中</v>
      </c>
      <c r="AE16" s="64">
        <f>VLOOKUP($AD$1&amp;AD16,【1】定价因子!E:F,2,0)</f>
        <v>1</v>
      </c>
      <c r="AF16" s="63" t="str">
        <f t="shared" si="6"/>
        <v>适中</v>
      </c>
      <c r="AG16" s="64">
        <f>VLOOKUP($AF$1&amp;AF16,【1】定价因子!E:F,2,0)</f>
        <v>1</v>
      </c>
      <c r="AH16" s="63" t="str">
        <f t="shared" si="7"/>
        <v>适中</v>
      </c>
      <c r="AI16" s="64">
        <f>VLOOKUP($AH$1&amp;AH16,【1】定价因子!E:F,2,0)</f>
        <v>1</v>
      </c>
      <c r="AJ16" s="64" t="str">
        <f>VLOOKUP(H16,'【3-1】大区填-采光基本要素'!A:H,8,0)</f>
        <v>1</v>
      </c>
      <c r="AK16" s="64">
        <f>VLOOKUP($AJ$1&amp;AJ16,【1】定价因子!E:F,2,0)</f>
        <v>0.91</v>
      </c>
      <c r="AL16" s="65">
        <f t="shared" si="8"/>
        <v>1452.0474878</v>
      </c>
      <c r="AM16" s="13">
        <v>1400</v>
      </c>
      <c r="AN16" s="66">
        <f t="shared" si="9"/>
        <v>-0.0358442049845472</v>
      </c>
      <c r="AO16" s="67">
        <f>SUMIFS(户型资产表!M:M,户型资产表!I:I,"*租赁*",户型资产表!E:E,I16)</f>
        <v>224.54</v>
      </c>
      <c r="AP16" s="68">
        <f t="shared" si="10"/>
        <v>1175.46</v>
      </c>
    </row>
    <row r="17" s="34" customFormat="1" ht="14.15" spans="1:43">
      <c r="A17" s="51" t="str">
        <f>'【2】运营中心填-基本信息&amp;审核标准'!$E$2</f>
        <v>东福围西街30栋</v>
      </c>
      <c r="B17" s="51">
        <f t="shared" si="0"/>
        <v>3</v>
      </c>
      <c r="C17" s="51">
        <f t="shared" si="1"/>
        <v>17</v>
      </c>
      <c r="D17" s="51">
        <f t="shared" si="2"/>
        <v>17</v>
      </c>
      <c r="E17" s="51"/>
      <c r="F17" s="51" t="str">
        <f t="shared" si="3"/>
        <v/>
      </c>
      <c r="G17" s="51"/>
      <c r="H17" s="52">
        <v>316</v>
      </c>
      <c r="I17" s="53" t="s">
        <v>513</v>
      </c>
      <c r="J17" s="53" t="s">
        <v>40</v>
      </c>
      <c r="K17" s="51" t="str" cm="1">
        <f t="array" ref="K17">IFERROR(INDEX($J$2:$J$75,MATCH(0,IF(ISBLANK($J$2:$J$75),1,COUNTIF($K$1:K16,$J$2:$J$75)),0)),"")</f>
        <v/>
      </c>
      <c r="L17" s="54">
        <f>VLOOKUP(J17,'【3】大区填-楼栋基准格局定价'!B:H,7,0)</f>
        <v>1579.858</v>
      </c>
      <c r="M17" s="55" t="str">
        <f t="shared" si="4"/>
        <v>适中</v>
      </c>
      <c r="N17" s="55">
        <v>14.46</v>
      </c>
      <c r="O17" s="51">
        <f>VLOOKUP($M$1&amp;M17,【1】定价因子!E:F,2,0)</f>
        <v>1</v>
      </c>
      <c r="P17" s="51" t="str">
        <f>IF(COUNTIFS(户型资产表!E:E,I17,户型资产表!H:H,"阳台门")&gt;0,"有","无")</f>
        <v>无</v>
      </c>
      <c r="Q17" s="51">
        <f>VLOOKUP($P$1&amp;P17,【1】定价因子!E:F,2,0)</f>
        <v>1</v>
      </c>
      <c r="R17" s="51" t="str">
        <f>IF('【2】运营中心填-基本信息&amp;审核标准'!$D$4="是","无",IF(INT(H17/100)&gt;9,"9F",INT(H17/100)&amp;"F"))</f>
        <v>3F</v>
      </c>
      <c r="S17" s="51">
        <f>VLOOKUP(R17,【1】定价因子!D:F,3,0)</f>
        <v>1.01</v>
      </c>
      <c r="T17" s="51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无</v>
      </c>
      <c r="U17" s="51">
        <f>VLOOKUP($T$1&amp;T17,【1】定价因子!E:F,2,0)</f>
        <v>1</v>
      </c>
      <c r="V17" s="51" t="str">
        <f>IF(COUNTIFS(户型资产表!E:E,I17,户型资产表!H:H,"操作台")&gt;0,"有","无")</f>
        <v>有</v>
      </c>
      <c r="W17" s="51" t="str">
        <f>IF(COUNTIFS(户型资产表!E:E,I17,户型资产表!H:H,"书桌")&gt;0,"有","无")</f>
        <v>有</v>
      </c>
      <c r="X17" s="51" t="str" cm="1">
        <f t="array" ref="X17">IF(SUMPRODUCT((户型资产表!E:E=I17)*((户型资产表!I:I="沙发01单人")+(户型资产表!I:I="单人沙发02")+(户型资产表!I:I="租赁-单人沙发02")+(户型资产表!I:I="租赁-沙发01单人")))&gt;0,"有","无")</f>
        <v>无</v>
      </c>
      <c r="Y17" s="51" t="str" cm="1">
        <f t="array" ref="Y17">IF(SUMPRODUCT((户型资产表!E:E=I17)*((户型资产表!I:I="沙发02两人")+(户型资产表!I:I="双人沙发01")+(户型资产表!I:I="租赁-沙发02两人")+(户型资产表!I:I="租赁-双人沙发01")))&gt;0,"有","无")</f>
        <v>无</v>
      </c>
      <c r="Z17" s="51" t="str">
        <f>IF(COUNTIFS(户型资产表!E:E,I17,户型资产表!H:H,"餐桌")&gt;0,"有","无")</f>
        <v>无</v>
      </c>
      <c r="AA17" s="51" t="str">
        <f>IF(COUNTIFS(户型资产表!E:E,I17,户型资产表!H:H,"吸油烟机")&gt;0,"有","无")</f>
        <v>无</v>
      </c>
      <c r="AB17" s="51" t="str">
        <f>IF(COUNTIFS(户型资产表!E:E,I17,户型资产表!H:H,"冰箱")&gt;0,"有","无")</f>
        <v>无</v>
      </c>
      <c r="AC17" s="51" t="str">
        <f>IF(COUNTIFS(户型资产表!E:E,I17,户型资产表!H:H,"电视柜")&gt;0,"有","无")</f>
        <v>无</v>
      </c>
      <c r="AD17" s="55" t="str">
        <f t="shared" si="5"/>
        <v>适中</v>
      </c>
      <c r="AE17" s="51">
        <f>VLOOKUP($AD$1&amp;AD17,【1】定价因子!E:F,2,0)</f>
        <v>1</v>
      </c>
      <c r="AF17" s="55" t="str">
        <f t="shared" si="6"/>
        <v>适中</v>
      </c>
      <c r="AG17" s="51">
        <f>VLOOKUP($AF$1&amp;AF17,【1】定价因子!E:F,2,0)</f>
        <v>1</v>
      </c>
      <c r="AH17" s="55" t="str">
        <f t="shared" si="7"/>
        <v>适中</v>
      </c>
      <c r="AI17" s="51">
        <f>VLOOKUP($AH$1&amp;AH17,【1】定价因子!E:F,2,0)</f>
        <v>1</v>
      </c>
      <c r="AJ17" s="51" t="str">
        <f>VLOOKUP(H17,'【3-1】大区填-采光基本要素'!A:H,8,0)</f>
        <v>1</v>
      </c>
      <c r="AK17" s="51">
        <f>VLOOKUP($AJ$1&amp;AJ17,【1】定价因子!E:F,2,0)</f>
        <v>0.91</v>
      </c>
      <c r="AL17" s="56">
        <f t="shared" si="8"/>
        <v>1452.0474878</v>
      </c>
      <c r="AM17" s="51">
        <v>1200</v>
      </c>
      <c r="AN17" s="57">
        <f t="shared" si="9"/>
        <v>-0.173580747129612</v>
      </c>
      <c r="AO17" s="55">
        <f>SUMIFS(户型资产表!M:M,户型资产表!I:I,"*租赁*",户型资产表!E:E,I17)</f>
        <v>224.54</v>
      </c>
      <c r="AP17" s="58">
        <f t="shared" si="10"/>
        <v>975.46</v>
      </c>
      <c r="AQ17" s="34">
        <v>1400</v>
      </c>
    </row>
    <row r="18" s="34" customFormat="1" ht="14.15" spans="1:43">
      <c r="A18" s="51" t="str">
        <f>'【2】运营中心填-基本信息&amp;审核标准'!$E$2</f>
        <v>东福围西街30栋</v>
      </c>
      <c r="B18" s="51">
        <f t="shared" si="0"/>
        <v>3</v>
      </c>
      <c r="C18" s="51">
        <f t="shared" si="1"/>
        <v>17</v>
      </c>
      <c r="D18" s="51">
        <f t="shared" si="2"/>
        <v>17</v>
      </c>
      <c r="E18" s="51"/>
      <c r="F18" s="51" t="str">
        <f t="shared" si="3"/>
        <v/>
      </c>
      <c r="G18" s="51"/>
      <c r="H18" s="52">
        <v>317</v>
      </c>
      <c r="I18" s="53" t="s">
        <v>514</v>
      </c>
      <c r="J18" s="53" t="s">
        <v>40</v>
      </c>
      <c r="K18" s="51" t="str" cm="1">
        <f t="array" ref="K18">IFERROR(INDEX($J$2:$J$75,MATCH(0,IF(ISBLANK($J$2:$J$75),1,COUNTIF($K$1:K17,$J$2:$J$75)),0)),"")</f>
        <v/>
      </c>
      <c r="L18" s="54">
        <f>VLOOKUP(J18,'【3】大区填-楼栋基准格局定价'!B:H,7,0)</f>
        <v>1579.858</v>
      </c>
      <c r="M18" s="55" t="str">
        <f t="shared" si="4"/>
        <v>较狭小</v>
      </c>
      <c r="N18" s="55">
        <v>12.51</v>
      </c>
      <c r="O18" s="51">
        <f>VLOOKUP($M$1&amp;M18,【1】定价因子!E:F,2,0)</f>
        <v>0.95</v>
      </c>
      <c r="P18" s="51" t="str">
        <f>IF(COUNTIFS(户型资产表!E:E,I18,户型资产表!H:H,"阳台门")&gt;0,"有","无")</f>
        <v>无</v>
      </c>
      <c r="Q18" s="51">
        <f>VLOOKUP($P$1&amp;P18,【1】定价因子!E:F,2,0)</f>
        <v>1</v>
      </c>
      <c r="R18" s="51" t="str">
        <f>IF('【2】运营中心填-基本信息&amp;审核标准'!$D$4="是","无",IF(INT(H18/100)&gt;9,"9F",INT(H18/100)&amp;"F"))</f>
        <v>3F</v>
      </c>
      <c r="S18" s="51">
        <f>VLOOKUP(R18,【1】定价因子!D:F,3,0)</f>
        <v>1.01</v>
      </c>
      <c r="T18" s="51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无</v>
      </c>
      <c r="U18" s="51">
        <f>VLOOKUP($T$1&amp;T18,【1】定价因子!E:F,2,0)</f>
        <v>1</v>
      </c>
      <c r="V18" s="51" t="str">
        <f>IF(COUNTIFS(户型资产表!E:E,I18,户型资产表!H:H,"操作台")&gt;0,"有","无")</f>
        <v>有</v>
      </c>
      <c r="W18" s="51" t="str">
        <f>IF(COUNTIFS(户型资产表!E:E,I18,户型资产表!H:H,"书桌")&gt;0,"有","无")</f>
        <v>有</v>
      </c>
      <c r="X18" s="51" t="str" cm="1">
        <f t="array" ref="X18">IF(SUMPRODUCT((户型资产表!E:E=I18)*((户型资产表!I:I="沙发01单人")+(户型资产表!I:I="单人沙发02")+(户型资产表!I:I="租赁-单人沙发02")+(户型资产表!I:I="租赁-沙发01单人")))&gt;0,"有","无")</f>
        <v>无</v>
      </c>
      <c r="Y18" s="51" t="str" cm="1">
        <f t="array" ref="Y18">IF(SUMPRODUCT((户型资产表!E:E=I18)*((户型资产表!I:I="沙发02两人")+(户型资产表!I:I="双人沙发01")+(户型资产表!I:I="租赁-沙发02两人")+(户型资产表!I:I="租赁-双人沙发01")))&gt;0,"有","无")</f>
        <v>无</v>
      </c>
      <c r="Z18" s="51" t="str">
        <f>IF(COUNTIFS(户型资产表!E:E,I18,户型资产表!H:H,"餐桌")&gt;0,"有","无")</f>
        <v>无</v>
      </c>
      <c r="AA18" s="51" t="str">
        <f>IF(COUNTIFS(户型资产表!E:E,I18,户型资产表!H:H,"吸油烟机")&gt;0,"有","无")</f>
        <v>无</v>
      </c>
      <c r="AB18" s="51" t="str">
        <f>IF(COUNTIFS(户型资产表!E:E,I18,户型资产表!H:H,"冰箱")&gt;0,"有","无")</f>
        <v>无</v>
      </c>
      <c r="AC18" s="51" t="str">
        <f>IF(COUNTIFS(户型资产表!E:E,I18,户型资产表!H:H,"电视柜")&gt;0,"有","无")</f>
        <v>无</v>
      </c>
      <c r="AD18" s="55" t="str">
        <f t="shared" si="5"/>
        <v>适中</v>
      </c>
      <c r="AE18" s="51">
        <f>VLOOKUP($AD$1&amp;AD18,【1】定价因子!E:F,2,0)</f>
        <v>1</v>
      </c>
      <c r="AF18" s="55" t="str">
        <f t="shared" si="6"/>
        <v>适中</v>
      </c>
      <c r="AG18" s="51">
        <f>VLOOKUP($AF$1&amp;AF18,【1】定价因子!E:F,2,0)</f>
        <v>1</v>
      </c>
      <c r="AH18" s="55" t="str">
        <f t="shared" si="7"/>
        <v>适中</v>
      </c>
      <c r="AI18" s="51">
        <f>VLOOKUP($AH$1&amp;AH18,【1】定价因子!E:F,2,0)</f>
        <v>1</v>
      </c>
      <c r="AJ18" s="51" t="str">
        <f>VLOOKUP(H18,'【3-1】大区填-采光基本要素'!A:H,8,0)</f>
        <v>1</v>
      </c>
      <c r="AK18" s="51">
        <f>VLOOKUP($AJ$1&amp;AJ18,【1】定价因子!E:F,2,0)</f>
        <v>0.91</v>
      </c>
      <c r="AL18" s="56">
        <f t="shared" si="8"/>
        <v>1379.44511341</v>
      </c>
      <c r="AM18" s="51">
        <v>1010</v>
      </c>
      <c r="AN18" s="57">
        <f t="shared" si="9"/>
        <v>-0.267821539123604</v>
      </c>
      <c r="AO18" s="55">
        <f>SUMIFS(户型资产表!M:M,户型资产表!I:I,"*租赁*",户型资产表!E:E,I18)</f>
        <v>224.54</v>
      </c>
      <c r="AP18" s="58">
        <f t="shared" si="10"/>
        <v>785.46</v>
      </c>
      <c r="AQ18" s="34">
        <v>1330</v>
      </c>
    </row>
    <row r="19" s="35" customFormat="1" ht="14.15" spans="1:43">
      <c r="A19" s="69" t="str">
        <f>'【2】运营中心填-基本信息&amp;审核标准'!$E$2</f>
        <v>东福围西街30栋</v>
      </c>
      <c r="B19" s="13">
        <f t="shared" ref="B19:B82" si="11">INT(H19/100)</f>
        <v>4</v>
      </c>
      <c r="C19" s="13">
        <f t="shared" si="1"/>
        <v>14</v>
      </c>
      <c r="D19" s="13">
        <f t="shared" si="2"/>
        <v>42</v>
      </c>
      <c r="E19" s="13"/>
      <c r="F19" s="13">
        <f t="shared" si="3"/>
        <v>14</v>
      </c>
      <c r="G19" s="13"/>
      <c r="H19" s="70">
        <v>401</v>
      </c>
      <c r="I19" s="71" t="s">
        <v>515</v>
      </c>
      <c r="J19" s="71" t="s">
        <v>43</v>
      </c>
      <c r="K19" s="13" t="str" cm="1">
        <f t="array" ref="K19">IFERROR(INDEX($J$2:$J$75,MATCH(0,IF(ISBLANK($J$2:$J$75),1,COUNTIF($K$1:K18,$J$2:$J$75)),0)),"")</f>
        <v/>
      </c>
      <c r="L19" s="72">
        <f>VLOOKUP(J19,'【3】大区填-楼栋基准格局定价'!B:H,7,0)</f>
        <v>2354.45</v>
      </c>
      <c r="M19" s="73" t="str">
        <f t="shared" si="4"/>
        <v>很狭小</v>
      </c>
      <c r="N19" s="73">
        <v>19.57</v>
      </c>
      <c r="O19" s="64">
        <f>VLOOKUP($M$1&amp;M19,【1】定价因子!E:F,2,0)</f>
        <v>0.9</v>
      </c>
      <c r="P19" s="64" t="str">
        <f>IF(COUNTIFS(户型资产表!E:E,I19,户型资产表!H:H,"阳台门")&gt;0,"有","无")</f>
        <v>无</v>
      </c>
      <c r="Q19" s="64">
        <f>VLOOKUP($P$1&amp;P19,【1】定价因子!E:F,2,0)</f>
        <v>1</v>
      </c>
      <c r="R19" s="64" t="str">
        <f>IF('【2】运营中心填-基本信息&amp;审核标准'!$D$4="是","无",IF(INT(H19/100)&gt;9,"9F",INT(H19/100)&amp;"F"))</f>
        <v>4F</v>
      </c>
      <c r="S19" s="64">
        <f>VLOOKUP(R19,【1】定价因子!D:F,3,0)</f>
        <v>1</v>
      </c>
      <c r="T19" s="64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无</v>
      </c>
      <c r="U19" s="64">
        <f>VLOOKUP($T$1&amp;T19,【1】定价因子!E:F,2,0)</f>
        <v>1</v>
      </c>
      <c r="V19" s="64" t="str">
        <f>IF(COUNTIFS(户型资产表!E:E,I19,户型资产表!H:H,"操作台")&gt;0,"有","无")</f>
        <v>有</v>
      </c>
      <c r="W19" s="64" t="str">
        <f>IF(COUNTIFS(户型资产表!E:E,I19,户型资产表!H:H,"书桌")&gt;0,"有","无")</f>
        <v>无</v>
      </c>
      <c r="X19" s="64" t="str" cm="1">
        <f t="array" ref="X19">IF(SUMPRODUCT((户型资产表!E:E=I19)*((户型资产表!I:I="沙发01单人")+(户型资产表!I:I="单人沙发02")+(户型资产表!I:I="租赁-单人沙发02")+(户型资产表!I:I="租赁-沙发01单人")))&gt;0,"有","无")</f>
        <v>无</v>
      </c>
      <c r="Y19" s="64" t="str" cm="1">
        <f t="array" ref="Y19">IF(SUMPRODUCT((户型资产表!E:E=I19)*((户型资产表!I:I="沙发02两人")+(户型资产表!I:I="双人沙发01")+(户型资产表!I:I="租赁-沙发02两人")+(户型资产表!I:I="租赁-双人沙发01")))&gt;0,"有","无")</f>
        <v>有</v>
      </c>
      <c r="Z19" s="64" t="str">
        <f>IF(COUNTIFS(户型资产表!E:E,I19,户型资产表!H:H,"餐桌")&gt;0,"有","无")</f>
        <v>有</v>
      </c>
      <c r="AA19" s="64" t="str">
        <f>IF(COUNTIFS(户型资产表!E:E,I19,户型资产表!H:H,"吸油烟机")&gt;0,"有","无")</f>
        <v>无</v>
      </c>
      <c r="AB19" s="64" t="str">
        <f>IF(COUNTIFS(户型资产表!E:E,I19,户型资产表!H:H,"冰箱")&gt;0,"有","无")</f>
        <v>无</v>
      </c>
      <c r="AC19" s="64" t="str">
        <f>IF(COUNTIFS(户型资产表!E:E,I19,户型资产表!H:H,"电视柜")&gt;0,"有","无")</f>
        <v>无</v>
      </c>
      <c r="AD19" s="63" t="str">
        <f t="shared" ref="AD19:AD32" si="12">IF(J19="开间",IF(AND(V19="无",W19="无"),"缺失",IF(AND(V19="无",W19="有"),"缺失（操作台）",IF(AND(V19="有",W19="无"),"缺失（书桌）",IF(AND(V19="有",W19="有"),IF(OR(AA19="有",Y19="有"),"充足（油烟机/双人沙发）",IF(OR(X19="有",Z19="有"),"充足（单人沙发/餐桌）",IF(AND(OR(X19="有",Y19="有"),Z19="有"),"非常充足","适中"))),"")))),"适中")</f>
        <v>适中</v>
      </c>
      <c r="AE19" s="64">
        <f>VLOOKUP($AD$1&amp;AD19,【1】定价因子!E:F,2,0)</f>
        <v>1</v>
      </c>
      <c r="AF19" s="63" t="str">
        <f t="shared" ref="AF19:AF32" si="13">IF(J19="一居室",IF(AND(V19="无",Y19="无",Z19="无"),"缺失",IF(OR(AND(Z19="有",V19="无",Y19="无"),AND(Z19="有",V19="无",Y19="有"),AND(Z19="有",V19="有",Y19="无"),AND(Z19="无",V19="有",Y19="无"),AND(Z19="无",V19="无",Y19="有")),"缺失（操作台/双人沙发）",IF(AND(V19="有",Y19="有",Z19="无"),"缺失（餐桌）",IF(AND(V19="有",Y19="有",Z19="有"),IF(AND(W19="无",AA19="有"),"充配（油烟机）",IF(AND(W19="有",AA19="无"),"充配（书桌）",IF(AND(W19="有",AA19="有"),"非常充配","适中"))),"")))),"适中")</f>
        <v>适中</v>
      </c>
      <c r="AG19" s="64">
        <f>VLOOKUP($AF$1&amp;AF19,【1】定价因子!E:F,2,0)</f>
        <v>1</v>
      </c>
      <c r="AH19" s="63" t="str">
        <f t="shared" ref="AH19:AH32" si="14">IF(J19="二居室",IF(AND(Y19="无",Z19="无",AC19="无",V19="无"),"缺失",IF(OR(AND(Y19="无",Z19="无",AC19="有"),AND(Y19="无",Z19="无",V19="有"),AND(Y19="无",Z19="无",AC19="有",V19="有"),AND(Y19="无",Z19="有",AC19="无"),AND(Y19="无",Z19="有",V19="无"),AND(Y19="无",Z19="有",AC19="有"),AND(Y19="无",Z19="有",V19="有"),AND(Y19="有",Z19="无",AC19="无"),AND(Y19="有",Z19="无",V19="无"),AND(Y19="有",Z19="无",AC19="有"),AND(Y19="有",Z19="无",V19="有")),"缺失（沙发/餐桌）",IF(AND(Y19="有",Z19="有",OR(AC19="无",V19="无")),"缺失（电视柜/操作台）",IF(AND(Y19="有",Z19="有",AC19="有",V19="有"),IF(OR(AA19="有",AB19="有"),"充配（油烟机/冰箱）",IF(AND(AA19="无",AB19="无"),"适中","")),"")))),"适中")</f>
        <v>适中</v>
      </c>
      <c r="AI19" s="64">
        <f>VLOOKUP($AH$1&amp;AH19,【1】定价因子!E:F,2,0)</f>
        <v>1</v>
      </c>
      <c r="AJ19" s="69" t="str">
        <f>VLOOKUP(H19,'【3-1】大区填-采光基本要素'!A:H,8,0)</f>
        <v>1</v>
      </c>
      <c r="AK19" s="64">
        <f>VLOOKUP($AJ$1&amp;AJ19,【1】定价因子!E:F,2,0)</f>
        <v>0.91</v>
      </c>
      <c r="AL19" s="74">
        <f t="shared" ref="AL19:AL32" si="15">L19*PRODUCT(AG19,AK19,AE19,U19,S19,Q19,O19)</f>
        <v>1928.29455</v>
      </c>
      <c r="AM19" s="69">
        <v>1730</v>
      </c>
      <c r="AN19" s="75">
        <f t="shared" ref="AN19:AN32" si="16">AM19/AL19-1</f>
        <v>-0.102834159853846</v>
      </c>
      <c r="AO19" s="73">
        <f>SUMIFS(户型资产表!M:M,户型资产表!I:I,"*租赁*",户型资产表!E:E,I19)</f>
        <v>276.06</v>
      </c>
      <c r="AP19" s="76">
        <f t="shared" si="10"/>
        <v>1453.94</v>
      </c>
    </row>
    <row r="20" s="36" customFormat="1" ht="14.15" spans="1:43">
      <c r="A20" s="77" t="str">
        <f>'【2】运营中心填-基本信息&amp;审核标准'!$E$2</f>
        <v>东福围西街30栋</v>
      </c>
      <c r="B20" s="13">
        <f t="shared" si="11"/>
        <v>4</v>
      </c>
      <c r="C20" s="13">
        <f t="shared" si="1"/>
        <v>14</v>
      </c>
      <c r="D20" s="13">
        <f t="shared" si="2"/>
        <v>42</v>
      </c>
      <c r="E20" s="13"/>
      <c r="F20" s="13">
        <f t="shared" si="3"/>
        <v>14</v>
      </c>
      <c r="G20" s="13"/>
      <c r="H20" s="78">
        <v>402</v>
      </c>
      <c r="I20" s="79" t="s">
        <v>516</v>
      </c>
      <c r="J20" s="79" t="s">
        <v>43</v>
      </c>
      <c r="K20" s="13" t="str" cm="1">
        <f t="array" ref="K20">IFERROR(INDEX($J$2:$J$75,MATCH(0,IF(ISBLANK($J$2:$J$75),1,COUNTIF($K$1:K19,$J$2:$J$75)),0)),"")</f>
        <v/>
      </c>
      <c r="L20" s="80">
        <f>VLOOKUP(J20,'【3】大区填-楼栋基准格局定价'!B:H,7,0)</f>
        <v>2354.45</v>
      </c>
      <c r="M20" s="81" t="str">
        <f t="shared" si="4"/>
        <v>适中</v>
      </c>
      <c r="N20" s="81">
        <v>24.96</v>
      </c>
      <c r="O20" s="64">
        <f>VLOOKUP($M$1&amp;M20,【1】定价因子!E:F,2,0)</f>
        <v>1</v>
      </c>
      <c r="P20" s="64" t="str">
        <f>IF(COUNTIFS(户型资产表!E:E,I20,户型资产表!H:H,"阳台门")&gt;0,"有","无")</f>
        <v>有</v>
      </c>
      <c r="Q20" s="64">
        <f>VLOOKUP($P$1&amp;P20,【1】定价因子!E:F,2,0)</f>
        <v>1.07</v>
      </c>
      <c r="R20" s="64" t="str">
        <f>IF('【2】运营中心填-基本信息&amp;审核标准'!$D$4="是","无",IF(INT(H20/100)&gt;9,"9F",INT(H20/100)&amp;"F"))</f>
        <v>4F</v>
      </c>
      <c r="S20" s="64">
        <f>VLOOKUP(R20,【1】定价因子!D:F,3,0)</f>
        <v>1</v>
      </c>
      <c r="T20" s="64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无</v>
      </c>
      <c r="U20" s="64">
        <f>VLOOKUP($T$1&amp;T20,【1】定价因子!E:F,2,0)</f>
        <v>1</v>
      </c>
      <c r="V20" s="64" t="str">
        <f>IF(COUNTIFS(户型资产表!E:E,I20,户型资产表!H:H,"操作台")&gt;0,"有","无")</f>
        <v>有</v>
      </c>
      <c r="W20" s="64" t="str">
        <f>IF(COUNTIFS(户型资产表!E:E,I20,户型资产表!H:H,"书桌")&gt;0,"有","无")</f>
        <v>无</v>
      </c>
      <c r="X20" s="64" t="str" cm="1">
        <f t="array" ref="X20">IF(SUMPRODUCT((户型资产表!E:E=I20)*((户型资产表!I:I="沙发01单人")+(户型资产表!I:I="单人沙发02")+(户型资产表!I:I="租赁-单人沙发02")+(户型资产表!I:I="租赁-沙发01单人")))&gt;0,"有","无")</f>
        <v>无</v>
      </c>
      <c r="Y20" s="64" t="str" cm="1">
        <f t="array" ref="Y20">IF(SUMPRODUCT((户型资产表!E:E=I20)*((户型资产表!I:I="沙发02两人")+(户型资产表!I:I="双人沙发01")+(户型资产表!I:I="租赁-沙发02两人")+(户型资产表!I:I="租赁-双人沙发01")))&gt;0,"有","无")</f>
        <v>有</v>
      </c>
      <c r="Z20" s="64" t="str">
        <f>IF(COUNTIFS(户型资产表!E:E,I20,户型资产表!H:H,"餐桌")&gt;0,"有","无")</f>
        <v>有</v>
      </c>
      <c r="AA20" s="64" t="str">
        <f>IF(COUNTIFS(户型资产表!E:E,I20,户型资产表!H:H,"吸油烟机")&gt;0,"有","无")</f>
        <v>无</v>
      </c>
      <c r="AB20" s="64" t="str">
        <f>IF(COUNTIFS(户型资产表!E:E,I20,户型资产表!H:H,"冰箱")&gt;0,"有","无")</f>
        <v>无</v>
      </c>
      <c r="AC20" s="64" t="str">
        <f>IF(COUNTIFS(户型资产表!E:E,I20,户型资产表!H:H,"电视柜")&gt;0,"有","无")</f>
        <v>无</v>
      </c>
      <c r="AD20" s="63" t="str">
        <f t="shared" si="12"/>
        <v>适中</v>
      </c>
      <c r="AE20" s="64">
        <f>VLOOKUP($AD$1&amp;AD20,【1】定价因子!E:F,2,0)</f>
        <v>1</v>
      </c>
      <c r="AF20" s="63" t="str">
        <f t="shared" si="13"/>
        <v>适中</v>
      </c>
      <c r="AG20" s="64">
        <f>VLOOKUP($AF$1&amp;AF20,【1】定价因子!E:F,2,0)</f>
        <v>1</v>
      </c>
      <c r="AH20" s="63" t="str">
        <f t="shared" si="14"/>
        <v>适中</v>
      </c>
      <c r="AI20" s="64">
        <f>VLOOKUP($AH$1&amp;AH20,【1】定价因子!E:F,2,0)</f>
        <v>1</v>
      </c>
      <c r="AJ20" s="77" t="str">
        <f>VLOOKUP(H20,'【3-1】大区填-采光基本要素'!A:H,8,0)</f>
        <v>1</v>
      </c>
      <c r="AK20" s="64">
        <f>VLOOKUP($AJ$1&amp;AJ20,【1】定价因子!E:F,2,0)</f>
        <v>0.91</v>
      </c>
      <c r="AL20" s="82">
        <f t="shared" si="15"/>
        <v>2292.527965</v>
      </c>
      <c r="AM20" s="77">
        <v>2160</v>
      </c>
      <c r="AN20" s="83">
        <f t="shared" si="16"/>
        <v>-0.0578086579633066</v>
      </c>
      <c r="AO20" s="81">
        <f>SUMIFS(户型资产表!M:M,户型资产表!I:I,"*租赁*",户型资产表!E:E,I20)</f>
        <v>287.38</v>
      </c>
      <c r="AP20" s="84">
        <f t="shared" si="10"/>
        <v>1872.62</v>
      </c>
    </row>
    <row r="21" ht="14.15" spans="1:43">
      <c r="A21" s="59" t="str">
        <f>'【2】运营中心填-基本信息&amp;审核标准'!$E$2</f>
        <v>东福围西街30栋</v>
      </c>
      <c r="B21" s="13">
        <f t="shared" si="11"/>
        <v>4</v>
      </c>
      <c r="C21" s="13">
        <f t="shared" si="1"/>
        <v>14</v>
      </c>
      <c r="D21" s="13">
        <f t="shared" si="2"/>
        <v>42</v>
      </c>
      <c r="E21" s="13"/>
      <c r="F21" s="13">
        <f t="shared" si="3"/>
        <v>14</v>
      </c>
      <c r="G21" s="13"/>
      <c r="H21" s="60">
        <v>403</v>
      </c>
      <c r="I21" s="61" t="s">
        <v>517</v>
      </c>
      <c r="J21" s="61" t="s">
        <v>40</v>
      </c>
      <c r="K21" s="13" t="str" cm="1">
        <f t="array" ref="K21">IFERROR(INDEX($J$2:$J$75,MATCH(0,IF(ISBLANK($J$2:$J$75),1,COUNTIF($K$1:K20,$J$2:$J$75)),0)),"")</f>
        <v/>
      </c>
      <c r="L21" s="62">
        <f>VLOOKUP(J21,'【3】大区填-楼栋基准格局定价'!B:H,7,0)</f>
        <v>1579.858</v>
      </c>
      <c r="M21" s="63" t="str">
        <f t="shared" si="4"/>
        <v>适中</v>
      </c>
      <c r="N21" s="63">
        <v>15.5</v>
      </c>
      <c r="O21" s="64">
        <f>VLOOKUP($M$1&amp;M21,【1】定价因子!E:F,2,0)</f>
        <v>1</v>
      </c>
      <c r="P21" s="64" t="str">
        <f>IF(COUNTIFS(户型资产表!E:E,I21,户型资产表!H:H,"阳台门")&gt;0,"有","无")</f>
        <v>无</v>
      </c>
      <c r="Q21" s="64">
        <f>VLOOKUP($P$1&amp;P21,【1】定价因子!E:F,2,0)</f>
        <v>1</v>
      </c>
      <c r="R21" s="64" t="str">
        <f>IF('【2】运营中心填-基本信息&amp;审核标准'!$D$4="是","无",IF(INT(H21/100)&gt;9,"9F",INT(H21/100)&amp;"F"))</f>
        <v>4F</v>
      </c>
      <c r="S21" s="64">
        <f>VLOOKUP(R21,【1】定价因子!D:F,3,0)</f>
        <v>1</v>
      </c>
      <c r="T21" s="64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无</v>
      </c>
      <c r="U21" s="64">
        <f>VLOOKUP($T$1&amp;T21,【1】定价因子!E:F,2,0)</f>
        <v>1</v>
      </c>
      <c r="V21" s="64" t="str">
        <f>IF(COUNTIFS(户型资产表!E:E,I21,户型资产表!H:H,"操作台")&gt;0,"有","无")</f>
        <v>有</v>
      </c>
      <c r="W21" s="64" t="str">
        <f>IF(COUNTIFS(户型资产表!E:E,I21,户型资产表!H:H,"书桌")&gt;0,"有","无")</f>
        <v>有</v>
      </c>
      <c r="X21" s="64" t="str" cm="1">
        <f t="array" ref="X21">IF(SUMPRODUCT((户型资产表!E:E=I21)*((户型资产表!I:I="沙发01单人")+(户型资产表!I:I="单人沙发02")+(户型资产表!I:I="租赁-单人沙发02")+(户型资产表!I:I="租赁-沙发01单人")))&gt;0,"有","无")</f>
        <v>无</v>
      </c>
      <c r="Y21" s="64" t="str" cm="1">
        <f t="array" ref="Y21">IF(SUMPRODUCT((户型资产表!E:E=I21)*((户型资产表!I:I="沙发02两人")+(户型资产表!I:I="双人沙发01")+(户型资产表!I:I="租赁-沙发02两人")+(户型资产表!I:I="租赁-双人沙发01")))&gt;0,"有","无")</f>
        <v>无</v>
      </c>
      <c r="Z21" s="64" t="str">
        <f>IF(COUNTIFS(户型资产表!E:E,I21,户型资产表!H:H,"餐桌")&gt;0,"有","无")</f>
        <v>无</v>
      </c>
      <c r="AA21" s="64" t="str">
        <f>IF(COUNTIFS(户型资产表!E:E,I21,户型资产表!H:H,"吸油烟机")&gt;0,"有","无")</f>
        <v>无</v>
      </c>
      <c r="AB21" s="64" t="str">
        <f>IF(COUNTIFS(户型资产表!E:E,I21,户型资产表!H:H,"冰箱")&gt;0,"有","无")</f>
        <v>无</v>
      </c>
      <c r="AC21" s="64" t="str">
        <f>IF(COUNTIFS(户型资产表!E:E,I21,户型资产表!H:H,"电视柜")&gt;0,"有","无")</f>
        <v>无</v>
      </c>
      <c r="AD21" s="63" t="str">
        <f t="shared" si="12"/>
        <v>适中</v>
      </c>
      <c r="AE21" s="64">
        <f>VLOOKUP($AD$1&amp;AD21,【1】定价因子!E:F,2,0)</f>
        <v>1</v>
      </c>
      <c r="AF21" s="63" t="str">
        <f t="shared" si="13"/>
        <v>适中</v>
      </c>
      <c r="AG21" s="64">
        <f>VLOOKUP($AF$1&amp;AF21,【1】定价因子!E:F,2,0)</f>
        <v>1</v>
      </c>
      <c r="AH21" s="63" t="str">
        <f t="shared" si="14"/>
        <v>适中</v>
      </c>
      <c r="AI21" s="64">
        <f>VLOOKUP($AH$1&amp;AH21,【1】定价因子!E:F,2,0)</f>
        <v>1</v>
      </c>
      <c r="AJ21" s="64" t="str">
        <f>VLOOKUP(H21,'【3-1】大区填-采光基本要素'!A:H,8,0)</f>
        <v>1</v>
      </c>
      <c r="AK21" s="64">
        <f>VLOOKUP($AJ$1&amp;AJ21,【1】定价因子!E:F,2,0)</f>
        <v>0.91</v>
      </c>
      <c r="AL21" s="65">
        <f t="shared" si="15"/>
        <v>1437.67078</v>
      </c>
      <c r="AM21" s="13">
        <v>1390</v>
      </c>
      <c r="AN21" s="66">
        <f t="shared" si="16"/>
        <v>-0.0331583424127184</v>
      </c>
      <c r="AO21" s="67">
        <f>SUMIFS(户型资产表!M:M,户型资产表!I:I,"*租赁*",户型资产表!E:E,I21)</f>
        <v>232.39</v>
      </c>
      <c r="AP21" s="68">
        <f t="shared" si="10"/>
        <v>1157.61</v>
      </c>
    </row>
    <row r="22" ht="14.15" spans="1:43">
      <c r="A22" s="59" t="str">
        <f>'【2】运营中心填-基本信息&amp;审核标准'!$E$2</f>
        <v>东福围西街30栋</v>
      </c>
      <c r="B22" s="13">
        <f t="shared" si="11"/>
        <v>4</v>
      </c>
      <c r="C22" s="13">
        <f t="shared" si="1"/>
        <v>14</v>
      </c>
      <c r="D22" s="13">
        <f t="shared" si="2"/>
        <v>42</v>
      </c>
      <c r="E22" s="13"/>
      <c r="F22" s="13">
        <f t="shared" si="3"/>
        <v>14</v>
      </c>
      <c r="G22" s="13"/>
      <c r="H22" s="60">
        <v>404</v>
      </c>
      <c r="I22" s="61" t="s">
        <v>518</v>
      </c>
      <c r="J22" s="61" t="s">
        <v>40</v>
      </c>
      <c r="K22" s="13" t="str" cm="1">
        <f t="array" ref="K22">IFERROR(INDEX($J$2:$J$75,MATCH(0,IF(ISBLANK($J$2:$J$75),1,COUNTIF($K$1:K21,$J$2:$J$75)),0)),"")</f>
        <v/>
      </c>
      <c r="L22" s="62">
        <f>VLOOKUP(J22,'【3】大区填-楼栋基准格局定价'!B:H,7,0)</f>
        <v>1579.858</v>
      </c>
      <c r="M22" s="63" t="str">
        <f t="shared" si="4"/>
        <v>适中</v>
      </c>
      <c r="N22" s="63">
        <v>16.94</v>
      </c>
      <c r="O22" s="64">
        <f>VLOOKUP($M$1&amp;M22,【1】定价因子!E:F,2,0)</f>
        <v>1</v>
      </c>
      <c r="P22" s="64" t="str">
        <f>IF(COUNTIFS(户型资产表!E:E,I22,户型资产表!H:H,"阳台门")&gt;0,"有","无")</f>
        <v>有</v>
      </c>
      <c r="Q22" s="64">
        <f>VLOOKUP($P$1&amp;P22,【1】定价因子!E:F,2,0)</f>
        <v>1.07</v>
      </c>
      <c r="R22" s="64" t="str">
        <f>IF('【2】运营中心填-基本信息&amp;审核标准'!$D$4="是","无",IF(INT(H22/100)&gt;9,"9F",INT(H22/100)&amp;"F"))</f>
        <v>4F</v>
      </c>
      <c r="S22" s="64">
        <f>VLOOKUP(R22,【1】定价因子!D:F,3,0)</f>
        <v>1</v>
      </c>
      <c r="T22" s="64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无</v>
      </c>
      <c r="U22" s="64">
        <f>VLOOKUP($T$1&amp;T22,【1】定价因子!E:F,2,0)</f>
        <v>1</v>
      </c>
      <c r="V22" s="64" t="str">
        <f>IF(COUNTIFS(户型资产表!E:E,I22,户型资产表!H:H,"操作台")&gt;0,"有","无")</f>
        <v>有</v>
      </c>
      <c r="W22" s="64" t="str">
        <f>IF(COUNTIFS(户型资产表!E:E,I22,户型资产表!H:H,"书桌")&gt;0,"有","无")</f>
        <v>有</v>
      </c>
      <c r="X22" s="64" t="str" cm="1">
        <f t="array" ref="X22">IF(SUMPRODUCT((户型资产表!E:E=I22)*((户型资产表!I:I="沙发01单人")+(户型资产表!I:I="单人沙发02")+(户型资产表!I:I="租赁-单人沙发02")+(户型资产表!I:I="租赁-沙发01单人")))&gt;0,"有","无")</f>
        <v>无</v>
      </c>
      <c r="Y22" s="64" t="str" cm="1">
        <f t="array" ref="Y22">IF(SUMPRODUCT((户型资产表!E:E=I22)*((户型资产表!I:I="沙发02两人")+(户型资产表!I:I="双人沙发01")+(户型资产表!I:I="租赁-沙发02两人")+(户型资产表!I:I="租赁-双人沙发01")))&gt;0,"有","无")</f>
        <v>无</v>
      </c>
      <c r="Z22" s="64" t="str">
        <f>IF(COUNTIFS(户型资产表!E:E,I22,户型资产表!H:H,"餐桌")&gt;0,"有","无")</f>
        <v>无</v>
      </c>
      <c r="AA22" s="64" t="str">
        <f>IF(COUNTIFS(户型资产表!E:E,I22,户型资产表!H:H,"吸油烟机")&gt;0,"有","无")</f>
        <v>无</v>
      </c>
      <c r="AB22" s="64" t="str">
        <f>IF(COUNTIFS(户型资产表!E:E,I22,户型资产表!H:H,"冰箱")&gt;0,"有","无")</f>
        <v>无</v>
      </c>
      <c r="AC22" s="64" t="str">
        <f>IF(COUNTIFS(户型资产表!E:E,I22,户型资产表!H:H,"电视柜")&gt;0,"有","无")</f>
        <v>无</v>
      </c>
      <c r="AD22" s="63" t="str">
        <f t="shared" si="12"/>
        <v>适中</v>
      </c>
      <c r="AE22" s="64">
        <f>VLOOKUP($AD$1&amp;AD22,【1】定价因子!E:F,2,0)</f>
        <v>1</v>
      </c>
      <c r="AF22" s="63" t="str">
        <f t="shared" si="13"/>
        <v>适中</v>
      </c>
      <c r="AG22" s="64">
        <f>VLOOKUP($AF$1&amp;AF22,【1】定价因子!E:F,2,0)</f>
        <v>1</v>
      </c>
      <c r="AH22" s="63" t="str">
        <f t="shared" si="14"/>
        <v>适中</v>
      </c>
      <c r="AI22" s="64">
        <f>VLOOKUP($AH$1&amp;AH22,【1】定价因子!E:F,2,0)</f>
        <v>1</v>
      </c>
      <c r="AJ22" s="64" t="str">
        <f>VLOOKUP(H22,'【3-1】大区填-采光基本要素'!A:H,8,0)</f>
        <v>1</v>
      </c>
      <c r="AK22" s="64">
        <f>VLOOKUP($AJ$1&amp;AJ22,【1】定价因子!E:F,2,0)</f>
        <v>0.91</v>
      </c>
      <c r="AL22" s="65">
        <f t="shared" si="15"/>
        <v>1538.3077346</v>
      </c>
      <c r="AM22" s="13">
        <v>1480</v>
      </c>
      <c r="AN22" s="66">
        <f t="shared" si="16"/>
        <v>-0.037903816829707</v>
      </c>
      <c r="AO22" s="67">
        <f>SUMIFS(户型资产表!M:M,户型资产表!I:I,"*租赁*",户型资产表!E:E,I22)</f>
        <v>235.32</v>
      </c>
      <c r="AP22" s="68">
        <f t="shared" si="10"/>
        <v>1244.68</v>
      </c>
    </row>
    <row r="23" s="35" customFormat="1" ht="14.15" spans="1:43">
      <c r="A23" s="69" t="str">
        <f>'【2】运营中心填-基本信息&amp;审核标准'!$E$2</f>
        <v>东福围西街30栋</v>
      </c>
      <c r="B23" s="13">
        <f t="shared" si="11"/>
        <v>4</v>
      </c>
      <c r="C23" s="13">
        <f t="shared" si="1"/>
        <v>14</v>
      </c>
      <c r="D23" s="13">
        <f t="shared" si="2"/>
        <v>42</v>
      </c>
      <c r="E23" s="13"/>
      <c r="F23" s="13">
        <f t="shared" si="3"/>
        <v>14</v>
      </c>
      <c r="G23" s="13"/>
      <c r="H23" s="70">
        <v>405</v>
      </c>
      <c r="I23" s="71" t="s">
        <v>519</v>
      </c>
      <c r="J23" s="71" t="s">
        <v>43</v>
      </c>
      <c r="K23" s="13" t="str" cm="1">
        <f t="array" ref="K23">IFERROR(INDEX($J$2:$J$75,MATCH(0,IF(ISBLANK($J$2:$J$75),1,COUNTIF($K$1:K22,$J$2:$J$75)),0)),"")</f>
        <v/>
      </c>
      <c r="L23" s="72">
        <f>VLOOKUP(J23,'【3】大区填-楼栋基准格局定价'!B:H,7,0)</f>
        <v>2354.45</v>
      </c>
      <c r="M23" s="73" t="str">
        <f t="shared" si="4"/>
        <v>较宽敞</v>
      </c>
      <c r="N23" s="73">
        <v>27.55</v>
      </c>
      <c r="O23" s="64">
        <f>VLOOKUP($M$1&amp;M23,【1】定价因子!E:F,2,0)</f>
        <v>1.06</v>
      </c>
      <c r="P23" s="64" t="str">
        <f>IF(COUNTIFS(户型资产表!E:E,I23,户型资产表!H:H,"阳台门")&gt;0,"有","无")</f>
        <v>有</v>
      </c>
      <c r="Q23" s="64">
        <f>VLOOKUP($P$1&amp;P23,【1】定价因子!E:F,2,0)</f>
        <v>1.07</v>
      </c>
      <c r="R23" s="64" t="str">
        <f>IF('【2】运营中心填-基本信息&amp;审核标准'!$D$4="是","无",IF(INT(H23/100)&gt;9,"9F",INT(H23/100)&amp;"F"))</f>
        <v>4F</v>
      </c>
      <c r="S23" s="64">
        <f>VLOOKUP(R23,【1】定价因子!D:F,3,0)</f>
        <v>1</v>
      </c>
      <c r="T23" s="64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无</v>
      </c>
      <c r="U23" s="64">
        <f>VLOOKUP($T$1&amp;T23,【1】定价因子!E:F,2,0)</f>
        <v>1</v>
      </c>
      <c r="V23" s="64" t="str">
        <f>IF(COUNTIFS(户型资产表!E:E,I23,户型资产表!H:H,"操作台")&gt;0,"有","无")</f>
        <v>有</v>
      </c>
      <c r="W23" s="64" t="str">
        <f>IF(COUNTIFS(户型资产表!E:E,I23,户型资产表!H:H,"书桌")&gt;0,"有","无")</f>
        <v>无</v>
      </c>
      <c r="X23" s="64" t="str" cm="1">
        <f t="array" ref="X23">IF(SUMPRODUCT((户型资产表!E:E=I23)*((户型资产表!I:I="沙发01单人")+(户型资产表!I:I="单人沙发02")+(户型资产表!I:I="租赁-单人沙发02")+(户型资产表!I:I="租赁-沙发01单人")))&gt;0,"有","无")</f>
        <v>无</v>
      </c>
      <c r="Y23" s="64" t="str" cm="1">
        <f t="array" ref="Y23">IF(SUMPRODUCT((户型资产表!E:E=I23)*((户型资产表!I:I="沙发02两人")+(户型资产表!I:I="双人沙发01")+(户型资产表!I:I="租赁-沙发02两人")+(户型资产表!I:I="租赁-双人沙发01")))&gt;0,"有","无")</f>
        <v>有</v>
      </c>
      <c r="Z23" s="64" t="str">
        <f>IF(COUNTIFS(户型资产表!E:E,I23,户型资产表!H:H,"餐桌")&gt;0,"有","无")</f>
        <v>有</v>
      </c>
      <c r="AA23" s="64" t="str">
        <f>IF(COUNTIFS(户型资产表!E:E,I23,户型资产表!H:H,"吸油烟机")&gt;0,"有","无")</f>
        <v>无</v>
      </c>
      <c r="AB23" s="64" t="str">
        <f>IF(COUNTIFS(户型资产表!E:E,I23,户型资产表!H:H,"冰箱")&gt;0,"有","无")</f>
        <v>无</v>
      </c>
      <c r="AC23" s="64" t="str">
        <f>IF(COUNTIFS(户型资产表!E:E,I23,户型资产表!H:H,"电视柜")&gt;0,"有","无")</f>
        <v>无</v>
      </c>
      <c r="AD23" s="63" t="str">
        <f t="shared" si="12"/>
        <v>适中</v>
      </c>
      <c r="AE23" s="64">
        <f>VLOOKUP($AD$1&amp;AD23,【1】定价因子!E:F,2,0)</f>
        <v>1</v>
      </c>
      <c r="AF23" s="63" t="str">
        <f t="shared" si="13"/>
        <v>适中</v>
      </c>
      <c r="AG23" s="64">
        <f>VLOOKUP($AF$1&amp;AF23,【1】定价因子!E:F,2,0)</f>
        <v>1</v>
      </c>
      <c r="AH23" s="63" t="str">
        <f t="shared" si="14"/>
        <v>适中</v>
      </c>
      <c r="AI23" s="64">
        <f>VLOOKUP($AH$1&amp;AH23,【1】定价因子!E:F,2,0)</f>
        <v>1</v>
      </c>
      <c r="AJ23" s="69" t="str">
        <f>VLOOKUP(H23,'【3-1】大区填-采光基本要素'!A:H,8,0)</f>
        <v>1</v>
      </c>
      <c r="AK23" s="64">
        <f>VLOOKUP($AJ$1&amp;AJ23,【1】定价因子!E:F,2,0)</f>
        <v>0.91</v>
      </c>
      <c r="AL23" s="74">
        <f t="shared" si="15"/>
        <v>2430.0796429</v>
      </c>
      <c r="AM23" s="69">
        <v>2080</v>
      </c>
      <c r="AN23" s="75">
        <f t="shared" si="16"/>
        <v>-0.144060975088958</v>
      </c>
      <c r="AO23" s="73">
        <f>SUMIFS(户型资产表!M:M,户型资产表!I:I,"*租赁*",户型资产表!E:E,I23)</f>
        <v>266.9</v>
      </c>
      <c r="AP23" s="76">
        <f t="shared" si="10"/>
        <v>1813.1</v>
      </c>
    </row>
    <row r="24" ht="14.15" spans="1:43">
      <c r="A24" s="59" t="str">
        <f>'【2】运营中心填-基本信息&amp;审核标准'!$E$2</f>
        <v>东福围西街30栋</v>
      </c>
      <c r="B24" s="13">
        <f t="shared" si="11"/>
        <v>4</v>
      </c>
      <c r="C24" s="13">
        <f t="shared" si="1"/>
        <v>14</v>
      </c>
      <c r="D24" s="13">
        <f t="shared" si="2"/>
        <v>42</v>
      </c>
      <c r="E24" s="13"/>
      <c r="F24" s="13">
        <f t="shared" si="3"/>
        <v>14</v>
      </c>
      <c r="G24" s="13"/>
      <c r="H24" s="60">
        <v>406</v>
      </c>
      <c r="I24" s="61" t="s">
        <v>520</v>
      </c>
      <c r="J24" s="61" t="s">
        <v>40</v>
      </c>
      <c r="K24" s="13" t="str" cm="1">
        <f t="array" ref="K24">IFERROR(INDEX($J$2:$J$75,MATCH(0,IF(ISBLANK($J$2:$J$75),1,COUNTIF($K$1:K23,$J$2:$J$75)),0)),"")</f>
        <v/>
      </c>
      <c r="L24" s="62">
        <f>VLOOKUP(J24,'【3】大区填-楼栋基准格局定价'!B:H,7,0)</f>
        <v>1579.858</v>
      </c>
      <c r="M24" s="63" t="str">
        <f t="shared" si="4"/>
        <v>很宽敞</v>
      </c>
      <c r="N24" s="63">
        <v>21.32</v>
      </c>
      <c r="O24" s="64">
        <f>VLOOKUP($M$1&amp;M24,【1】定价因子!E:F,2,0)</f>
        <v>1.1</v>
      </c>
      <c r="P24" s="64" t="str">
        <f>IF(COUNTIFS(户型资产表!E:E,I24,户型资产表!H:H,"阳台门")&gt;0,"有","无")</f>
        <v>有</v>
      </c>
      <c r="Q24" s="64">
        <f>VLOOKUP($P$1&amp;P24,【1】定价因子!E:F,2,0)</f>
        <v>1.07</v>
      </c>
      <c r="R24" s="64" t="str">
        <f>IF('【2】运营中心填-基本信息&amp;审核标准'!$D$4="是","无",IF(INT(H24/100)&gt;9,"9F",INT(H24/100)&amp;"F"))</f>
        <v>4F</v>
      </c>
      <c r="S24" s="64">
        <f>VLOOKUP(R24,【1】定价因子!D:F,3,0)</f>
        <v>1</v>
      </c>
      <c r="T24" s="64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无</v>
      </c>
      <c r="U24" s="64">
        <f>VLOOKUP($T$1&amp;T24,【1】定价因子!E:F,2,0)</f>
        <v>1</v>
      </c>
      <c r="V24" s="64" t="str">
        <f>IF(COUNTIFS(户型资产表!E:E,I24,户型资产表!H:H,"操作台")&gt;0,"有","无")</f>
        <v>有</v>
      </c>
      <c r="W24" s="64" t="str">
        <f>IF(COUNTIFS(户型资产表!E:E,I24,户型资产表!H:H,"书桌")&gt;0,"有","无")</f>
        <v>有</v>
      </c>
      <c r="X24" s="64" t="str" cm="1">
        <f t="array" ref="X24">IF(SUMPRODUCT((户型资产表!E:E=I24)*((户型资产表!I:I="沙发01单人")+(户型资产表!I:I="单人沙发02")+(户型资产表!I:I="租赁-单人沙发02")+(户型资产表!I:I="租赁-沙发01单人")))&gt;0,"有","无")</f>
        <v>无</v>
      </c>
      <c r="Y24" s="64" t="str" cm="1">
        <f t="array" ref="Y24">IF(SUMPRODUCT((户型资产表!E:E=I24)*((户型资产表!I:I="沙发02两人")+(户型资产表!I:I="双人沙发01")+(户型资产表!I:I="租赁-沙发02两人")+(户型资产表!I:I="租赁-双人沙发01")))&gt;0,"有","无")</f>
        <v>无</v>
      </c>
      <c r="Z24" s="64" t="str">
        <f>IF(COUNTIFS(户型资产表!E:E,I24,户型资产表!H:H,"餐桌")&gt;0,"有","无")</f>
        <v>无</v>
      </c>
      <c r="AA24" s="64" t="str">
        <f>IF(COUNTIFS(户型资产表!E:E,I24,户型资产表!H:H,"吸油烟机")&gt;0,"有","无")</f>
        <v>无</v>
      </c>
      <c r="AB24" s="64" t="str">
        <f>IF(COUNTIFS(户型资产表!E:E,I24,户型资产表!H:H,"冰箱")&gt;0,"有","无")</f>
        <v>无</v>
      </c>
      <c r="AC24" s="64" t="str">
        <f>IF(COUNTIFS(户型资产表!E:E,I24,户型资产表!H:H,"电视柜")&gt;0,"有","无")</f>
        <v>无</v>
      </c>
      <c r="AD24" s="63" t="str">
        <f t="shared" si="12"/>
        <v>适中</v>
      </c>
      <c r="AE24" s="64">
        <f>VLOOKUP($AD$1&amp;AD24,【1】定价因子!E:F,2,0)</f>
        <v>1</v>
      </c>
      <c r="AF24" s="63" t="str">
        <f t="shared" si="13"/>
        <v>适中</v>
      </c>
      <c r="AG24" s="64">
        <f>VLOOKUP($AF$1&amp;AF24,【1】定价因子!E:F,2,0)</f>
        <v>1</v>
      </c>
      <c r="AH24" s="63" t="str">
        <f t="shared" si="14"/>
        <v>适中</v>
      </c>
      <c r="AI24" s="64">
        <f>VLOOKUP($AH$1&amp;AH24,【1】定价因子!E:F,2,0)</f>
        <v>1</v>
      </c>
      <c r="AJ24" s="64" t="str">
        <f>VLOOKUP(H24,'【3-1】大区填-采光基本要素'!A:H,8,0)</f>
        <v>3</v>
      </c>
      <c r="AK24" s="64">
        <f>VLOOKUP($AJ$1&amp;AJ24,【1】定价因子!E:F,2,0)</f>
        <v>1</v>
      </c>
      <c r="AL24" s="65">
        <f t="shared" si="15"/>
        <v>1859.492866</v>
      </c>
      <c r="AM24" s="13">
        <v>1770</v>
      </c>
      <c r="AN24" s="66">
        <f t="shared" si="16"/>
        <v>-0.0481275661963201</v>
      </c>
      <c r="AO24" s="67">
        <f>SUMIFS(户型资产表!M:M,户型资产表!I:I,"*租赁*",户型资产表!E:E,I24)</f>
        <v>214.84</v>
      </c>
      <c r="AP24" s="68">
        <f t="shared" si="10"/>
        <v>1555.16</v>
      </c>
    </row>
    <row r="25" s="35" customFormat="1" ht="14.15" spans="1:43">
      <c r="A25" s="69" t="str">
        <f>'【2】运营中心填-基本信息&amp;审核标准'!$E$2</f>
        <v>东福围西街30栋</v>
      </c>
      <c r="B25" s="13">
        <f t="shared" si="11"/>
        <v>4</v>
      </c>
      <c r="C25" s="13">
        <f t="shared" si="1"/>
        <v>14</v>
      </c>
      <c r="D25" s="13">
        <f t="shared" si="2"/>
        <v>42</v>
      </c>
      <c r="E25" s="13"/>
      <c r="F25" s="13">
        <f t="shared" si="3"/>
        <v>14</v>
      </c>
      <c r="G25" s="13"/>
      <c r="H25" s="70">
        <v>407</v>
      </c>
      <c r="I25" s="71" t="s">
        <v>521</v>
      </c>
      <c r="J25" s="71" t="s">
        <v>43</v>
      </c>
      <c r="K25" s="13" t="str" cm="1">
        <f t="array" ref="K25">IFERROR(INDEX($J$2:$J$75,MATCH(0,IF(ISBLANK($J$2:$J$75),1,COUNTIF($K$1:K24,$J$2:$J$75)),0)),"")</f>
        <v/>
      </c>
      <c r="L25" s="72">
        <f>VLOOKUP(J25,'【3】大区填-楼栋基准格局定价'!B:H,7,0)</f>
        <v>2354.45</v>
      </c>
      <c r="M25" s="73" t="str">
        <f t="shared" si="4"/>
        <v>适中</v>
      </c>
      <c r="N25" s="73">
        <v>24.91</v>
      </c>
      <c r="O25" s="64">
        <f>VLOOKUP($M$1&amp;M25,【1】定价因子!E:F,2,0)</f>
        <v>1</v>
      </c>
      <c r="P25" s="64" t="str">
        <f>IF(COUNTIFS(户型资产表!E:E,I25,户型资产表!H:H,"阳台门")&gt;0,"有","无")</f>
        <v>无</v>
      </c>
      <c r="Q25" s="64">
        <f>VLOOKUP($P$1&amp;P25,【1】定价因子!E:F,2,0)</f>
        <v>1</v>
      </c>
      <c r="R25" s="64" t="str">
        <f>IF('【2】运营中心填-基本信息&amp;审核标准'!$D$4="是","无",IF(INT(H25/100)&gt;9,"9F",INT(H25/100)&amp;"F"))</f>
        <v>4F</v>
      </c>
      <c r="S25" s="64">
        <f>VLOOKUP(R25,【1】定价因子!D:F,3,0)</f>
        <v>1</v>
      </c>
      <c r="T25" s="64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无</v>
      </c>
      <c r="U25" s="64">
        <f>VLOOKUP($T$1&amp;T25,【1】定价因子!E:F,2,0)</f>
        <v>1</v>
      </c>
      <c r="V25" s="64" t="str">
        <f>IF(COUNTIFS(户型资产表!E:E,I25,户型资产表!H:H,"操作台")&gt;0,"有","无")</f>
        <v>有</v>
      </c>
      <c r="W25" s="64" t="str">
        <f>IF(COUNTIFS(户型资产表!E:E,I25,户型资产表!H:H,"书桌")&gt;0,"有","无")</f>
        <v>有</v>
      </c>
      <c r="X25" s="64" t="str" cm="1">
        <f t="array" ref="X25">IF(SUMPRODUCT((户型资产表!E:E=I25)*((户型资产表!I:I="沙发01单人")+(户型资产表!I:I="单人沙发02")+(户型资产表!I:I="租赁-单人沙发02")+(户型资产表!I:I="租赁-沙发01单人")))&gt;0,"有","无")</f>
        <v>无</v>
      </c>
      <c r="Y25" s="64" t="str" cm="1">
        <f t="array" ref="Y25">IF(SUMPRODUCT((户型资产表!E:E=I25)*((户型资产表!I:I="沙发02两人")+(户型资产表!I:I="双人沙发01")+(户型资产表!I:I="租赁-沙发02两人")+(户型资产表!I:I="租赁-双人沙发01")))&gt;0,"有","无")</f>
        <v>有</v>
      </c>
      <c r="Z25" s="64" t="str">
        <f>IF(COUNTIFS(户型资产表!E:E,I25,户型资产表!H:H,"餐桌")&gt;0,"有","无")</f>
        <v>有</v>
      </c>
      <c r="AA25" s="64" t="str">
        <f>IF(COUNTIFS(户型资产表!E:E,I25,户型资产表!H:H,"吸油烟机")&gt;0,"有","无")</f>
        <v>无</v>
      </c>
      <c r="AB25" s="64" t="str">
        <f>IF(COUNTIFS(户型资产表!E:E,I25,户型资产表!H:H,"冰箱")&gt;0,"有","无")</f>
        <v>无</v>
      </c>
      <c r="AC25" s="64" t="str">
        <f>IF(COUNTIFS(户型资产表!E:E,I25,户型资产表!H:H,"电视柜")&gt;0,"有","无")</f>
        <v>无</v>
      </c>
      <c r="AD25" s="63" t="str">
        <f t="shared" si="12"/>
        <v>适中</v>
      </c>
      <c r="AE25" s="64">
        <f>VLOOKUP($AD$1&amp;AD25,【1】定价因子!E:F,2,0)</f>
        <v>1</v>
      </c>
      <c r="AF25" s="63" t="str">
        <f t="shared" si="13"/>
        <v>充配（书桌）</v>
      </c>
      <c r="AG25" s="64">
        <f>VLOOKUP($AF$1&amp;AF25,【1】定价因子!E:F,2,0)</f>
        <v>1.02</v>
      </c>
      <c r="AH25" s="63" t="str">
        <f t="shared" si="14"/>
        <v>适中</v>
      </c>
      <c r="AI25" s="64">
        <f>VLOOKUP($AH$1&amp;AH25,【1】定价因子!E:F,2,0)</f>
        <v>1</v>
      </c>
      <c r="AJ25" s="69" t="str">
        <f>VLOOKUP(H25,'【3-1】大区填-采光基本要素'!A:H,8,0)</f>
        <v>2</v>
      </c>
      <c r="AK25" s="64">
        <f>VLOOKUP($AJ$1&amp;AJ25,【1】定价因子!E:F,2,0)</f>
        <v>0.96</v>
      </c>
      <c r="AL25" s="74">
        <f t="shared" si="15"/>
        <v>2305.47744</v>
      </c>
      <c r="AM25" s="69">
        <v>2070</v>
      </c>
      <c r="AN25" s="75">
        <f t="shared" si="16"/>
        <v>-0.102138253844722</v>
      </c>
      <c r="AO25" s="73">
        <f>SUMIFS(户型资产表!M:M,户型资产表!I:I,"*租赁*",户型资产表!E:E,I25)</f>
        <v>303.93</v>
      </c>
      <c r="AP25" s="76">
        <f t="shared" si="10"/>
        <v>1766.07</v>
      </c>
    </row>
    <row r="26" s="36" customFormat="1" ht="13" customHeight="1" spans="1:43">
      <c r="A26" s="77" t="str">
        <f>'【2】运营中心填-基本信息&amp;审核标准'!$E$2</f>
        <v>东福围西街30栋</v>
      </c>
      <c r="B26" s="13">
        <f t="shared" si="11"/>
        <v>4</v>
      </c>
      <c r="C26" s="13">
        <f t="shared" si="1"/>
        <v>14</v>
      </c>
      <c r="D26" s="13">
        <f t="shared" si="2"/>
        <v>42</v>
      </c>
      <c r="E26" s="13"/>
      <c r="F26" s="13">
        <f t="shared" si="3"/>
        <v>14</v>
      </c>
      <c r="G26" s="13"/>
      <c r="H26" s="78">
        <v>408</v>
      </c>
      <c r="I26" s="79" t="s">
        <v>521</v>
      </c>
      <c r="J26" s="79" t="s">
        <v>43</v>
      </c>
      <c r="K26" s="13" t="str" cm="1">
        <f t="array" ref="K26">IFERROR(INDEX($J$2:$J$75,MATCH(0,IF(ISBLANK($J$2:$J$75),1,COUNTIF($K$1:K25,$J$2:$J$75)),0)),"")</f>
        <v/>
      </c>
      <c r="L26" s="80">
        <f>VLOOKUP(J26,'【3】大区填-楼栋基准格局定价'!B:H,7,0)</f>
        <v>2354.45</v>
      </c>
      <c r="M26" s="81" t="str">
        <f t="shared" si="4"/>
        <v>适中</v>
      </c>
      <c r="N26" s="81">
        <v>25.51</v>
      </c>
      <c r="O26" s="64">
        <f>VLOOKUP($M$1&amp;M26,【1】定价因子!E:F,2,0)</f>
        <v>1</v>
      </c>
      <c r="P26" s="64" t="str">
        <f>IF(COUNTIFS(户型资产表!E:E,I26,户型资产表!H:H,"阳台门")&gt;0,"有","无")</f>
        <v>无</v>
      </c>
      <c r="Q26" s="64">
        <f>VLOOKUP($P$1&amp;P26,【1】定价因子!E:F,2,0)</f>
        <v>1</v>
      </c>
      <c r="R26" s="64" t="str">
        <f>IF('【2】运营中心填-基本信息&amp;审核标准'!$D$4="是","无",IF(INT(H26/100)&gt;9,"9F",INT(H26/100)&amp;"F"))</f>
        <v>4F</v>
      </c>
      <c r="S26" s="64">
        <f>VLOOKUP(R26,【1】定价因子!D:F,3,0)</f>
        <v>1</v>
      </c>
      <c r="T26" s="64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无</v>
      </c>
      <c r="U26" s="64">
        <f>VLOOKUP($T$1&amp;T26,【1】定价因子!E:F,2,0)</f>
        <v>1</v>
      </c>
      <c r="V26" s="64" t="str">
        <f>IF(COUNTIFS(户型资产表!E:E,I26,户型资产表!H:H,"操作台")&gt;0,"有","无")</f>
        <v>有</v>
      </c>
      <c r="W26" s="64" t="str">
        <f>IF(COUNTIFS(户型资产表!E:E,I26,户型资产表!H:H,"书桌")&gt;0,"有","无")</f>
        <v>有</v>
      </c>
      <c r="X26" s="64" t="str" cm="1">
        <f t="array" ref="X26">IF(SUMPRODUCT((户型资产表!E:E=I26)*((户型资产表!I:I="沙发01单人")+(户型资产表!I:I="单人沙发02")+(户型资产表!I:I="租赁-单人沙发02")+(户型资产表!I:I="租赁-沙发01单人")))&gt;0,"有","无")</f>
        <v>无</v>
      </c>
      <c r="Y26" s="64" t="str" cm="1">
        <f t="array" ref="Y26">IF(SUMPRODUCT((户型资产表!E:E=I26)*((户型资产表!I:I="沙发02两人")+(户型资产表!I:I="双人沙发01")+(户型资产表!I:I="租赁-沙发02两人")+(户型资产表!I:I="租赁-双人沙发01")))&gt;0,"有","无")</f>
        <v>有</v>
      </c>
      <c r="Z26" s="64" t="str">
        <f>IF(COUNTIFS(户型资产表!E:E,I26,户型资产表!H:H,"餐桌")&gt;0,"有","无")</f>
        <v>有</v>
      </c>
      <c r="AA26" s="64" t="str">
        <f>IF(COUNTIFS(户型资产表!E:E,I26,户型资产表!H:H,"吸油烟机")&gt;0,"有","无")</f>
        <v>无</v>
      </c>
      <c r="AB26" s="64" t="str">
        <f>IF(COUNTIFS(户型资产表!E:E,I26,户型资产表!H:H,"冰箱")&gt;0,"有","无")</f>
        <v>无</v>
      </c>
      <c r="AC26" s="64" t="str">
        <f>IF(COUNTIFS(户型资产表!E:E,I26,户型资产表!H:H,"电视柜")&gt;0,"有","无")</f>
        <v>无</v>
      </c>
      <c r="AD26" s="63" t="str">
        <f t="shared" si="12"/>
        <v>适中</v>
      </c>
      <c r="AE26" s="64">
        <f>VLOOKUP($AD$1&amp;AD26,【1】定价因子!E:F,2,0)</f>
        <v>1</v>
      </c>
      <c r="AF26" s="63" t="str">
        <f t="shared" si="13"/>
        <v>充配（书桌）</v>
      </c>
      <c r="AG26" s="64">
        <f>VLOOKUP($AF$1&amp;AF26,【1】定价因子!E:F,2,0)</f>
        <v>1.02</v>
      </c>
      <c r="AH26" s="63" t="str">
        <f t="shared" si="14"/>
        <v>适中</v>
      </c>
      <c r="AI26" s="64">
        <f>VLOOKUP($AH$1&amp;AH26,【1】定价因子!E:F,2,0)</f>
        <v>1</v>
      </c>
      <c r="AJ26" s="77" t="str">
        <f>VLOOKUP(H26,'【3-1】大区填-采光基本要素'!A:H,8,0)</f>
        <v>2</v>
      </c>
      <c r="AK26" s="64">
        <f>VLOOKUP($AJ$1&amp;AJ26,【1】定价因子!E:F,2,0)</f>
        <v>0.96</v>
      </c>
      <c r="AL26" s="82">
        <f t="shared" si="15"/>
        <v>2305.47744</v>
      </c>
      <c r="AM26" s="77">
        <v>2170</v>
      </c>
      <c r="AN26" s="83">
        <f t="shared" si="16"/>
        <v>-0.0587632902623415</v>
      </c>
      <c r="AO26" s="81">
        <f>SUMIFS(户型资产表!M:M,户型资产表!I:I,"*租赁*",户型资产表!E:E,I26)</f>
        <v>303.93</v>
      </c>
      <c r="AP26" s="84">
        <f t="shared" si="10"/>
        <v>1866.07</v>
      </c>
    </row>
    <row r="27" ht="14.15" spans="1:43">
      <c r="A27" s="59" t="str">
        <f>'【2】运营中心填-基本信息&amp;审核标准'!$E$2</f>
        <v>东福围西街30栋</v>
      </c>
      <c r="B27" s="13">
        <f t="shared" si="11"/>
        <v>4</v>
      </c>
      <c r="C27" s="13">
        <f t="shared" si="1"/>
        <v>14</v>
      </c>
      <c r="D27" s="13">
        <f t="shared" si="2"/>
        <v>42</v>
      </c>
      <c r="E27" s="13"/>
      <c r="F27" s="13">
        <f t="shared" si="3"/>
        <v>14</v>
      </c>
      <c r="G27" s="13"/>
      <c r="H27" s="60">
        <v>409</v>
      </c>
      <c r="I27" s="61" t="s">
        <v>520</v>
      </c>
      <c r="J27" s="61" t="s">
        <v>40</v>
      </c>
      <c r="K27" s="13" t="str" cm="1">
        <f t="array" ref="K27">IFERROR(INDEX($J$2:$J$75,MATCH(0,IF(ISBLANK($J$2:$J$75),1,COUNTIF($K$1:K26,$J$2:$J$75)),0)),"")</f>
        <v/>
      </c>
      <c r="L27" s="62">
        <f>VLOOKUP(J27,'【3】大区填-楼栋基准格局定价'!B:H,7,0)</f>
        <v>1579.858</v>
      </c>
      <c r="M27" s="63" t="str">
        <f t="shared" si="4"/>
        <v>很宽敞</v>
      </c>
      <c r="N27" s="63">
        <v>20.71</v>
      </c>
      <c r="O27" s="64">
        <f>VLOOKUP($M$1&amp;M27,【1】定价因子!E:F,2,0)</f>
        <v>1.1</v>
      </c>
      <c r="P27" s="64" t="str">
        <f>IF(COUNTIFS(户型资产表!E:E,I27,户型资产表!H:H,"阳台门")&gt;0,"有","无")</f>
        <v>有</v>
      </c>
      <c r="Q27" s="64">
        <f>VLOOKUP($P$1&amp;P27,【1】定价因子!E:F,2,0)</f>
        <v>1.07</v>
      </c>
      <c r="R27" s="64" t="str">
        <f>IF('【2】运营中心填-基本信息&amp;审核标准'!$D$4="是","无",IF(INT(H27/100)&gt;9,"9F",INT(H27/100)&amp;"F"))</f>
        <v>4F</v>
      </c>
      <c r="S27" s="64">
        <f>VLOOKUP(R27,【1】定价因子!D:F,3,0)</f>
        <v>1</v>
      </c>
      <c r="T27" s="64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无</v>
      </c>
      <c r="U27" s="64">
        <f>VLOOKUP($T$1&amp;T27,【1】定价因子!E:F,2,0)</f>
        <v>1</v>
      </c>
      <c r="V27" s="64" t="str">
        <f>IF(COUNTIFS(户型资产表!E:E,I27,户型资产表!H:H,"操作台")&gt;0,"有","无")</f>
        <v>有</v>
      </c>
      <c r="W27" s="64" t="str">
        <f>IF(COUNTIFS(户型资产表!E:E,I27,户型资产表!H:H,"书桌")&gt;0,"有","无")</f>
        <v>有</v>
      </c>
      <c r="X27" s="64" t="str" cm="1">
        <f t="array" ref="X27">IF(SUMPRODUCT((户型资产表!E:E=I27)*((户型资产表!I:I="沙发01单人")+(户型资产表!I:I="单人沙发02")+(户型资产表!I:I="租赁-单人沙发02")+(户型资产表!I:I="租赁-沙发01单人")))&gt;0,"有","无")</f>
        <v>无</v>
      </c>
      <c r="Y27" s="64" t="str" cm="1">
        <f t="array" ref="Y27">IF(SUMPRODUCT((户型资产表!E:E=I27)*((户型资产表!I:I="沙发02两人")+(户型资产表!I:I="双人沙发01")+(户型资产表!I:I="租赁-沙发02两人")+(户型资产表!I:I="租赁-双人沙发01")))&gt;0,"有","无")</f>
        <v>无</v>
      </c>
      <c r="Z27" s="64" t="str">
        <f>IF(COUNTIFS(户型资产表!E:E,I27,户型资产表!H:H,"餐桌")&gt;0,"有","无")</f>
        <v>无</v>
      </c>
      <c r="AA27" s="64" t="str">
        <f>IF(COUNTIFS(户型资产表!E:E,I27,户型资产表!H:H,"吸油烟机")&gt;0,"有","无")</f>
        <v>无</v>
      </c>
      <c r="AB27" s="64" t="str">
        <f>IF(COUNTIFS(户型资产表!E:E,I27,户型资产表!H:H,"冰箱")&gt;0,"有","无")</f>
        <v>无</v>
      </c>
      <c r="AC27" s="64" t="str">
        <f>IF(COUNTIFS(户型资产表!E:E,I27,户型资产表!H:H,"电视柜")&gt;0,"有","无")</f>
        <v>无</v>
      </c>
      <c r="AD27" s="63" t="str">
        <f t="shared" si="12"/>
        <v>适中</v>
      </c>
      <c r="AE27" s="64">
        <f>VLOOKUP($AD$1&amp;AD27,【1】定价因子!E:F,2,0)</f>
        <v>1</v>
      </c>
      <c r="AF27" s="63" t="str">
        <f t="shared" si="13"/>
        <v>适中</v>
      </c>
      <c r="AG27" s="64">
        <f>VLOOKUP($AF$1&amp;AF27,【1】定价因子!E:F,2,0)</f>
        <v>1</v>
      </c>
      <c r="AH27" s="63" t="str">
        <f t="shared" si="14"/>
        <v>适中</v>
      </c>
      <c r="AI27" s="64">
        <f>VLOOKUP($AH$1&amp;AH27,【1】定价因子!E:F,2,0)</f>
        <v>1</v>
      </c>
      <c r="AJ27" s="64" t="str">
        <f>VLOOKUP(H27,'【3-1】大区填-采光基本要素'!A:H,8,0)</f>
        <v>3</v>
      </c>
      <c r="AK27" s="64">
        <f>VLOOKUP($AJ$1&amp;AJ27,【1】定价因子!E:F,2,0)</f>
        <v>1</v>
      </c>
      <c r="AL27" s="65">
        <f t="shared" si="15"/>
        <v>1859.492866</v>
      </c>
      <c r="AM27" s="13">
        <v>1770</v>
      </c>
      <c r="AN27" s="66">
        <f t="shared" si="16"/>
        <v>-0.0481275661963201</v>
      </c>
      <c r="AO27" s="67">
        <f>SUMIFS(户型资产表!M:M,户型资产表!I:I,"*租赁*",户型资产表!E:E,I27)</f>
        <v>214.84</v>
      </c>
      <c r="AP27" s="68">
        <f t="shared" si="10"/>
        <v>1555.16</v>
      </c>
    </row>
    <row r="28" s="36" customFormat="1" ht="14.15" spans="1:43">
      <c r="A28" s="77" t="str">
        <f>'【2】运营中心填-基本信息&amp;审核标准'!$E$2</f>
        <v>东福围西街30栋</v>
      </c>
      <c r="B28" s="13">
        <f t="shared" si="11"/>
        <v>4</v>
      </c>
      <c r="C28" s="13">
        <f t="shared" si="1"/>
        <v>14</v>
      </c>
      <c r="D28" s="13">
        <f t="shared" si="2"/>
        <v>42</v>
      </c>
      <c r="E28" s="13"/>
      <c r="F28" s="13">
        <f t="shared" si="3"/>
        <v>14</v>
      </c>
      <c r="G28" s="13"/>
      <c r="H28" s="78">
        <v>410</v>
      </c>
      <c r="I28" s="79" t="s">
        <v>522</v>
      </c>
      <c r="J28" s="79" t="s">
        <v>43</v>
      </c>
      <c r="K28" s="13" t="str" cm="1">
        <f t="array" ref="K28">IFERROR(INDEX($J$2:$J$75,MATCH(0,IF(ISBLANK($J$2:$J$75),1,COUNTIF($K$1:K27,$J$2:$J$75)),0)),"")</f>
        <v/>
      </c>
      <c r="L28" s="80">
        <f>VLOOKUP(J28,'【3】大区填-楼栋基准格局定价'!B:H,7,0)</f>
        <v>2354.45</v>
      </c>
      <c r="M28" s="81" t="str">
        <f t="shared" si="4"/>
        <v>较宽敞</v>
      </c>
      <c r="N28" s="81">
        <v>27.55</v>
      </c>
      <c r="O28" s="64">
        <f>VLOOKUP($M$1&amp;M28,【1】定价因子!E:F,2,0)</f>
        <v>1.06</v>
      </c>
      <c r="P28" s="64" t="str">
        <f>IF(COUNTIFS(户型资产表!E:E,I28,户型资产表!H:H,"阳台门")&gt;0,"有","无")</f>
        <v>有</v>
      </c>
      <c r="Q28" s="64">
        <f>VLOOKUP($P$1&amp;P28,【1】定价因子!E:F,2,0)</f>
        <v>1.07</v>
      </c>
      <c r="R28" s="64" t="str">
        <f>IF('【2】运营中心填-基本信息&amp;审核标准'!$D$4="是","无",IF(INT(H28/100)&gt;9,"9F",INT(H28/100)&amp;"F"))</f>
        <v>4F</v>
      </c>
      <c r="S28" s="64">
        <f>VLOOKUP(R28,【1】定价因子!D:F,3,0)</f>
        <v>1</v>
      </c>
      <c r="T28" s="64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无</v>
      </c>
      <c r="U28" s="64">
        <f>VLOOKUP($T$1&amp;T28,【1】定价因子!E:F,2,0)</f>
        <v>1</v>
      </c>
      <c r="V28" s="64" t="str">
        <f>IF(COUNTIFS(户型资产表!E:E,I28,户型资产表!H:H,"操作台")&gt;0,"有","无")</f>
        <v>有</v>
      </c>
      <c r="W28" s="64" t="str">
        <f>IF(COUNTIFS(户型资产表!E:E,I28,户型资产表!H:H,"书桌")&gt;0,"有","无")</f>
        <v>无</v>
      </c>
      <c r="X28" s="64" t="str" cm="1">
        <f t="array" ref="X28">IF(SUMPRODUCT((户型资产表!E:E=I28)*((户型资产表!I:I="沙发01单人")+(户型资产表!I:I="单人沙发02")+(户型资产表!I:I="租赁-单人沙发02")+(户型资产表!I:I="租赁-沙发01单人")))&gt;0,"有","无")</f>
        <v>无</v>
      </c>
      <c r="Y28" s="64" t="str" cm="1">
        <f t="array" ref="Y28">IF(SUMPRODUCT((户型资产表!E:E=I28)*((户型资产表!I:I="沙发02两人")+(户型资产表!I:I="双人沙发01")+(户型资产表!I:I="租赁-沙发02两人")+(户型资产表!I:I="租赁-双人沙发01")))&gt;0,"有","无")</f>
        <v>有</v>
      </c>
      <c r="Z28" s="64" t="str">
        <f>IF(COUNTIFS(户型资产表!E:E,I28,户型资产表!H:H,"餐桌")&gt;0,"有","无")</f>
        <v>有</v>
      </c>
      <c r="AA28" s="64" t="str">
        <f>IF(COUNTIFS(户型资产表!E:E,I28,户型资产表!H:H,"吸油烟机")&gt;0,"有","无")</f>
        <v>无</v>
      </c>
      <c r="AB28" s="64" t="str">
        <f>IF(COUNTIFS(户型资产表!E:E,I28,户型资产表!H:H,"冰箱")&gt;0,"有","无")</f>
        <v>无</v>
      </c>
      <c r="AC28" s="64" t="str">
        <f>IF(COUNTIFS(户型资产表!E:E,I28,户型资产表!H:H,"电视柜")&gt;0,"有","无")</f>
        <v>无</v>
      </c>
      <c r="AD28" s="63" t="str">
        <f t="shared" si="12"/>
        <v>适中</v>
      </c>
      <c r="AE28" s="64">
        <f>VLOOKUP($AD$1&amp;AD28,【1】定价因子!E:F,2,0)</f>
        <v>1</v>
      </c>
      <c r="AF28" s="63" t="str">
        <f t="shared" si="13"/>
        <v>适中</v>
      </c>
      <c r="AG28" s="64">
        <f>VLOOKUP($AF$1&amp;AF28,【1】定价因子!E:F,2,0)</f>
        <v>1</v>
      </c>
      <c r="AH28" s="63" t="str">
        <f t="shared" si="14"/>
        <v>适中</v>
      </c>
      <c r="AI28" s="64">
        <f>VLOOKUP($AH$1&amp;AH28,【1】定价因子!E:F,2,0)</f>
        <v>1</v>
      </c>
      <c r="AJ28" s="77" t="str">
        <f>VLOOKUP(H28,'【3-1】大区填-采光基本要素'!A:H,8,0)</f>
        <v>1</v>
      </c>
      <c r="AK28" s="64">
        <f>VLOOKUP($AJ$1&amp;AJ28,【1】定价因子!E:F,2,0)</f>
        <v>0.91</v>
      </c>
      <c r="AL28" s="82">
        <f t="shared" si="15"/>
        <v>2430.0796429</v>
      </c>
      <c r="AM28" s="77">
        <v>2280</v>
      </c>
      <c r="AN28" s="83">
        <f t="shared" si="16"/>
        <v>-0.0617591457705883</v>
      </c>
      <c r="AO28" s="81">
        <f>SUMIFS(户型资产表!M:M,户型资产表!I:I,"*租赁*",户型资产表!E:E,I28)</f>
        <v>266.9</v>
      </c>
      <c r="AP28" s="84">
        <f t="shared" si="10"/>
        <v>2013.1</v>
      </c>
    </row>
    <row r="29" ht="14.15" spans="1:43">
      <c r="A29" s="59" t="str">
        <f>'【2】运营中心填-基本信息&amp;审核标准'!$E$2</f>
        <v>东福围西街30栋</v>
      </c>
      <c r="B29" s="13">
        <f t="shared" si="11"/>
        <v>4</v>
      </c>
      <c r="C29" s="13">
        <f t="shared" si="1"/>
        <v>14</v>
      </c>
      <c r="D29" s="13">
        <f t="shared" si="2"/>
        <v>42</v>
      </c>
      <c r="E29" s="13"/>
      <c r="F29" s="13">
        <f t="shared" si="3"/>
        <v>14</v>
      </c>
      <c r="G29" s="13"/>
      <c r="H29" s="60">
        <v>411</v>
      </c>
      <c r="I29" s="61" t="s">
        <v>523</v>
      </c>
      <c r="J29" s="61" t="s">
        <v>40</v>
      </c>
      <c r="K29" s="13" t="str" cm="1">
        <f t="array" ref="K29">IFERROR(INDEX($J$2:$J$75,MATCH(0,IF(ISBLANK($J$2:$J$75),1,COUNTIF($K$1:K28,$J$2:$J$75)),0)),"")</f>
        <v/>
      </c>
      <c r="L29" s="62">
        <f>VLOOKUP(J29,'【3】大区填-楼栋基准格局定价'!B:H,7,0)</f>
        <v>1579.858</v>
      </c>
      <c r="M29" s="63" t="str">
        <f t="shared" si="4"/>
        <v>适中</v>
      </c>
      <c r="N29" s="63">
        <v>16.79</v>
      </c>
      <c r="O29" s="64">
        <f>VLOOKUP($M$1&amp;M29,【1】定价因子!E:F,2,0)</f>
        <v>1</v>
      </c>
      <c r="P29" s="64" t="str">
        <f>IF(COUNTIFS(户型资产表!E:E,I29,户型资产表!H:H,"阳台门")&gt;0,"有","无")</f>
        <v>有</v>
      </c>
      <c r="Q29" s="64">
        <f>VLOOKUP($P$1&amp;P29,【1】定价因子!E:F,2,0)</f>
        <v>1.07</v>
      </c>
      <c r="R29" s="64" t="str">
        <f>IF('【2】运营中心填-基本信息&amp;审核标准'!$D$4="是","无",IF(INT(H29/100)&gt;9,"9F",INT(H29/100)&amp;"F"))</f>
        <v>4F</v>
      </c>
      <c r="S29" s="64">
        <f>VLOOKUP(R29,【1】定价因子!D:F,3,0)</f>
        <v>1</v>
      </c>
      <c r="T29" s="64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无</v>
      </c>
      <c r="U29" s="64">
        <f>VLOOKUP($T$1&amp;T29,【1】定价因子!E:F,2,0)</f>
        <v>1</v>
      </c>
      <c r="V29" s="64" t="str">
        <f>IF(COUNTIFS(户型资产表!E:E,I29,户型资产表!H:H,"操作台")&gt;0,"有","无")</f>
        <v>有</v>
      </c>
      <c r="W29" s="64" t="str">
        <f>IF(COUNTIFS(户型资产表!E:E,I29,户型资产表!H:H,"书桌")&gt;0,"有","无")</f>
        <v>有</v>
      </c>
      <c r="X29" s="64" t="str" cm="1">
        <f t="array" ref="X29">IF(SUMPRODUCT((户型资产表!E:E=I29)*((户型资产表!I:I="沙发01单人")+(户型资产表!I:I="单人沙发02")+(户型资产表!I:I="租赁-单人沙发02")+(户型资产表!I:I="租赁-沙发01单人")))&gt;0,"有","无")</f>
        <v>无</v>
      </c>
      <c r="Y29" s="64" t="str" cm="1">
        <f t="array" ref="Y29">IF(SUMPRODUCT((户型资产表!E:E=I29)*((户型资产表!I:I="沙发02两人")+(户型资产表!I:I="双人沙发01")+(户型资产表!I:I="租赁-沙发02两人")+(户型资产表!I:I="租赁-双人沙发01")))&gt;0,"有","无")</f>
        <v>无</v>
      </c>
      <c r="Z29" s="64" t="str">
        <f>IF(COUNTIFS(户型资产表!E:E,I29,户型资产表!H:H,"餐桌")&gt;0,"有","无")</f>
        <v>无</v>
      </c>
      <c r="AA29" s="64" t="str">
        <f>IF(COUNTIFS(户型资产表!E:E,I29,户型资产表!H:H,"吸油烟机")&gt;0,"有","无")</f>
        <v>无</v>
      </c>
      <c r="AB29" s="64" t="str">
        <f>IF(COUNTIFS(户型资产表!E:E,I29,户型资产表!H:H,"冰箱")&gt;0,"有","无")</f>
        <v>无</v>
      </c>
      <c r="AC29" s="64" t="str">
        <f>IF(COUNTIFS(户型资产表!E:E,I29,户型资产表!H:H,"电视柜")&gt;0,"有","无")</f>
        <v>无</v>
      </c>
      <c r="AD29" s="63" t="str">
        <f t="shared" si="12"/>
        <v>适中</v>
      </c>
      <c r="AE29" s="64">
        <f>VLOOKUP($AD$1&amp;AD29,【1】定价因子!E:F,2,0)</f>
        <v>1</v>
      </c>
      <c r="AF29" s="63" t="str">
        <f t="shared" si="13"/>
        <v>适中</v>
      </c>
      <c r="AG29" s="64">
        <f>VLOOKUP($AF$1&amp;AF29,【1】定价因子!E:F,2,0)</f>
        <v>1</v>
      </c>
      <c r="AH29" s="63" t="str">
        <f t="shared" si="14"/>
        <v>适中</v>
      </c>
      <c r="AI29" s="64">
        <f>VLOOKUP($AH$1&amp;AH29,【1】定价因子!E:F,2,0)</f>
        <v>1</v>
      </c>
      <c r="AJ29" s="64" t="str">
        <f>VLOOKUP(H29,'【3-1】大区填-采光基本要素'!A:H,8,0)</f>
        <v>1</v>
      </c>
      <c r="AK29" s="64">
        <f>VLOOKUP($AJ$1&amp;AJ29,【1】定价因子!E:F,2,0)</f>
        <v>0.91</v>
      </c>
      <c r="AL29" s="65">
        <f t="shared" si="15"/>
        <v>1538.3077346</v>
      </c>
      <c r="AM29" s="13">
        <v>1480</v>
      </c>
      <c r="AN29" s="66">
        <f t="shared" si="16"/>
        <v>-0.037903816829707</v>
      </c>
      <c r="AO29" s="67">
        <f>SUMIFS(户型资产表!M:M,户型资产表!I:I,"*租赁*",户型资产表!E:E,I29)</f>
        <v>234.23</v>
      </c>
      <c r="AP29" s="68">
        <f t="shared" si="10"/>
        <v>1245.77</v>
      </c>
    </row>
    <row r="30" ht="14.15" spans="1:43">
      <c r="A30" s="59" t="str">
        <f>'【2】运营中心填-基本信息&amp;审核标准'!$E$2</f>
        <v>东福围西街30栋</v>
      </c>
      <c r="B30" s="13">
        <f t="shared" si="11"/>
        <v>4</v>
      </c>
      <c r="C30" s="13">
        <f t="shared" si="1"/>
        <v>14</v>
      </c>
      <c r="D30" s="13">
        <f t="shared" si="2"/>
        <v>42</v>
      </c>
      <c r="E30" s="13"/>
      <c r="F30" s="13">
        <f t="shared" si="3"/>
        <v>14</v>
      </c>
      <c r="G30" s="13"/>
      <c r="H30" s="60">
        <v>412</v>
      </c>
      <c r="I30" s="61" t="s">
        <v>524</v>
      </c>
      <c r="J30" s="61" t="s">
        <v>40</v>
      </c>
      <c r="K30" s="13" t="str" cm="1">
        <f t="array" ref="K30">IFERROR(INDEX($J$2:$J$75,MATCH(0,IF(ISBLANK($J$2:$J$75),1,COUNTIF($K$1:K29,$J$2:$J$75)),0)),"")</f>
        <v/>
      </c>
      <c r="L30" s="62">
        <f>VLOOKUP(J30,'【3】大区填-楼栋基准格局定价'!B:H,7,0)</f>
        <v>1579.858</v>
      </c>
      <c r="M30" s="63" t="str">
        <f t="shared" si="4"/>
        <v>适中</v>
      </c>
      <c r="N30" s="63">
        <v>16.48</v>
      </c>
      <c r="O30" s="64">
        <f>VLOOKUP($M$1&amp;M30,【1】定价因子!E:F,2,0)</f>
        <v>1</v>
      </c>
      <c r="P30" s="64" t="str">
        <f>IF(COUNTIFS(户型资产表!E:E,I30,户型资产表!H:H,"阳台门")&gt;0,"有","无")</f>
        <v>无</v>
      </c>
      <c r="Q30" s="64">
        <f>VLOOKUP($P$1&amp;P30,【1】定价因子!E:F,2,0)</f>
        <v>1</v>
      </c>
      <c r="R30" s="64" t="str">
        <f>IF('【2】运营中心填-基本信息&amp;审核标准'!$D$4="是","无",IF(INT(H30/100)&gt;9,"9F",INT(H30/100)&amp;"F"))</f>
        <v>4F</v>
      </c>
      <c r="S30" s="64">
        <f>VLOOKUP(R30,【1】定价因子!D:F,3,0)</f>
        <v>1</v>
      </c>
      <c r="T30" s="64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无</v>
      </c>
      <c r="U30" s="64">
        <f>VLOOKUP($T$1&amp;T30,【1】定价因子!E:F,2,0)</f>
        <v>1</v>
      </c>
      <c r="V30" s="64" t="str">
        <f>IF(COUNTIFS(户型资产表!E:E,I30,户型资产表!H:H,"操作台")&gt;0,"有","无")</f>
        <v>有</v>
      </c>
      <c r="W30" s="64" t="str">
        <f>IF(COUNTIFS(户型资产表!E:E,I30,户型资产表!H:H,"书桌")&gt;0,"有","无")</f>
        <v>有</v>
      </c>
      <c r="X30" s="64" t="str" cm="1">
        <f t="array" ref="X30">IF(SUMPRODUCT((户型资产表!E:E=I30)*((户型资产表!I:I="沙发01单人")+(户型资产表!I:I="单人沙发02")+(户型资产表!I:I="租赁-单人沙发02")+(户型资产表!I:I="租赁-沙发01单人")))&gt;0,"有","无")</f>
        <v>无</v>
      </c>
      <c r="Y30" s="64" t="str" cm="1">
        <f t="array" ref="Y30">IF(SUMPRODUCT((户型资产表!E:E=I30)*((户型资产表!I:I="沙发02两人")+(户型资产表!I:I="双人沙发01")+(户型资产表!I:I="租赁-沙发02两人")+(户型资产表!I:I="租赁-双人沙发01")))&gt;0,"有","无")</f>
        <v>无</v>
      </c>
      <c r="Z30" s="64" t="str">
        <f>IF(COUNTIFS(户型资产表!E:E,I30,户型资产表!H:H,"餐桌")&gt;0,"有","无")</f>
        <v>无</v>
      </c>
      <c r="AA30" s="64" t="str">
        <f>IF(COUNTIFS(户型资产表!E:E,I30,户型资产表!H:H,"吸油烟机")&gt;0,"有","无")</f>
        <v>无</v>
      </c>
      <c r="AB30" s="64" t="str">
        <f>IF(COUNTIFS(户型资产表!E:E,I30,户型资产表!H:H,"冰箱")&gt;0,"有","无")</f>
        <v>无</v>
      </c>
      <c r="AC30" s="64" t="str">
        <f>IF(COUNTIFS(户型资产表!E:E,I30,户型资产表!H:H,"电视柜")&gt;0,"有","无")</f>
        <v>无</v>
      </c>
      <c r="AD30" s="63" t="str">
        <f t="shared" si="12"/>
        <v>适中</v>
      </c>
      <c r="AE30" s="64">
        <f>VLOOKUP($AD$1&amp;AD30,【1】定价因子!E:F,2,0)</f>
        <v>1</v>
      </c>
      <c r="AF30" s="63" t="str">
        <f t="shared" si="13"/>
        <v>适中</v>
      </c>
      <c r="AG30" s="64">
        <f>VLOOKUP($AF$1&amp;AF30,【1】定价因子!E:F,2,0)</f>
        <v>1</v>
      </c>
      <c r="AH30" s="63" t="str">
        <f t="shared" si="14"/>
        <v>适中</v>
      </c>
      <c r="AI30" s="64">
        <f>VLOOKUP($AH$1&amp;AH30,【1】定价因子!E:F,2,0)</f>
        <v>1</v>
      </c>
      <c r="AJ30" s="64" t="str">
        <f>VLOOKUP(H30,'【3-1】大区填-采光基本要素'!A:H,8,0)</f>
        <v>1</v>
      </c>
      <c r="AK30" s="64">
        <f>VLOOKUP($AJ$1&amp;AJ30,【1】定价因子!E:F,2,0)</f>
        <v>0.91</v>
      </c>
      <c r="AL30" s="65">
        <f t="shared" si="15"/>
        <v>1437.67078</v>
      </c>
      <c r="AM30" s="13">
        <v>1390</v>
      </c>
      <c r="AN30" s="66">
        <f t="shared" si="16"/>
        <v>-0.0331583424127184</v>
      </c>
      <c r="AO30" s="67">
        <f>SUMIFS(户型资产表!M:M,户型资产表!I:I,"*租赁*",户型资产表!E:E,I30)</f>
        <v>232.39</v>
      </c>
      <c r="AP30" s="68">
        <f t="shared" si="10"/>
        <v>1157.61</v>
      </c>
    </row>
    <row r="31" s="36" customFormat="1" ht="14.15" spans="1:43">
      <c r="A31" s="77" t="str">
        <f>'【2】运营中心填-基本信息&amp;审核标准'!$E$2</f>
        <v>东福围西街30栋</v>
      </c>
      <c r="B31" s="13">
        <f t="shared" si="11"/>
        <v>4</v>
      </c>
      <c r="C31" s="13">
        <f t="shared" si="1"/>
        <v>14</v>
      </c>
      <c r="D31" s="13">
        <f t="shared" si="2"/>
        <v>42</v>
      </c>
      <c r="E31" s="13"/>
      <c r="F31" s="13">
        <f t="shared" si="3"/>
        <v>14</v>
      </c>
      <c r="G31" s="13"/>
      <c r="H31" s="78">
        <v>413</v>
      </c>
      <c r="I31" s="79" t="s">
        <v>516</v>
      </c>
      <c r="J31" s="79" t="s">
        <v>43</v>
      </c>
      <c r="K31" s="13" t="str" cm="1">
        <f t="array" ref="K31">IFERROR(INDEX($J$2:$J$75,MATCH(0,IF(ISBLANK($J$2:$J$75),1,COUNTIF($K$1:K30,$J$2:$J$75)),0)),"")</f>
        <v/>
      </c>
      <c r="L31" s="80">
        <f>VLOOKUP(J31,'【3】大区填-楼栋基准格局定价'!B:H,7,0)</f>
        <v>2354.45</v>
      </c>
      <c r="M31" s="81" t="str">
        <f t="shared" si="4"/>
        <v>较宽敞</v>
      </c>
      <c r="N31" s="81">
        <v>26.07</v>
      </c>
      <c r="O31" s="64">
        <f>VLOOKUP($M$1&amp;M31,【1】定价因子!E:F,2,0)</f>
        <v>1.06</v>
      </c>
      <c r="P31" s="64" t="str">
        <f>IF(COUNTIFS(户型资产表!E:E,I31,户型资产表!H:H,"阳台门")&gt;0,"有","无")</f>
        <v>有</v>
      </c>
      <c r="Q31" s="64">
        <f>VLOOKUP($P$1&amp;P31,【1】定价因子!E:F,2,0)</f>
        <v>1.07</v>
      </c>
      <c r="R31" s="64" t="str">
        <f>IF('【2】运营中心填-基本信息&amp;审核标准'!$D$4="是","无",IF(INT(H31/100)&gt;9,"9F",INT(H31/100)&amp;"F"))</f>
        <v>4F</v>
      </c>
      <c r="S31" s="64">
        <f>VLOOKUP(R31,【1】定价因子!D:F,3,0)</f>
        <v>1</v>
      </c>
      <c r="T31" s="64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无</v>
      </c>
      <c r="U31" s="64">
        <f>VLOOKUP($T$1&amp;T31,【1】定价因子!E:F,2,0)</f>
        <v>1</v>
      </c>
      <c r="V31" s="64" t="str">
        <f>IF(COUNTIFS(户型资产表!E:E,I31,户型资产表!H:H,"操作台")&gt;0,"有","无")</f>
        <v>有</v>
      </c>
      <c r="W31" s="64" t="str">
        <f>IF(COUNTIFS(户型资产表!E:E,I31,户型资产表!H:H,"书桌")&gt;0,"有","无")</f>
        <v>无</v>
      </c>
      <c r="X31" s="64" t="str" cm="1">
        <f t="array" ref="X31">IF(SUMPRODUCT((户型资产表!E:E=I31)*((户型资产表!I:I="沙发01单人")+(户型资产表!I:I="单人沙发02")+(户型资产表!I:I="租赁-单人沙发02")+(户型资产表!I:I="租赁-沙发01单人")))&gt;0,"有","无")</f>
        <v>无</v>
      </c>
      <c r="Y31" s="64" t="str" cm="1">
        <f t="array" ref="Y31">IF(SUMPRODUCT((户型资产表!E:E=I31)*((户型资产表!I:I="沙发02两人")+(户型资产表!I:I="双人沙发01")+(户型资产表!I:I="租赁-沙发02两人")+(户型资产表!I:I="租赁-双人沙发01")))&gt;0,"有","无")</f>
        <v>有</v>
      </c>
      <c r="Z31" s="64" t="str">
        <f>IF(COUNTIFS(户型资产表!E:E,I31,户型资产表!H:H,"餐桌")&gt;0,"有","无")</f>
        <v>有</v>
      </c>
      <c r="AA31" s="64" t="str">
        <f>IF(COUNTIFS(户型资产表!E:E,I31,户型资产表!H:H,"吸油烟机")&gt;0,"有","无")</f>
        <v>无</v>
      </c>
      <c r="AB31" s="64" t="str">
        <f>IF(COUNTIFS(户型资产表!E:E,I31,户型资产表!H:H,"冰箱")&gt;0,"有","无")</f>
        <v>无</v>
      </c>
      <c r="AC31" s="64" t="str">
        <f>IF(COUNTIFS(户型资产表!E:E,I31,户型资产表!H:H,"电视柜")&gt;0,"有","无")</f>
        <v>无</v>
      </c>
      <c r="AD31" s="63" t="str">
        <f t="shared" si="12"/>
        <v>适中</v>
      </c>
      <c r="AE31" s="64">
        <f>VLOOKUP($AD$1&amp;AD31,【1】定价因子!E:F,2,0)</f>
        <v>1</v>
      </c>
      <c r="AF31" s="63" t="str">
        <f t="shared" si="13"/>
        <v>适中</v>
      </c>
      <c r="AG31" s="64">
        <f>VLOOKUP($AF$1&amp;AF31,【1】定价因子!E:F,2,0)</f>
        <v>1</v>
      </c>
      <c r="AH31" s="63" t="str">
        <f t="shared" si="14"/>
        <v>适中</v>
      </c>
      <c r="AI31" s="64">
        <f>VLOOKUP($AH$1&amp;AH31,【1】定价因子!E:F,2,0)</f>
        <v>1</v>
      </c>
      <c r="AJ31" s="77" t="str">
        <f>VLOOKUP(H31,'【3-1】大区填-采光基本要素'!A:H,8,0)</f>
        <v>1</v>
      </c>
      <c r="AK31" s="64">
        <f>VLOOKUP($AJ$1&amp;AJ31,【1】定价因子!E:F,2,0)</f>
        <v>0.91</v>
      </c>
      <c r="AL31" s="82">
        <f t="shared" si="15"/>
        <v>2430.0796429</v>
      </c>
      <c r="AM31" s="77">
        <v>2280</v>
      </c>
      <c r="AN31" s="83">
        <f t="shared" si="16"/>
        <v>-0.0617591457705883</v>
      </c>
      <c r="AO31" s="81">
        <f>SUMIFS(户型资产表!M:M,户型资产表!I:I,"*租赁*",户型资产表!E:E,I31)</f>
        <v>287.38</v>
      </c>
      <c r="AP31" s="84">
        <f t="shared" si="10"/>
        <v>1992.62</v>
      </c>
    </row>
    <row r="32" s="36" customFormat="1" ht="14.15" spans="1:43">
      <c r="A32" s="77" t="str">
        <f>'【2】运营中心填-基本信息&amp;审核标准'!$E$2</f>
        <v>东福围西街30栋</v>
      </c>
      <c r="B32" s="13">
        <f t="shared" si="11"/>
        <v>4</v>
      </c>
      <c r="C32" s="13">
        <f t="shared" si="1"/>
        <v>14</v>
      </c>
      <c r="D32" s="13">
        <f t="shared" si="2"/>
        <v>42</v>
      </c>
      <c r="E32" s="13"/>
      <c r="F32" s="13">
        <f t="shared" si="3"/>
        <v>14</v>
      </c>
      <c r="G32" s="13"/>
      <c r="H32" s="78">
        <v>414</v>
      </c>
      <c r="I32" s="79" t="s">
        <v>515</v>
      </c>
      <c r="J32" s="79" t="s">
        <v>43</v>
      </c>
      <c r="K32" s="13" t="str" cm="1">
        <f t="array" ref="K32">IFERROR(INDEX($J$2:$J$75,MATCH(0,IF(ISBLANK($J$2:$J$75),1,COUNTIF($K$1:K31,$J$2:$J$75)),0)),"")</f>
        <v/>
      </c>
      <c r="L32" s="80">
        <f>VLOOKUP(J32,'【3】大区填-楼栋基准格局定价'!B:H,7,0)</f>
        <v>2354.45</v>
      </c>
      <c r="M32" s="81" t="str">
        <f t="shared" si="4"/>
        <v>很狭小</v>
      </c>
      <c r="N32" s="81">
        <v>19.55</v>
      </c>
      <c r="O32" s="64">
        <f>VLOOKUP($M$1&amp;M32,【1】定价因子!E:F,2,0)</f>
        <v>0.9</v>
      </c>
      <c r="P32" s="64" t="str">
        <f>IF(COUNTIFS(户型资产表!E:E,I32,户型资产表!H:H,"阳台门")&gt;0,"有","无")</f>
        <v>无</v>
      </c>
      <c r="Q32" s="64">
        <f>VLOOKUP($P$1&amp;P32,【1】定价因子!E:F,2,0)</f>
        <v>1</v>
      </c>
      <c r="R32" s="64" t="str">
        <f>IF('【2】运营中心填-基本信息&amp;审核标准'!$D$4="是","无",IF(INT(H32/100)&gt;9,"9F",INT(H32/100)&amp;"F"))</f>
        <v>4F</v>
      </c>
      <c r="S32" s="64">
        <f>VLOOKUP(R32,【1】定价因子!D:F,3,0)</f>
        <v>1</v>
      </c>
      <c r="T32" s="64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无</v>
      </c>
      <c r="U32" s="64">
        <f>VLOOKUP($T$1&amp;T32,【1】定价因子!E:F,2,0)</f>
        <v>1</v>
      </c>
      <c r="V32" s="64" t="str">
        <f>IF(COUNTIFS(户型资产表!E:E,I32,户型资产表!H:H,"操作台")&gt;0,"有","无")</f>
        <v>有</v>
      </c>
      <c r="W32" s="64" t="str">
        <f>IF(COUNTIFS(户型资产表!E:E,I32,户型资产表!H:H,"书桌")&gt;0,"有","无")</f>
        <v>无</v>
      </c>
      <c r="X32" s="64" t="str" cm="1">
        <f t="array" ref="X32">IF(SUMPRODUCT((户型资产表!E:E=I32)*((户型资产表!I:I="沙发01单人")+(户型资产表!I:I="单人沙发02")+(户型资产表!I:I="租赁-单人沙发02")+(户型资产表!I:I="租赁-沙发01单人")))&gt;0,"有","无")</f>
        <v>无</v>
      </c>
      <c r="Y32" s="64" t="str" cm="1">
        <f t="array" ref="Y32">IF(SUMPRODUCT((户型资产表!E:E=I32)*((户型资产表!I:I="沙发02两人")+(户型资产表!I:I="双人沙发01")+(户型资产表!I:I="租赁-沙发02两人")+(户型资产表!I:I="租赁-双人沙发01")))&gt;0,"有","无")</f>
        <v>有</v>
      </c>
      <c r="Z32" s="64" t="str">
        <f>IF(COUNTIFS(户型资产表!E:E,I32,户型资产表!H:H,"餐桌")&gt;0,"有","无")</f>
        <v>有</v>
      </c>
      <c r="AA32" s="64" t="str">
        <f>IF(COUNTIFS(户型资产表!E:E,I32,户型资产表!H:H,"吸油烟机")&gt;0,"有","无")</f>
        <v>无</v>
      </c>
      <c r="AB32" s="64" t="str">
        <f>IF(COUNTIFS(户型资产表!E:E,I32,户型资产表!H:H,"冰箱")&gt;0,"有","无")</f>
        <v>无</v>
      </c>
      <c r="AC32" s="64" t="str">
        <f>IF(COUNTIFS(户型资产表!E:E,I32,户型资产表!H:H,"电视柜")&gt;0,"有","无")</f>
        <v>无</v>
      </c>
      <c r="AD32" s="63" t="str">
        <f t="shared" si="12"/>
        <v>适中</v>
      </c>
      <c r="AE32" s="64">
        <f>VLOOKUP($AD$1&amp;AD32,【1】定价因子!E:F,2,0)</f>
        <v>1</v>
      </c>
      <c r="AF32" s="63" t="str">
        <f t="shared" si="13"/>
        <v>适中</v>
      </c>
      <c r="AG32" s="64">
        <f>VLOOKUP($AF$1&amp;AF32,【1】定价因子!E:F,2,0)</f>
        <v>1</v>
      </c>
      <c r="AH32" s="63" t="str">
        <f t="shared" si="14"/>
        <v>适中</v>
      </c>
      <c r="AI32" s="64">
        <f>VLOOKUP($AH$1&amp;AH32,【1】定价因子!E:F,2,0)</f>
        <v>1</v>
      </c>
      <c r="AJ32" s="77" t="str">
        <f>VLOOKUP(H32,'【3-1】大区填-采光基本要素'!A:H,8,0)</f>
        <v>1</v>
      </c>
      <c r="AK32" s="64">
        <f>VLOOKUP($AJ$1&amp;AJ32,【1】定价因子!E:F,2,0)</f>
        <v>0.91</v>
      </c>
      <c r="AL32" s="82">
        <f t="shared" si="15"/>
        <v>1928.29455</v>
      </c>
      <c r="AM32" s="77">
        <v>1830</v>
      </c>
      <c r="AN32" s="83">
        <f t="shared" si="16"/>
        <v>-0.0509748627355712</v>
      </c>
      <c r="AO32" s="81">
        <f>SUMIFS(户型资产表!M:M,户型资产表!I:I,"*租赁*",户型资产表!E:E,I32)</f>
        <v>276.06</v>
      </c>
      <c r="AP32" s="84">
        <f t="shared" si="10"/>
        <v>1553.94</v>
      </c>
    </row>
    <row r="33" s="35" customFormat="1" ht="14.15" spans="1:42">
      <c r="A33" s="69" t="str">
        <f>'【2】运营中心填-基本信息&amp;审核标准'!$E$2</f>
        <v>东福围西街30栋</v>
      </c>
      <c r="B33" s="13">
        <f t="shared" si="11"/>
        <v>5</v>
      </c>
      <c r="C33" s="13">
        <f t="shared" si="1"/>
        <v>14</v>
      </c>
      <c r="D33" s="13">
        <f t="shared" si="2"/>
        <v>42</v>
      </c>
      <c r="E33" s="13"/>
      <c r="F33" s="13">
        <f t="shared" si="3"/>
        <v>14</v>
      </c>
      <c r="G33" s="13"/>
      <c r="H33" s="70">
        <v>501</v>
      </c>
      <c r="I33" s="71" t="s">
        <v>515</v>
      </c>
      <c r="J33" s="71" t="s">
        <v>43</v>
      </c>
      <c r="K33" s="13" t="str" cm="1">
        <f t="array" ref="K33">IFERROR(INDEX($J$2:$J$75,MATCH(0,IF(ISBLANK($J$2:$J$75),1,COUNTIF($K$1:K32,$J$2:$J$75)),0)),"")</f>
        <v/>
      </c>
      <c r="L33" s="72">
        <f>VLOOKUP(J33,'【3】大区填-楼栋基准格局定价'!B:H,7,0)</f>
        <v>2354.45</v>
      </c>
      <c r="M33" s="73" t="str">
        <f t="shared" ref="M33:M83" si="17">IF(OR(J33="开间",J33="二人宿舍"),IF(N33&lt;10,"很狭小",IF(N33&lt;13,"较狭小",IF(N33&lt;17,"适中",IF(N33&lt;20,"较宽敞","很宽敞")))),IF(OR(J33="一居室",J33="四人宿舍"),IF(N33&lt;20,"很狭小",IF(N33&lt;23,"较狭小",IF(N33&lt;26,"适中",IF(N33&lt;28,"较宽敞","很宽敞")))),IF(OR(J33="二居室",J33="六人宿舍"),IF(N33&lt;30,"很狭小",IF(N33&lt;35,"较狭小",IF(N33&lt;40,"适中",IF(N33&lt;45,"较宽敞","很宽敞")))),"")))</f>
        <v>很狭小</v>
      </c>
      <c r="N33" s="73">
        <v>19.52</v>
      </c>
      <c r="O33" s="64">
        <f>VLOOKUP($M$1&amp;M33,【1】定价因子!E:F,2,0)</f>
        <v>0.9</v>
      </c>
      <c r="P33" s="64" t="str">
        <f>IF(COUNTIFS(户型资产表!E:E,I33,户型资产表!H:H,"阳台门")&gt;0,"有","无")</f>
        <v>无</v>
      </c>
      <c r="Q33" s="64">
        <f>VLOOKUP($P$1&amp;P33,【1】定价因子!E:F,2,0)</f>
        <v>1</v>
      </c>
      <c r="R33" s="64" t="str">
        <f>IF('【2】运营中心填-基本信息&amp;审核标准'!$D$4="是","无",IF(INT(H33/100)&gt;9,"9F",INT(H33/100)&amp;"F"))</f>
        <v>5F</v>
      </c>
      <c r="S33" s="64">
        <f>VLOOKUP(R33,【1】定价因子!D:F,3,0)</f>
        <v>0.99</v>
      </c>
      <c r="T33" s="64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无</v>
      </c>
      <c r="U33" s="64">
        <f>VLOOKUP($T$1&amp;T33,【1】定价因子!E:F,2,0)</f>
        <v>1</v>
      </c>
      <c r="V33" s="64" t="str">
        <f>IF(COUNTIFS(户型资产表!E:E,I33,户型资产表!H:H,"操作台")&gt;0,"有","无")</f>
        <v>有</v>
      </c>
      <c r="W33" s="64" t="str">
        <f>IF(COUNTIFS(户型资产表!E:E,I33,户型资产表!H:H,"书桌")&gt;0,"有","无")</f>
        <v>无</v>
      </c>
      <c r="X33" s="64" t="str" cm="1">
        <f t="array" ref="X33">IF(SUMPRODUCT((户型资产表!E:E=I33)*((户型资产表!I:I="沙发01单人")+(户型资产表!I:I="单人沙发02")+(户型资产表!I:I="租赁-单人沙发02")+(户型资产表!I:I="租赁-沙发01单人")))&gt;0,"有","无")</f>
        <v>无</v>
      </c>
      <c r="Y33" s="64" t="str" cm="1">
        <f t="array" ref="Y33">IF(SUMPRODUCT((户型资产表!E:E=I33)*((户型资产表!I:I="沙发02两人")+(户型资产表!I:I="双人沙发01")+(户型资产表!I:I="租赁-沙发02两人")+(户型资产表!I:I="租赁-双人沙发01")))&gt;0,"有","无")</f>
        <v>有</v>
      </c>
      <c r="Z33" s="64" t="str">
        <f>IF(COUNTIFS(户型资产表!E:E,I33,户型资产表!H:H,"餐桌")&gt;0,"有","无")</f>
        <v>有</v>
      </c>
      <c r="AA33" s="64" t="str">
        <f>IF(COUNTIFS(户型资产表!E:E,I33,户型资产表!H:H,"吸油烟机")&gt;0,"有","无")</f>
        <v>无</v>
      </c>
      <c r="AB33" s="64" t="str">
        <f>IF(COUNTIFS(户型资产表!E:E,I33,户型资产表!H:H,"冰箱")&gt;0,"有","无")</f>
        <v>无</v>
      </c>
      <c r="AC33" s="64" t="str">
        <f>IF(COUNTIFS(户型资产表!E:E,I33,户型资产表!H:H,"电视柜")&gt;0,"有","无")</f>
        <v>无</v>
      </c>
      <c r="AD33" s="63" t="str">
        <f t="shared" ref="AD33:AD83" si="18">IF(J33="开间",IF(AND(V33="无",W33="无"),"缺失",IF(AND(V33="无",W33="有"),"缺失（操作台）",IF(AND(V33="有",W33="无"),"缺失（书桌）",IF(AND(V33="有",W33="有"),IF(OR(AA33="有",Y33="有"),"充足（油烟机/双人沙发）",IF(OR(X33="有",Z33="有"),"充足（单人沙发/餐桌）",IF(AND(OR(X33="有",Y33="有"),Z33="有"),"非常充足","适中"))),"")))),"适中")</f>
        <v>适中</v>
      </c>
      <c r="AE33" s="64">
        <f>VLOOKUP($AD$1&amp;AD33,【1】定价因子!E:F,2,0)</f>
        <v>1</v>
      </c>
      <c r="AF33" s="63" t="str">
        <f t="shared" ref="AF33:AF83" si="19">IF(J33="一居室",IF(AND(V33="无",Y33="无",Z33="无"),"缺失",IF(OR(AND(Z33="有",V33="无",Y33="无"),AND(Z33="有",V33="无",Y33="有"),AND(Z33="有",V33="有",Y33="无"),AND(Z33="无",V33="有",Y33="无"),AND(Z33="无",V33="无",Y33="有")),"缺失（操作台/双人沙发）",IF(AND(V33="有",Y33="有",Z33="无"),"缺失（餐桌）",IF(AND(V33="有",Y33="有",Z33="有"),IF(AND(W33="无",AA33="有"),"充配（油烟机）",IF(AND(W33="有",AA33="无"),"充配（书桌）",IF(AND(W33="有",AA33="有"),"非常充配","适中"))),"")))),"适中")</f>
        <v>适中</v>
      </c>
      <c r="AG33" s="64">
        <f>VLOOKUP($AF$1&amp;AF33,【1】定价因子!E:F,2,0)</f>
        <v>1</v>
      </c>
      <c r="AH33" s="63" t="str">
        <f t="shared" ref="AH33:AH83" si="20">IF(J33="二居室",IF(AND(Y33="无",Z33="无",AC33="无",V33="无"),"缺失",IF(OR(AND(Y33="无",Z33="无",AC33="有"),AND(Y33="无",Z33="无",V33="有"),AND(Y33="无",Z33="无",AC33="有",V33="有"),AND(Y33="无",Z33="有",AC33="无"),AND(Y33="无",Z33="有",V33="无"),AND(Y33="无",Z33="有",AC33="有"),AND(Y33="无",Z33="有",V33="有"),AND(Y33="有",Z33="无",AC33="无"),AND(Y33="有",Z33="无",V33="无"),AND(Y33="有",Z33="无",AC33="有"),AND(Y33="有",Z33="无",V33="有")),"缺失（沙发/餐桌）",IF(AND(Y33="有",Z33="有",OR(AC33="无",V33="无")),"缺失（电视柜/操作台）",IF(AND(Y33="有",Z33="有",AC33="有",V33="有"),IF(OR(AA33="有",AB33="有"),"充配（油烟机/冰箱）",IF(AND(AA33="无",AB33="无"),"适中","")),"")))),"适中")</f>
        <v>适中</v>
      </c>
      <c r="AI33" s="64">
        <f>VLOOKUP($AH$1&amp;AH33,【1】定价因子!E:F,2,0)</f>
        <v>1</v>
      </c>
      <c r="AJ33" s="69" t="str">
        <f>VLOOKUP(H33,'【3-1】大区填-采光基本要素'!A:H,8,0)</f>
        <v>1</v>
      </c>
      <c r="AK33" s="64">
        <f>VLOOKUP($AJ$1&amp;AJ33,【1】定价因子!E:F,2,0)</f>
        <v>0.91</v>
      </c>
      <c r="AL33" s="74">
        <f t="shared" ref="AL33:AL83" si="21">L33*PRODUCT(AG33,AK33,AE33,U33,S33,Q33,O33)</f>
        <v>1909.0116045</v>
      </c>
      <c r="AM33" s="69">
        <v>1710</v>
      </c>
      <c r="AN33" s="75">
        <f t="shared" ref="AN33:AN83" si="22">AM33/AL33-1</f>
        <v>-0.104248504320708</v>
      </c>
      <c r="AO33" s="73">
        <f>SUMIFS(户型资产表!M:M,户型资产表!I:I,"*租赁*",户型资产表!E:E,I33)</f>
        <v>276.06</v>
      </c>
      <c r="AP33" s="76">
        <f t="shared" si="10"/>
        <v>1433.94</v>
      </c>
    </row>
    <row r="34" s="36" customFormat="1" ht="14.15" spans="1:42">
      <c r="A34" s="77" t="str">
        <f>'【2】运营中心填-基本信息&amp;审核标准'!$E$2</f>
        <v>东福围西街30栋</v>
      </c>
      <c r="B34" s="13">
        <f t="shared" si="11"/>
        <v>5</v>
      </c>
      <c r="C34" s="13">
        <f t="shared" si="1"/>
        <v>14</v>
      </c>
      <c r="D34" s="13">
        <f t="shared" si="2"/>
        <v>42</v>
      </c>
      <c r="E34" s="13"/>
      <c r="F34" s="13">
        <f t="shared" si="3"/>
        <v>14</v>
      </c>
      <c r="G34" s="13"/>
      <c r="H34" s="78">
        <v>502</v>
      </c>
      <c r="I34" s="79" t="s">
        <v>516</v>
      </c>
      <c r="J34" s="79" t="s">
        <v>43</v>
      </c>
      <c r="K34" s="13" t="str" cm="1">
        <f t="array" ref="K34">IFERROR(INDEX($J$2:$J$75,MATCH(0,IF(ISBLANK($J$2:$J$75),1,COUNTIF($K$1:K33,$J$2:$J$75)),0)),"")</f>
        <v/>
      </c>
      <c r="L34" s="80">
        <f>VLOOKUP(J34,'【3】大区填-楼栋基准格局定价'!B:H,7,0)</f>
        <v>2354.45</v>
      </c>
      <c r="M34" s="81" t="str">
        <f t="shared" si="17"/>
        <v>适中</v>
      </c>
      <c r="N34" s="81">
        <v>24.96</v>
      </c>
      <c r="O34" s="64">
        <f>VLOOKUP($M$1&amp;M34,【1】定价因子!E:F,2,0)</f>
        <v>1</v>
      </c>
      <c r="P34" s="64" t="str">
        <f>IF(COUNTIFS(户型资产表!E:E,I34,户型资产表!H:H,"阳台门")&gt;0,"有","无")</f>
        <v>有</v>
      </c>
      <c r="Q34" s="64">
        <f>VLOOKUP($P$1&amp;P34,【1】定价因子!E:F,2,0)</f>
        <v>1.07</v>
      </c>
      <c r="R34" s="64" t="str">
        <f>IF('【2】运营中心填-基本信息&amp;审核标准'!$D$4="是","无",IF(INT(H34/100)&gt;9,"9F",INT(H34/100)&amp;"F"))</f>
        <v>5F</v>
      </c>
      <c r="S34" s="64">
        <f>VLOOKUP(R34,【1】定价因子!D:F,3,0)</f>
        <v>0.99</v>
      </c>
      <c r="T34" s="64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无</v>
      </c>
      <c r="U34" s="64">
        <f>VLOOKUP($T$1&amp;T34,【1】定价因子!E:F,2,0)</f>
        <v>1</v>
      </c>
      <c r="V34" s="64" t="str">
        <f>IF(COUNTIFS(户型资产表!E:E,I34,户型资产表!H:H,"操作台")&gt;0,"有","无")</f>
        <v>有</v>
      </c>
      <c r="W34" s="64" t="str">
        <f>IF(COUNTIFS(户型资产表!E:E,I34,户型资产表!H:H,"书桌")&gt;0,"有","无")</f>
        <v>无</v>
      </c>
      <c r="X34" s="64" t="str" cm="1">
        <f t="array" ref="X34">IF(SUMPRODUCT((户型资产表!E:E=I34)*((户型资产表!I:I="沙发01单人")+(户型资产表!I:I="单人沙发02")+(户型资产表!I:I="租赁-单人沙发02")+(户型资产表!I:I="租赁-沙发01单人")))&gt;0,"有","无")</f>
        <v>无</v>
      </c>
      <c r="Y34" s="64" t="str" cm="1">
        <f t="array" ref="Y34">IF(SUMPRODUCT((户型资产表!E:E=I34)*((户型资产表!I:I="沙发02两人")+(户型资产表!I:I="双人沙发01")+(户型资产表!I:I="租赁-沙发02两人")+(户型资产表!I:I="租赁-双人沙发01")))&gt;0,"有","无")</f>
        <v>有</v>
      </c>
      <c r="Z34" s="64" t="str">
        <f>IF(COUNTIFS(户型资产表!E:E,I34,户型资产表!H:H,"餐桌")&gt;0,"有","无")</f>
        <v>有</v>
      </c>
      <c r="AA34" s="64" t="str">
        <f>IF(COUNTIFS(户型资产表!E:E,I34,户型资产表!H:H,"吸油烟机")&gt;0,"有","无")</f>
        <v>无</v>
      </c>
      <c r="AB34" s="64" t="str">
        <f>IF(COUNTIFS(户型资产表!E:E,I34,户型资产表!H:H,"冰箱")&gt;0,"有","无")</f>
        <v>无</v>
      </c>
      <c r="AC34" s="64" t="str">
        <f>IF(COUNTIFS(户型资产表!E:E,I34,户型资产表!H:H,"电视柜")&gt;0,"有","无")</f>
        <v>无</v>
      </c>
      <c r="AD34" s="63" t="str">
        <f t="shared" si="18"/>
        <v>适中</v>
      </c>
      <c r="AE34" s="64">
        <f>VLOOKUP($AD$1&amp;AD34,【1】定价因子!E:F,2,0)</f>
        <v>1</v>
      </c>
      <c r="AF34" s="63" t="str">
        <f t="shared" si="19"/>
        <v>适中</v>
      </c>
      <c r="AG34" s="64">
        <f>VLOOKUP($AF$1&amp;AF34,【1】定价因子!E:F,2,0)</f>
        <v>1</v>
      </c>
      <c r="AH34" s="63" t="str">
        <f t="shared" si="20"/>
        <v>适中</v>
      </c>
      <c r="AI34" s="64">
        <f>VLOOKUP($AH$1&amp;AH34,【1】定价因子!E:F,2,0)</f>
        <v>1</v>
      </c>
      <c r="AJ34" s="77" t="str">
        <f>VLOOKUP(H34,'【3-1】大区填-采光基本要素'!A:H,8,0)</f>
        <v>1</v>
      </c>
      <c r="AK34" s="64">
        <f>VLOOKUP($AJ$1&amp;AJ34,【1】定价因子!E:F,2,0)</f>
        <v>0.91</v>
      </c>
      <c r="AL34" s="82">
        <f t="shared" si="21"/>
        <v>2269.60268535</v>
      </c>
      <c r="AM34" s="77">
        <v>2140</v>
      </c>
      <c r="AN34" s="83">
        <f t="shared" si="22"/>
        <v>-0.0571036887586399</v>
      </c>
      <c r="AO34" s="81">
        <f>SUMIFS(户型资产表!M:M,户型资产表!I:I,"*租赁*",户型资产表!E:E,I34)</f>
        <v>287.38</v>
      </c>
      <c r="AP34" s="84">
        <f t="shared" si="10"/>
        <v>1852.62</v>
      </c>
    </row>
    <row r="35" ht="14.15" spans="1:42">
      <c r="A35" s="59" t="str">
        <f>'【2】运营中心填-基本信息&amp;审核标准'!$E$2</f>
        <v>东福围西街30栋</v>
      </c>
      <c r="B35" s="13">
        <f t="shared" si="11"/>
        <v>5</v>
      </c>
      <c r="C35" s="13">
        <f t="shared" si="1"/>
        <v>14</v>
      </c>
      <c r="D35" s="13">
        <f t="shared" si="2"/>
        <v>42</v>
      </c>
      <c r="E35" s="13"/>
      <c r="F35" s="13">
        <f t="shared" si="3"/>
        <v>14</v>
      </c>
      <c r="G35" s="13"/>
      <c r="H35" s="60">
        <v>503</v>
      </c>
      <c r="I35" s="61" t="s">
        <v>517</v>
      </c>
      <c r="J35" s="61" t="s">
        <v>40</v>
      </c>
      <c r="K35" s="13" t="str" cm="1">
        <f t="array" ref="K35">IFERROR(INDEX($J$2:$J$75,MATCH(0,IF(ISBLANK($J$2:$J$75),1,COUNTIF($K$1:K34,$J$2:$J$75)),0)),"")</f>
        <v/>
      </c>
      <c r="L35" s="62">
        <f>VLOOKUP(J35,'【3】大区填-楼栋基准格局定价'!B:H,7,0)</f>
        <v>1579.858</v>
      </c>
      <c r="M35" s="63" t="str">
        <f t="shared" si="17"/>
        <v>适中</v>
      </c>
      <c r="N35" s="63">
        <v>15.5</v>
      </c>
      <c r="O35" s="64">
        <f>VLOOKUP($M$1&amp;M35,【1】定价因子!E:F,2,0)</f>
        <v>1</v>
      </c>
      <c r="P35" s="64" t="str">
        <f>IF(COUNTIFS(户型资产表!E:E,I35,户型资产表!H:H,"阳台门")&gt;0,"有","无")</f>
        <v>无</v>
      </c>
      <c r="Q35" s="64">
        <f>VLOOKUP($P$1&amp;P35,【1】定价因子!E:F,2,0)</f>
        <v>1</v>
      </c>
      <c r="R35" s="64" t="str">
        <f>IF('【2】运营中心填-基本信息&amp;审核标准'!$D$4="是","无",IF(INT(H35/100)&gt;9,"9F",INT(H35/100)&amp;"F"))</f>
        <v>5F</v>
      </c>
      <c r="S35" s="64">
        <f>VLOOKUP(R35,【1】定价因子!D:F,3,0)</f>
        <v>0.99</v>
      </c>
      <c r="T35" s="64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无</v>
      </c>
      <c r="U35" s="64">
        <f>VLOOKUP($T$1&amp;T35,【1】定价因子!E:F,2,0)</f>
        <v>1</v>
      </c>
      <c r="V35" s="64" t="str">
        <f>IF(COUNTIFS(户型资产表!E:E,I35,户型资产表!H:H,"操作台")&gt;0,"有","无")</f>
        <v>有</v>
      </c>
      <c r="W35" s="64" t="str">
        <f>IF(COUNTIFS(户型资产表!E:E,I35,户型资产表!H:H,"书桌")&gt;0,"有","无")</f>
        <v>有</v>
      </c>
      <c r="X35" s="64" t="str" cm="1">
        <f t="array" ref="X35">IF(SUMPRODUCT((户型资产表!E:E=I35)*((户型资产表!I:I="沙发01单人")+(户型资产表!I:I="单人沙发02")+(户型资产表!I:I="租赁-单人沙发02")+(户型资产表!I:I="租赁-沙发01单人")))&gt;0,"有","无")</f>
        <v>无</v>
      </c>
      <c r="Y35" s="64" t="str" cm="1">
        <f t="array" ref="Y35">IF(SUMPRODUCT((户型资产表!E:E=I35)*((户型资产表!I:I="沙发02两人")+(户型资产表!I:I="双人沙发01")+(户型资产表!I:I="租赁-沙发02两人")+(户型资产表!I:I="租赁-双人沙发01")))&gt;0,"有","无")</f>
        <v>无</v>
      </c>
      <c r="Z35" s="64" t="str">
        <f>IF(COUNTIFS(户型资产表!E:E,I35,户型资产表!H:H,"餐桌")&gt;0,"有","无")</f>
        <v>无</v>
      </c>
      <c r="AA35" s="64" t="str">
        <f>IF(COUNTIFS(户型资产表!E:E,I35,户型资产表!H:H,"吸油烟机")&gt;0,"有","无")</f>
        <v>无</v>
      </c>
      <c r="AB35" s="64" t="str">
        <f>IF(COUNTIFS(户型资产表!E:E,I35,户型资产表!H:H,"冰箱")&gt;0,"有","无")</f>
        <v>无</v>
      </c>
      <c r="AC35" s="64" t="str">
        <f>IF(COUNTIFS(户型资产表!E:E,I35,户型资产表!H:H,"电视柜")&gt;0,"有","无")</f>
        <v>无</v>
      </c>
      <c r="AD35" s="63" t="str">
        <f t="shared" si="18"/>
        <v>适中</v>
      </c>
      <c r="AE35" s="64">
        <f>VLOOKUP($AD$1&amp;AD35,【1】定价因子!E:F,2,0)</f>
        <v>1</v>
      </c>
      <c r="AF35" s="63" t="str">
        <f t="shared" si="19"/>
        <v>适中</v>
      </c>
      <c r="AG35" s="64">
        <f>VLOOKUP($AF$1&amp;AF35,【1】定价因子!E:F,2,0)</f>
        <v>1</v>
      </c>
      <c r="AH35" s="63" t="str">
        <f t="shared" si="20"/>
        <v>适中</v>
      </c>
      <c r="AI35" s="64">
        <f>VLOOKUP($AH$1&amp;AH35,【1】定价因子!E:F,2,0)</f>
        <v>1</v>
      </c>
      <c r="AJ35" s="64" t="str">
        <f>VLOOKUP(H35,'【3-1】大区填-采光基本要素'!A:H,8,0)</f>
        <v>1</v>
      </c>
      <c r="AK35" s="64">
        <f>VLOOKUP($AJ$1&amp;AJ35,【1】定价因子!E:F,2,0)</f>
        <v>0.91</v>
      </c>
      <c r="AL35" s="65">
        <f t="shared" si="21"/>
        <v>1423.2940722</v>
      </c>
      <c r="AM35" s="13">
        <v>1370</v>
      </c>
      <c r="AN35" s="66">
        <f t="shared" si="22"/>
        <v>-0.0374441749185556</v>
      </c>
      <c r="AO35" s="67">
        <f>SUMIFS(户型资产表!M:M,户型资产表!I:I,"*租赁*",户型资产表!E:E,I35)</f>
        <v>232.39</v>
      </c>
      <c r="AP35" s="68">
        <f t="shared" ref="AP35:AP66" si="23">AM35-AO35</f>
        <v>1137.61</v>
      </c>
    </row>
    <row r="36" ht="14.15" spans="1:42">
      <c r="A36" s="59" t="str">
        <f>'【2】运营中心填-基本信息&amp;审核标准'!$E$2</f>
        <v>东福围西街30栋</v>
      </c>
      <c r="B36" s="13">
        <f t="shared" si="11"/>
        <v>5</v>
      </c>
      <c r="C36" s="13">
        <f t="shared" si="1"/>
        <v>14</v>
      </c>
      <c r="D36" s="13">
        <f t="shared" si="2"/>
        <v>42</v>
      </c>
      <c r="E36" s="13"/>
      <c r="F36" s="13">
        <f t="shared" si="3"/>
        <v>14</v>
      </c>
      <c r="G36" s="13"/>
      <c r="H36" s="60">
        <v>504</v>
      </c>
      <c r="I36" s="61" t="s">
        <v>518</v>
      </c>
      <c r="J36" s="61" t="s">
        <v>40</v>
      </c>
      <c r="K36" s="13" t="str" cm="1">
        <f t="array" ref="K36">IFERROR(INDEX($J$2:$J$75,MATCH(0,IF(ISBLANK($J$2:$J$75),1,COUNTIF($K$1:K35,$J$2:$J$75)),0)),"")</f>
        <v/>
      </c>
      <c r="L36" s="62">
        <f>VLOOKUP(J36,'【3】大区填-楼栋基准格局定价'!B:H,7,0)</f>
        <v>1579.858</v>
      </c>
      <c r="M36" s="63" t="str">
        <f t="shared" si="17"/>
        <v>适中</v>
      </c>
      <c r="N36" s="63">
        <v>16.94</v>
      </c>
      <c r="O36" s="64">
        <f>VLOOKUP($M$1&amp;M36,【1】定价因子!E:F,2,0)</f>
        <v>1</v>
      </c>
      <c r="P36" s="64" t="str">
        <f>IF(COUNTIFS(户型资产表!E:E,I36,户型资产表!H:H,"阳台门")&gt;0,"有","无")</f>
        <v>有</v>
      </c>
      <c r="Q36" s="64">
        <f>VLOOKUP($P$1&amp;P36,【1】定价因子!E:F,2,0)</f>
        <v>1.07</v>
      </c>
      <c r="R36" s="64" t="str">
        <f>IF('【2】运营中心填-基本信息&amp;审核标准'!$D$4="是","无",IF(INT(H36/100)&gt;9,"9F",INT(H36/100)&amp;"F"))</f>
        <v>5F</v>
      </c>
      <c r="S36" s="64">
        <f>VLOOKUP(R36,【1】定价因子!D:F,3,0)</f>
        <v>0.99</v>
      </c>
      <c r="T36" s="64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无</v>
      </c>
      <c r="U36" s="64">
        <f>VLOOKUP($T$1&amp;T36,【1】定价因子!E:F,2,0)</f>
        <v>1</v>
      </c>
      <c r="V36" s="64" t="str">
        <f>IF(COUNTIFS(户型资产表!E:E,I36,户型资产表!H:H,"操作台")&gt;0,"有","无")</f>
        <v>有</v>
      </c>
      <c r="W36" s="64" t="str">
        <f>IF(COUNTIFS(户型资产表!E:E,I36,户型资产表!H:H,"书桌")&gt;0,"有","无")</f>
        <v>有</v>
      </c>
      <c r="X36" s="64" t="str" cm="1">
        <f t="array" ref="X36">IF(SUMPRODUCT((户型资产表!E:E=I36)*((户型资产表!I:I="沙发01单人")+(户型资产表!I:I="单人沙发02")+(户型资产表!I:I="租赁-单人沙发02")+(户型资产表!I:I="租赁-沙发01单人")))&gt;0,"有","无")</f>
        <v>无</v>
      </c>
      <c r="Y36" s="64" t="str" cm="1">
        <f t="array" ref="Y36">IF(SUMPRODUCT((户型资产表!E:E=I36)*((户型资产表!I:I="沙发02两人")+(户型资产表!I:I="双人沙发01")+(户型资产表!I:I="租赁-沙发02两人")+(户型资产表!I:I="租赁-双人沙发01")))&gt;0,"有","无")</f>
        <v>无</v>
      </c>
      <c r="Z36" s="64" t="str">
        <f>IF(COUNTIFS(户型资产表!E:E,I36,户型资产表!H:H,"餐桌")&gt;0,"有","无")</f>
        <v>无</v>
      </c>
      <c r="AA36" s="64" t="str">
        <f>IF(COUNTIFS(户型资产表!E:E,I36,户型资产表!H:H,"吸油烟机")&gt;0,"有","无")</f>
        <v>无</v>
      </c>
      <c r="AB36" s="64" t="str">
        <f>IF(COUNTIFS(户型资产表!E:E,I36,户型资产表!H:H,"冰箱")&gt;0,"有","无")</f>
        <v>无</v>
      </c>
      <c r="AC36" s="64" t="str">
        <f>IF(COUNTIFS(户型资产表!E:E,I36,户型资产表!H:H,"电视柜")&gt;0,"有","无")</f>
        <v>无</v>
      </c>
      <c r="AD36" s="63" t="str">
        <f t="shared" si="18"/>
        <v>适中</v>
      </c>
      <c r="AE36" s="64">
        <f>VLOOKUP($AD$1&amp;AD36,【1】定价因子!E:F,2,0)</f>
        <v>1</v>
      </c>
      <c r="AF36" s="63" t="str">
        <f t="shared" si="19"/>
        <v>适中</v>
      </c>
      <c r="AG36" s="64">
        <f>VLOOKUP($AF$1&amp;AF36,【1】定价因子!E:F,2,0)</f>
        <v>1</v>
      </c>
      <c r="AH36" s="63" t="str">
        <f t="shared" si="20"/>
        <v>适中</v>
      </c>
      <c r="AI36" s="64">
        <f>VLOOKUP($AH$1&amp;AH36,【1】定价因子!E:F,2,0)</f>
        <v>1</v>
      </c>
      <c r="AJ36" s="64" t="str">
        <f>VLOOKUP(H36,'【3-1】大区填-采光基本要素'!A:H,8,0)</f>
        <v>1</v>
      </c>
      <c r="AK36" s="64">
        <f>VLOOKUP($AJ$1&amp;AJ36,【1】定价因子!E:F,2,0)</f>
        <v>0.91</v>
      </c>
      <c r="AL36" s="65">
        <f t="shared" si="21"/>
        <v>1522.924657254</v>
      </c>
      <c r="AM36" s="13">
        <v>1460</v>
      </c>
      <c r="AN36" s="66">
        <f t="shared" si="22"/>
        <v>-0.0413182995982613</v>
      </c>
      <c r="AO36" s="67">
        <f>SUMIFS(户型资产表!M:M,户型资产表!I:I,"*租赁*",户型资产表!E:E,I36)</f>
        <v>235.32</v>
      </c>
      <c r="AP36" s="68">
        <f t="shared" si="23"/>
        <v>1224.68</v>
      </c>
    </row>
    <row r="37" s="35" customFormat="1" ht="14.15" spans="1:42">
      <c r="A37" s="69" t="str">
        <f>'【2】运营中心填-基本信息&amp;审核标准'!$E$2</f>
        <v>东福围西街30栋</v>
      </c>
      <c r="B37" s="13">
        <f t="shared" si="11"/>
        <v>5</v>
      </c>
      <c r="C37" s="13">
        <f t="shared" si="1"/>
        <v>14</v>
      </c>
      <c r="D37" s="13">
        <f t="shared" si="2"/>
        <v>42</v>
      </c>
      <c r="E37" s="13"/>
      <c r="F37" s="13">
        <f t="shared" si="3"/>
        <v>14</v>
      </c>
      <c r="G37" s="13"/>
      <c r="H37" s="70">
        <v>505</v>
      </c>
      <c r="I37" s="71" t="s">
        <v>519</v>
      </c>
      <c r="J37" s="71" t="s">
        <v>43</v>
      </c>
      <c r="K37" s="13" t="str" cm="1">
        <f t="array" ref="K37">IFERROR(INDEX($J$2:$J$75,MATCH(0,IF(ISBLANK($J$2:$J$75),1,COUNTIF($K$1:K36,$J$2:$J$75)),0)),"")</f>
        <v/>
      </c>
      <c r="L37" s="72">
        <f>VLOOKUP(J37,'【3】大区填-楼栋基准格局定价'!B:H,7,0)</f>
        <v>2354.45</v>
      </c>
      <c r="M37" s="73" t="str">
        <f t="shared" si="17"/>
        <v>较宽敞</v>
      </c>
      <c r="N37" s="73">
        <v>27.55</v>
      </c>
      <c r="O37" s="64">
        <f>VLOOKUP($M$1&amp;M37,【1】定价因子!E:F,2,0)</f>
        <v>1.06</v>
      </c>
      <c r="P37" s="64" t="str">
        <f>IF(COUNTIFS(户型资产表!E:E,I37,户型资产表!H:H,"阳台门")&gt;0,"有","无")</f>
        <v>有</v>
      </c>
      <c r="Q37" s="64">
        <f>VLOOKUP($P$1&amp;P37,【1】定价因子!E:F,2,0)</f>
        <v>1.07</v>
      </c>
      <c r="R37" s="64" t="str">
        <f>IF('【2】运营中心填-基本信息&amp;审核标准'!$D$4="是","无",IF(INT(H37/100)&gt;9,"9F",INT(H37/100)&amp;"F"))</f>
        <v>5F</v>
      </c>
      <c r="S37" s="64">
        <f>VLOOKUP(R37,【1】定价因子!D:F,3,0)</f>
        <v>0.99</v>
      </c>
      <c r="T37" s="64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无</v>
      </c>
      <c r="U37" s="64">
        <f>VLOOKUP($T$1&amp;T37,【1】定价因子!E:F,2,0)</f>
        <v>1</v>
      </c>
      <c r="V37" s="64" t="str">
        <f>IF(COUNTIFS(户型资产表!E:E,I37,户型资产表!H:H,"操作台")&gt;0,"有","无")</f>
        <v>有</v>
      </c>
      <c r="W37" s="64" t="str">
        <f>IF(COUNTIFS(户型资产表!E:E,I37,户型资产表!H:H,"书桌")&gt;0,"有","无")</f>
        <v>无</v>
      </c>
      <c r="X37" s="64" t="str" cm="1">
        <f t="array" ref="X37">IF(SUMPRODUCT((户型资产表!E:E=I37)*((户型资产表!I:I="沙发01单人")+(户型资产表!I:I="单人沙发02")+(户型资产表!I:I="租赁-单人沙发02")+(户型资产表!I:I="租赁-沙发01单人")))&gt;0,"有","无")</f>
        <v>无</v>
      </c>
      <c r="Y37" s="64" t="str" cm="1">
        <f t="array" ref="Y37">IF(SUMPRODUCT((户型资产表!E:E=I37)*((户型资产表!I:I="沙发02两人")+(户型资产表!I:I="双人沙发01")+(户型资产表!I:I="租赁-沙发02两人")+(户型资产表!I:I="租赁-双人沙发01")))&gt;0,"有","无")</f>
        <v>有</v>
      </c>
      <c r="Z37" s="64" t="str">
        <f>IF(COUNTIFS(户型资产表!E:E,I37,户型资产表!H:H,"餐桌")&gt;0,"有","无")</f>
        <v>有</v>
      </c>
      <c r="AA37" s="64" t="str">
        <f>IF(COUNTIFS(户型资产表!E:E,I37,户型资产表!H:H,"吸油烟机")&gt;0,"有","无")</f>
        <v>无</v>
      </c>
      <c r="AB37" s="64" t="str">
        <f>IF(COUNTIFS(户型资产表!E:E,I37,户型资产表!H:H,"冰箱")&gt;0,"有","无")</f>
        <v>无</v>
      </c>
      <c r="AC37" s="64" t="str">
        <f>IF(COUNTIFS(户型资产表!E:E,I37,户型资产表!H:H,"电视柜")&gt;0,"有","无")</f>
        <v>无</v>
      </c>
      <c r="AD37" s="63" t="str">
        <f t="shared" si="18"/>
        <v>适中</v>
      </c>
      <c r="AE37" s="64">
        <f>VLOOKUP($AD$1&amp;AD37,【1】定价因子!E:F,2,0)</f>
        <v>1</v>
      </c>
      <c r="AF37" s="63" t="str">
        <f t="shared" si="19"/>
        <v>适中</v>
      </c>
      <c r="AG37" s="64">
        <f>VLOOKUP($AF$1&amp;AF37,【1】定价因子!E:F,2,0)</f>
        <v>1</v>
      </c>
      <c r="AH37" s="63" t="str">
        <f t="shared" si="20"/>
        <v>适中</v>
      </c>
      <c r="AI37" s="64">
        <f>VLOOKUP($AH$1&amp;AH37,【1】定价因子!E:F,2,0)</f>
        <v>1</v>
      </c>
      <c r="AJ37" s="69" t="str">
        <f>VLOOKUP(H37,'【3-1】大区填-采光基本要素'!A:H,8,0)</f>
        <v>2</v>
      </c>
      <c r="AK37" s="64">
        <f>VLOOKUP($AJ$1&amp;AJ37,【1】定价因子!E:F,2,0)</f>
        <v>0.96</v>
      </c>
      <c r="AL37" s="74">
        <f t="shared" si="21"/>
        <v>2537.964497376</v>
      </c>
      <c r="AM37" s="69">
        <v>2060</v>
      </c>
      <c r="AN37" s="75">
        <f t="shared" si="22"/>
        <v>-0.188325919401224</v>
      </c>
      <c r="AO37" s="73">
        <f>SUMIFS(户型资产表!M:M,户型资产表!I:I,"*租赁*",户型资产表!E:E,I37)</f>
        <v>266.9</v>
      </c>
      <c r="AP37" s="76">
        <f t="shared" si="23"/>
        <v>1793.1</v>
      </c>
    </row>
    <row r="38" ht="14.15" spans="1:42">
      <c r="A38" s="59" t="str">
        <f>'【2】运营中心填-基本信息&amp;审核标准'!$E$2</f>
        <v>东福围西街30栋</v>
      </c>
      <c r="B38" s="13">
        <f t="shared" si="11"/>
        <v>5</v>
      </c>
      <c r="C38" s="13">
        <f t="shared" si="1"/>
        <v>14</v>
      </c>
      <c r="D38" s="13">
        <f t="shared" si="2"/>
        <v>42</v>
      </c>
      <c r="E38" s="13"/>
      <c r="F38" s="13">
        <f t="shared" si="3"/>
        <v>14</v>
      </c>
      <c r="G38" s="13"/>
      <c r="H38" s="60">
        <v>506</v>
      </c>
      <c r="I38" s="61" t="s">
        <v>520</v>
      </c>
      <c r="J38" s="61" t="s">
        <v>40</v>
      </c>
      <c r="K38" s="13" t="str" cm="1">
        <f t="array" ref="K38">IFERROR(INDEX($J$2:$J$75,MATCH(0,IF(ISBLANK($J$2:$J$75),1,COUNTIF($K$1:K37,$J$2:$J$75)),0)),"")</f>
        <v/>
      </c>
      <c r="L38" s="62">
        <f>VLOOKUP(J38,'【3】大区填-楼栋基准格局定价'!B:H,7,0)</f>
        <v>1579.858</v>
      </c>
      <c r="M38" s="63" t="str">
        <f t="shared" si="17"/>
        <v>很宽敞</v>
      </c>
      <c r="N38" s="63">
        <v>21.32</v>
      </c>
      <c r="O38" s="64">
        <f>VLOOKUP($M$1&amp;M38,【1】定价因子!E:F,2,0)</f>
        <v>1.1</v>
      </c>
      <c r="P38" s="64" t="str">
        <f>IF(COUNTIFS(户型资产表!E:E,I38,户型资产表!H:H,"阳台门")&gt;0,"有","无")</f>
        <v>有</v>
      </c>
      <c r="Q38" s="64">
        <f>VLOOKUP($P$1&amp;P38,【1】定价因子!E:F,2,0)</f>
        <v>1.07</v>
      </c>
      <c r="R38" s="64" t="str">
        <f>IF('【2】运营中心填-基本信息&amp;审核标准'!$D$4="是","无",IF(INT(H38/100)&gt;9,"9F",INT(H38/100)&amp;"F"))</f>
        <v>5F</v>
      </c>
      <c r="S38" s="64">
        <f>VLOOKUP(R38,【1】定价因子!D:F,3,0)</f>
        <v>0.99</v>
      </c>
      <c r="T38" s="64" t="str">
        <f>IF('【2】运营中心填-基本信息&amp;审核标准'!$D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无</v>
      </c>
      <c r="U38" s="64">
        <f>VLOOKUP($T$1&amp;T38,【1】定价因子!E:F,2,0)</f>
        <v>1</v>
      </c>
      <c r="V38" s="64" t="str">
        <f>IF(COUNTIFS(户型资产表!E:E,I38,户型资产表!H:H,"操作台")&gt;0,"有","无")</f>
        <v>有</v>
      </c>
      <c r="W38" s="64" t="str">
        <f>IF(COUNTIFS(户型资产表!E:E,I38,户型资产表!H:H,"书桌")&gt;0,"有","无")</f>
        <v>有</v>
      </c>
      <c r="X38" s="64" t="str" cm="1">
        <f t="array" ref="X38">IF(SUMPRODUCT((户型资产表!E:E=I38)*((户型资产表!I:I="沙发01单人")+(户型资产表!I:I="单人沙发02")+(户型资产表!I:I="租赁-单人沙发02")+(户型资产表!I:I="租赁-沙发01单人")))&gt;0,"有","无")</f>
        <v>无</v>
      </c>
      <c r="Y38" s="64" t="str" cm="1">
        <f t="array" ref="Y38">IF(SUMPRODUCT((户型资产表!E:E=I38)*((户型资产表!I:I="沙发02两人")+(户型资产表!I:I="双人沙发01")+(户型资产表!I:I="租赁-沙发02两人")+(户型资产表!I:I="租赁-双人沙发01")))&gt;0,"有","无")</f>
        <v>无</v>
      </c>
      <c r="Z38" s="64" t="str">
        <f>IF(COUNTIFS(户型资产表!E:E,I38,户型资产表!H:H,"餐桌")&gt;0,"有","无")</f>
        <v>无</v>
      </c>
      <c r="AA38" s="64" t="str">
        <f>IF(COUNTIFS(户型资产表!E:E,I38,户型资产表!H:H,"吸油烟机")&gt;0,"有","无")</f>
        <v>无</v>
      </c>
      <c r="AB38" s="64" t="str">
        <f>IF(COUNTIFS(户型资产表!E:E,I38,户型资产表!H:H,"冰箱")&gt;0,"有","无")</f>
        <v>无</v>
      </c>
      <c r="AC38" s="64" t="str">
        <f>IF(COUNTIFS(户型资产表!E:E,I38,户型资产表!H:H,"电视柜")&gt;0,"有","无")</f>
        <v>无</v>
      </c>
      <c r="AD38" s="63" t="str">
        <f t="shared" si="18"/>
        <v>适中</v>
      </c>
      <c r="AE38" s="64">
        <f>VLOOKUP($AD$1&amp;AD38,【1】定价因子!E:F,2,0)</f>
        <v>1</v>
      </c>
      <c r="AF38" s="63" t="str">
        <f t="shared" si="19"/>
        <v>适中</v>
      </c>
      <c r="AG38" s="64">
        <f>VLOOKUP($AF$1&amp;AF38,【1】定价因子!E:F,2,0)</f>
        <v>1</v>
      </c>
      <c r="AH38" s="63" t="str">
        <f t="shared" si="20"/>
        <v>适中</v>
      </c>
      <c r="AI38" s="64">
        <f>VLOOKUP($AH$1&amp;AH38,【1】定价因子!E:F,2,0)</f>
        <v>1</v>
      </c>
      <c r="AJ38" s="64" t="str">
        <f>VLOOKUP(H38,'【3-1】大区填-采光基本要素'!A:H,8,0)</f>
        <v>3</v>
      </c>
      <c r="AK38" s="64">
        <f>VLOOKUP($AJ$1&amp;AJ38,【1】定价因子!E:F,2,0)</f>
        <v>1</v>
      </c>
      <c r="AL38" s="65">
        <f t="shared" si="21"/>
        <v>1840.89793734</v>
      </c>
      <c r="AM38" s="13">
        <v>1750</v>
      </c>
      <c r="AN38" s="66">
        <f t="shared" si="22"/>
        <v>-0.0493769564820865</v>
      </c>
      <c r="AO38" s="67">
        <f>SUMIFS(户型资产表!M:M,户型资产表!I:I,"*租赁*",户型资产表!E:E,I38)</f>
        <v>214.84</v>
      </c>
      <c r="AP38" s="68">
        <f t="shared" si="23"/>
        <v>1535.16</v>
      </c>
    </row>
    <row r="39" s="35" customFormat="1" ht="14.15" spans="1:42">
      <c r="A39" s="69" t="str">
        <f>'【2】运营中心填-基本信息&amp;审核标准'!$E$2</f>
        <v>东福围西街30栋</v>
      </c>
      <c r="B39" s="13">
        <f t="shared" si="11"/>
        <v>5</v>
      </c>
      <c r="C39" s="13">
        <f t="shared" si="1"/>
        <v>14</v>
      </c>
      <c r="D39" s="13">
        <f t="shared" si="2"/>
        <v>42</v>
      </c>
      <c r="E39" s="13"/>
      <c r="F39" s="13">
        <f t="shared" si="3"/>
        <v>14</v>
      </c>
      <c r="G39" s="13"/>
      <c r="H39" s="70">
        <v>507</v>
      </c>
      <c r="I39" s="71" t="s">
        <v>521</v>
      </c>
      <c r="J39" s="71" t="s">
        <v>43</v>
      </c>
      <c r="K39" s="13" t="str" cm="1">
        <f t="array" ref="K39">IFERROR(INDEX($J$2:$J$75,MATCH(0,IF(ISBLANK($J$2:$J$75),1,COUNTIF($K$1:K38,$J$2:$J$75)),0)),"")</f>
        <v/>
      </c>
      <c r="L39" s="72">
        <f>VLOOKUP(J39,'【3】大区填-楼栋基准格局定价'!B:H,7,0)</f>
        <v>2354.45</v>
      </c>
      <c r="M39" s="73" t="str">
        <f t="shared" si="17"/>
        <v>适中</v>
      </c>
      <c r="N39" s="73">
        <v>24.9</v>
      </c>
      <c r="O39" s="64">
        <f>VLOOKUP($M$1&amp;M39,【1】定价因子!E:F,2,0)</f>
        <v>1</v>
      </c>
      <c r="P39" s="64" t="str">
        <f>IF(COUNTIFS(户型资产表!E:E,I39,户型资产表!H:H,"阳台门")&gt;0,"有","无")</f>
        <v>无</v>
      </c>
      <c r="Q39" s="64">
        <f>VLOOKUP($P$1&amp;P39,【1】定价因子!E:F,2,0)</f>
        <v>1</v>
      </c>
      <c r="R39" s="64" t="str">
        <f>IF('【2】运营中心填-基本信息&amp;审核标准'!$D$4="是","无",IF(INT(H39/100)&gt;9,"9F",INT(H39/100)&amp;"F"))</f>
        <v>5F</v>
      </c>
      <c r="S39" s="64">
        <f>VLOOKUP(R39,【1】定价因子!D:F,3,0)</f>
        <v>0.99</v>
      </c>
      <c r="T39" s="64" t="str">
        <f>IF('【2】运营中心填-基本信息&amp;审核标准'!$D$4="否","无",IF(INT(H39/100)=1,"1F",IF(AND(INT(H39/100)&gt;=2,INT(H39/100)&lt;=3),"2-3F",IF(INT(H39/100)=4,"4F",IF(AND(INT(H39/100)&gt;=5,INT(H39/100)&lt;=6),"5-6F",IF(AND(INT(H39/100)&gt;=7,INT(H39/100)&lt;=8),"7-8F",IF(AND(INT(H39/100)&gt;=9,INT(H39/100)&lt;=10),"9-10F",IF(AND(INT(H39/100)&gt;=11,INT(H39/100)&lt;=12),"11-12F",IF(INT(H39/100)&gt;=13,"13以上F","")))))))))</f>
        <v>无</v>
      </c>
      <c r="U39" s="64">
        <f>VLOOKUP($T$1&amp;T39,【1】定价因子!E:F,2,0)</f>
        <v>1</v>
      </c>
      <c r="V39" s="64" t="str">
        <f>IF(COUNTIFS(户型资产表!E:E,I39,户型资产表!H:H,"操作台")&gt;0,"有","无")</f>
        <v>有</v>
      </c>
      <c r="W39" s="64" t="str">
        <f>IF(COUNTIFS(户型资产表!E:E,I39,户型资产表!H:H,"书桌")&gt;0,"有","无")</f>
        <v>有</v>
      </c>
      <c r="X39" s="64" t="str" cm="1">
        <f t="array" ref="X39">IF(SUMPRODUCT((户型资产表!E:E=I39)*((户型资产表!I:I="沙发01单人")+(户型资产表!I:I="单人沙发02")+(户型资产表!I:I="租赁-单人沙发02")+(户型资产表!I:I="租赁-沙发01单人")))&gt;0,"有","无")</f>
        <v>无</v>
      </c>
      <c r="Y39" s="64" t="str" cm="1">
        <f t="array" ref="Y39">IF(SUMPRODUCT((户型资产表!E:E=I39)*((户型资产表!I:I="沙发02两人")+(户型资产表!I:I="双人沙发01")+(户型资产表!I:I="租赁-沙发02两人")+(户型资产表!I:I="租赁-双人沙发01")))&gt;0,"有","无")</f>
        <v>有</v>
      </c>
      <c r="Z39" s="64" t="str">
        <f>IF(COUNTIFS(户型资产表!E:E,I39,户型资产表!H:H,"餐桌")&gt;0,"有","无")</f>
        <v>有</v>
      </c>
      <c r="AA39" s="64" t="str">
        <f>IF(COUNTIFS(户型资产表!E:E,I39,户型资产表!H:H,"吸油烟机")&gt;0,"有","无")</f>
        <v>无</v>
      </c>
      <c r="AB39" s="64" t="str">
        <f>IF(COUNTIFS(户型资产表!E:E,I39,户型资产表!H:H,"冰箱")&gt;0,"有","无")</f>
        <v>无</v>
      </c>
      <c r="AC39" s="64" t="str">
        <f>IF(COUNTIFS(户型资产表!E:E,I39,户型资产表!H:H,"电视柜")&gt;0,"有","无")</f>
        <v>无</v>
      </c>
      <c r="AD39" s="63" t="str">
        <f t="shared" si="18"/>
        <v>适中</v>
      </c>
      <c r="AE39" s="64">
        <f>VLOOKUP($AD$1&amp;AD39,【1】定价因子!E:F,2,0)</f>
        <v>1</v>
      </c>
      <c r="AF39" s="63" t="str">
        <f t="shared" si="19"/>
        <v>充配（书桌）</v>
      </c>
      <c r="AG39" s="64">
        <f>VLOOKUP($AF$1&amp;AF39,【1】定价因子!E:F,2,0)</f>
        <v>1.02</v>
      </c>
      <c r="AH39" s="63" t="str">
        <f t="shared" si="20"/>
        <v>适中</v>
      </c>
      <c r="AI39" s="64">
        <f>VLOOKUP($AH$1&amp;AH39,【1】定价因子!E:F,2,0)</f>
        <v>1</v>
      </c>
      <c r="AJ39" s="69" t="str">
        <f>VLOOKUP(H39,'【3-1】大区填-采光基本要素'!A:H,8,0)</f>
        <v>2</v>
      </c>
      <c r="AK39" s="64">
        <f>VLOOKUP($AJ$1&amp;AJ39,【1】定价因子!E:F,2,0)</f>
        <v>0.96</v>
      </c>
      <c r="AL39" s="74">
        <f t="shared" si="21"/>
        <v>2282.4226656</v>
      </c>
      <c r="AM39" s="69">
        <v>2070</v>
      </c>
      <c r="AN39" s="75">
        <f t="shared" si="22"/>
        <v>-0.093068943277497</v>
      </c>
      <c r="AO39" s="73">
        <f>SUMIFS(户型资产表!M:M,户型资产表!I:I,"*租赁*",户型资产表!E:E,I39)</f>
        <v>303.93</v>
      </c>
      <c r="AP39" s="76">
        <f t="shared" si="23"/>
        <v>1766.07</v>
      </c>
    </row>
    <row r="40" s="35" customFormat="1" ht="14.15" spans="1:42">
      <c r="A40" s="69" t="str">
        <f>'【2】运营中心填-基本信息&amp;审核标准'!$E$2</f>
        <v>东福围西街30栋</v>
      </c>
      <c r="B40" s="13">
        <f t="shared" si="11"/>
        <v>5</v>
      </c>
      <c r="C40" s="13">
        <f t="shared" si="1"/>
        <v>14</v>
      </c>
      <c r="D40" s="13">
        <f t="shared" si="2"/>
        <v>42</v>
      </c>
      <c r="E40" s="13"/>
      <c r="F40" s="13">
        <f t="shared" si="3"/>
        <v>14</v>
      </c>
      <c r="G40" s="13"/>
      <c r="H40" s="70">
        <v>508</v>
      </c>
      <c r="I40" s="71" t="s">
        <v>521</v>
      </c>
      <c r="J40" s="71" t="s">
        <v>43</v>
      </c>
      <c r="K40" s="13" t="str" cm="1">
        <f t="array" ref="K40">IFERROR(INDEX($J$2:$J$75,MATCH(0,IF(ISBLANK($J$2:$J$75),1,COUNTIF($K$1:K39,$J$2:$J$75)),0)),"")</f>
        <v/>
      </c>
      <c r="L40" s="72">
        <f>VLOOKUP(J40,'【3】大区填-楼栋基准格局定价'!B:H,7,0)</f>
        <v>2354.45</v>
      </c>
      <c r="M40" s="73" t="str">
        <f t="shared" si="17"/>
        <v>适中</v>
      </c>
      <c r="N40" s="73">
        <v>25.11</v>
      </c>
      <c r="O40" s="64">
        <f>VLOOKUP($M$1&amp;M40,【1】定价因子!E:F,2,0)</f>
        <v>1</v>
      </c>
      <c r="P40" s="64" t="str">
        <f>IF(COUNTIFS(户型资产表!E:E,I40,户型资产表!H:H,"阳台门")&gt;0,"有","无")</f>
        <v>无</v>
      </c>
      <c r="Q40" s="64">
        <f>VLOOKUP($P$1&amp;P40,【1】定价因子!E:F,2,0)</f>
        <v>1</v>
      </c>
      <c r="R40" s="64" t="str">
        <f>IF('【2】运营中心填-基本信息&amp;审核标准'!$D$4="是","无",IF(INT(H40/100)&gt;9,"9F",INT(H40/100)&amp;"F"))</f>
        <v>5F</v>
      </c>
      <c r="S40" s="64">
        <f>VLOOKUP(R40,【1】定价因子!D:F,3,0)</f>
        <v>0.99</v>
      </c>
      <c r="T40" s="64" t="str">
        <f>IF('【2】运营中心填-基本信息&amp;审核标准'!$D$4="否","无",IF(INT(H40/100)=1,"1F",IF(AND(INT(H40/100)&gt;=2,INT(H40/100)&lt;=3),"2-3F",IF(INT(H40/100)=4,"4F",IF(AND(INT(H40/100)&gt;=5,INT(H40/100)&lt;=6),"5-6F",IF(AND(INT(H40/100)&gt;=7,INT(H40/100)&lt;=8),"7-8F",IF(AND(INT(H40/100)&gt;=9,INT(H40/100)&lt;=10),"9-10F",IF(AND(INT(H40/100)&gt;=11,INT(H40/100)&lt;=12),"11-12F",IF(INT(H40/100)&gt;=13,"13以上F","")))))))))</f>
        <v>无</v>
      </c>
      <c r="U40" s="64">
        <f>VLOOKUP($T$1&amp;T40,【1】定价因子!E:F,2,0)</f>
        <v>1</v>
      </c>
      <c r="V40" s="64" t="str">
        <f>IF(COUNTIFS(户型资产表!E:E,I40,户型资产表!H:H,"操作台")&gt;0,"有","无")</f>
        <v>有</v>
      </c>
      <c r="W40" s="64" t="str">
        <f>IF(COUNTIFS(户型资产表!E:E,I40,户型资产表!H:H,"书桌")&gt;0,"有","无")</f>
        <v>有</v>
      </c>
      <c r="X40" s="64" t="str" cm="1">
        <f t="array" ref="X40">IF(SUMPRODUCT((户型资产表!E:E=I40)*((户型资产表!I:I="沙发01单人")+(户型资产表!I:I="单人沙发02")+(户型资产表!I:I="租赁-单人沙发02")+(户型资产表!I:I="租赁-沙发01单人")))&gt;0,"有","无")</f>
        <v>无</v>
      </c>
      <c r="Y40" s="64" t="str" cm="1">
        <f t="array" ref="Y40">IF(SUMPRODUCT((户型资产表!E:E=I40)*((户型资产表!I:I="沙发02两人")+(户型资产表!I:I="双人沙发01")+(户型资产表!I:I="租赁-沙发02两人")+(户型资产表!I:I="租赁-双人沙发01")))&gt;0,"有","无")</f>
        <v>有</v>
      </c>
      <c r="Z40" s="64" t="str">
        <f>IF(COUNTIFS(户型资产表!E:E,I40,户型资产表!H:H,"餐桌")&gt;0,"有","无")</f>
        <v>有</v>
      </c>
      <c r="AA40" s="64" t="str">
        <f>IF(COUNTIFS(户型资产表!E:E,I40,户型资产表!H:H,"吸油烟机")&gt;0,"有","无")</f>
        <v>无</v>
      </c>
      <c r="AB40" s="64" t="str">
        <f>IF(COUNTIFS(户型资产表!E:E,I40,户型资产表!H:H,"冰箱")&gt;0,"有","无")</f>
        <v>无</v>
      </c>
      <c r="AC40" s="64" t="str">
        <f>IF(COUNTIFS(户型资产表!E:E,I40,户型资产表!H:H,"电视柜")&gt;0,"有","无")</f>
        <v>无</v>
      </c>
      <c r="AD40" s="63" t="str">
        <f t="shared" si="18"/>
        <v>适中</v>
      </c>
      <c r="AE40" s="64">
        <f>VLOOKUP($AD$1&amp;AD40,【1】定价因子!E:F,2,0)</f>
        <v>1</v>
      </c>
      <c r="AF40" s="63" t="str">
        <f t="shared" si="19"/>
        <v>充配（书桌）</v>
      </c>
      <c r="AG40" s="64">
        <f>VLOOKUP($AF$1&amp;AF40,【1】定价因子!E:F,2,0)</f>
        <v>1.02</v>
      </c>
      <c r="AH40" s="63" t="str">
        <f t="shared" si="20"/>
        <v>适中</v>
      </c>
      <c r="AI40" s="64">
        <f>VLOOKUP($AH$1&amp;AH40,【1】定价因子!E:F,2,0)</f>
        <v>1</v>
      </c>
      <c r="AJ40" s="69" t="str">
        <f>VLOOKUP(H40,'【3-1】大区填-采光基本要素'!A:H,8,0)</f>
        <v>2</v>
      </c>
      <c r="AK40" s="64">
        <f>VLOOKUP($AJ$1&amp;AJ40,【1】定价因子!E:F,2,0)</f>
        <v>0.96</v>
      </c>
      <c r="AL40" s="74">
        <f t="shared" si="21"/>
        <v>2282.4226656</v>
      </c>
      <c r="AM40" s="69">
        <v>2070</v>
      </c>
      <c r="AN40" s="75">
        <f t="shared" si="22"/>
        <v>-0.093068943277497</v>
      </c>
      <c r="AO40" s="73">
        <f>SUMIFS(户型资产表!M:M,户型资产表!I:I,"*租赁*",户型资产表!E:E,I40)</f>
        <v>303.93</v>
      </c>
      <c r="AP40" s="76">
        <f t="shared" si="23"/>
        <v>1766.07</v>
      </c>
    </row>
    <row r="41" ht="14.15" spans="1:42">
      <c r="A41" s="59" t="str">
        <f>'【2】运营中心填-基本信息&amp;审核标准'!$E$2</f>
        <v>东福围西街30栋</v>
      </c>
      <c r="B41" s="13">
        <f t="shared" si="11"/>
        <v>5</v>
      </c>
      <c r="C41" s="13">
        <f t="shared" si="1"/>
        <v>14</v>
      </c>
      <c r="D41" s="13">
        <f t="shared" si="2"/>
        <v>42</v>
      </c>
      <c r="E41" s="13"/>
      <c r="F41" s="13">
        <f t="shared" si="3"/>
        <v>14</v>
      </c>
      <c r="G41" s="13"/>
      <c r="H41" s="60">
        <v>509</v>
      </c>
      <c r="I41" s="61" t="s">
        <v>520</v>
      </c>
      <c r="J41" s="61" t="s">
        <v>40</v>
      </c>
      <c r="K41" s="13" t="str" cm="1">
        <f t="array" ref="K41">IFERROR(INDEX($J$2:$J$75,MATCH(0,IF(ISBLANK($J$2:$J$75),1,COUNTIF($K$1:K40,$J$2:$J$75)),0)),"")</f>
        <v/>
      </c>
      <c r="L41" s="62">
        <f>VLOOKUP(J41,'【3】大区填-楼栋基准格局定价'!B:H,7,0)</f>
        <v>1579.858</v>
      </c>
      <c r="M41" s="63" t="str">
        <f t="shared" si="17"/>
        <v>很宽敞</v>
      </c>
      <c r="N41" s="63">
        <v>20.71</v>
      </c>
      <c r="O41" s="64">
        <f>VLOOKUP($M$1&amp;M41,【1】定价因子!E:F,2,0)</f>
        <v>1.1</v>
      </c>
      <c r="P41" s="64" t="str">
        <f>IF(COUNTIFS(户型资产表!E:E,I41,户型资产表!H:H,"阳台门")&gt;0,"有","无")</f>
        <v>有</v>
      </c>
      <c r="Q41" s="64">
        <f>VLOOKUP($P$1&amp;P41,【1】定价因子!E:F,2,0)</f>
        <v>1.07</v>
      </c>
      <c r="R41" s="64" t="str">
        <f>IF('【2】运营中心填-基本信息&amp;审核标准'!$D$4="是","无",IF(INT(H41/100)&gt;9,"9F",INT(H41/100)&amp;"F"))</f>
        <v>5F</v>
      </c>
      <c r="S41" s="64">
        <f>VLOOKUP(R41,【1】定价因子!D:F,3,0)</f>
        <v>0.99</v>
      </c>
      <c r="T41" s="64" t="str">
        <f>IF('【2】运营中心填-基本信息&amp;审核标准'!$D$4="否","无",IF(INT(H41/100)=1,"1F",IF(AND(INT(H41/100)&gt;=2,INT(H41/100)&lt;=3),"2-3F",IF(INT(H41/100)=4,"4F",IF(AND(INT(H41/100)&gt;=5,INT(H41/100)&lt;=6),"5-6F",IF(AND(INT(H41/100)&gt;=7,INT(H41/100)&lt;=8),"7-8F",IF(AND(INT(H41/100)&gt;=9,INT(H41/100)&lt;=10),"9-10F",IF(AND(INT(H41/100)&gt;=11,INT(H41/100)&lt;=12),"11-12F",IF(INT(H41/100)&gt;=13,"13以上F","")))))))))</f>
        <v>无</v>
      </c>
      <c r="U41" s="64">
        <f>VLOOKUP($T$1&amp;T41,【1】定价因子!E:F,2,0)</f>
        <v>1</v>
      </c>
      <c r="V41" s="64" t="str">
        <f>IF(COUNTIFS(户型资产表!E:E,I41,户型资产表!H:H,"操作台")&gt;0,"有","无")</f>
        <v>有</v>
      </c>
      <c r="W41" s="64" t="str">
        <f>IF(COUNTIFS(户型资产表!E:E,I41,户型资产表!H:H,"书桌")&gt;0,"有","无")</f>
        <v>有</v>
      </c>
      <c r="X41" s="64" t="str" cm="1">
        <f t="array" ref="X41">IF(SUMPRODUCT((户型资产表!E:E=I41)*((户型资产表!I:I="沙发01单人")+(户型资产表!I:I="单人沙发02")+(户型资产表!I:I="租赁-单人沙发02")+(户型资产表!I:I="租赁-沙发01单人")))&gt;0,"有","无")</f>
        <v>无</v>
      </c>
      <c r="Y41" s="64" t="str" cm="1">
        <f t="array" ref="Y41">IF(SUMPRODUCT((户型资产表!E:E=I41)*((户型资产表!I:I="沙发02两人")+(户型资产表!I:I="双人沙发01")+(户型资产表!I:I="租赁-沙发02两人")+(户型资产表!I:I="租赁-双人沙发01")))&gt;0,"有","无")</f>
        <v>无</v>
      </c>
      <c r="Z41" s="64" t="str">
        <f>IF(COUNTIFS(户型资产表!E:E,I41,户型资产表!H:H,"餐桌")&gt;0,"有","无")</f>
        <v>无</v>
      </c>
      <c r="AA41" s="64" t="str">
        <f>IF(COUNTIFS(户型资产表!E:E,I41,户型资产表!H:H,"吸油烟机")&gt;0,"有","无")</f>
        <v>无</v>
      </c>
      <c r="AB41" s="64" t="str">
        <f>IF(COUNTIFS(户型资产表!E:E,I41,户型资产表!H:H,"冰箱")&gt;0,"有","无")</f>
        <v>无</v>
      </c>
      <c r="AC41" s="64" t="str">
        <f>IF(COUNTIFS(户型资产表!E:E,I41,户型资产表!H:H,"电视柜")&gt;0,"有","无")</f>
        <v>无</v>
      </c>
      <c r="AD41" s="63" t="str">
        <f t="shared" si="18"/>
        <v>适中</v>
      </c>
      <c r="AE41" s="64">
        <f>VLOOKUP($AD$1&amp;AD41,【1】定价因子!E:F,2,0)</f>
        <v>1</v>
      </c>
      <c r="AF41" s="63" t="str">
        <f t="shared" si="19"/>
        <v>适中</v>
      </c>
      <c r="AG41" s="64">
        <f>VLOOKUP($AF$1&amp;AF41,【1】定价因子!E:F,2,0)</f>
        <v>1</v>
      </c>
      <c r="AH41" s="63" t="str">
        <f t="shared" si="20"/>
        <v>适中</v>
      </c>
      <c r="AI41" s="64">
        <f>VLOOKUP($AH$1&amp;AH41,【1】定价因子!E:F,2,0)</f>
        <v>1</v>
      </c>
      <c r="AJ41" s="64" t="str">
        <f>VLOOKUP(H41,'【3-1】大区填-采光基本要素'!A:H,8,0)</f>
        <v>3</v>
      </c>
      <c r="AK41" s="64">
        <f>VLOOKUP($AJ$1&amp;AJ41,【1】定价因子!E:F,2,0)</f>
        <v>1</v>
      </c>
      <c r="AL41" s="65">
        <f t="shared" si="21"/>
        <v>1840.89793734</v>
      </c>
      <c r="AM41" s="13">
        <v>1750</v>
      </c>
      <c r="AN41" s="66">
        <f t="shared" si="22"/>
        <v>-0.0493769564820865</v>
      </c>
      <c r="AO41" s="67">
        <f>SUMIFS(户型资产表!M:M,户型资产表!I:I,"*租赁*",户型资产表!E:E,I41)</f>
        <v>214.84</v>
      </c>
      <c r="AP41" s="68">
        <f t="shared" si="23"/>
        <v>1535.16</v>
      </c>
    </row>
    <row r="42" s="36" customFormat="1" ht="14.15" spans="1:42">
      <c r="A42" s="77" t="str">
        <f>'【2】运营中心填-基本信息&amp;审核标准'!$E$2</f>
        <v>东福围西街30栋</v>
      </c>
      <c r="B42" s="13">
        <f t="shared" si="11"/>
        <v>5</v>
      </c>
      <c r="C42" s="13">
        <f t="shared" si="1"/>
        <v>14</v>
      </c>
      <c r="D42" s="13">
        <f t="shared" si="2"/>
        <v>42</v>
      </c>
      <c r="E42" s="13"/>
      <c r="F42" s="13">
        <f t="shared" si="3"/>
        <v>14</v>
      </c>
      <c r="G42" s="13"/>
      <c r="H42" s="78">
        <v>510</v>
      </c>
      <c r="I42" s="79" t="s">
        <v>522</v>
      </c>
      <c r="J42" s="79" t="s">
        <v>43</v>
      </c>
      <c r="K42" s="13" t="str" cm="1">
        <f t="array" ref="K42">IFERROR(INDEX($J$2:$J$75,MATCH(0,IF(ISBLANK($J$2:$J$75),1,COUNTIF($K$1:K41,$J$2:$J$75)),0)),"")</f>
        <v/>
      </c>
      <c r="L42" s="80">
        <f>VLOOKUP(J42,'【3】大区填-楼栋基准格局定价'!B:H,7,0)</f>
        <v>2354.45</v>
      </c>
      <c r="M42" s="81" t="str">
        <f t="shared" si="17"/>
        <v>较宽敞</v>
      </c>
      <c r="N42" s="81">
        <v>27.55</v>
      </c>
      <c r="O42" s="64">
        <f>VLOOKUP($M$1&amp;M42,【1】定价因子!E:F,2,0)</f>
        <v>1.06</v>
      </c>
      <c r="P42" s="64" t="str">
        <f>IF(COUNTIFS(户型资产表!E:E,I42,户型资产表!H:H,"阳台门")&gt;0,"有","无")</f>
        <v>有</v>
      </c>
      <c r="Q42" s="64">
        <f>VLOOKUP($P$1&amp;P42,【1】定价因子!E:F,2,0)</f>
        <v>1.07</v>
      </c>
      <c r="R42" s="64" t="str">
        <f>IF('【2】运营中心填-基本信息&amp;审核标准'!$D$4="是","无",IF(INT(H42/100)&gt;9,"9F",INT(H42/100)&amp;"F"))</f>
        <v>5F</v>
      </c>
      <c r="S42" s="64">
        <f>VLOOKUP(R42,【1】定价因子!D:F,3,0)</f>
        <v>0.99</v>
      </c>
      <c r="T42" s="64" t="str">
        <f>IF('【2】运营中心填-基本信息&amp;审核标准'!$D$4="否","无",IF(INT(H42/100)=1,"1F",IF(AND(INT(H42/100)&gt;=2,INT(H42/100)&lt;=3),"2-3F",IF(INT(H42/100)=4,"4F",IF(AND(INT(H42/100)&gt;=5,INT(H42/100)&lt;=6),"5-6F",IF(AND(INT(H42/100)&gt;=7,INT(H42/100)&lt;=8),"7-8F",IF(AND(INT(H42/100)&gt;=9,INT(H42/100)&lt;=10),"9-10F",IF(AND(INT(H42/100)&gt;=11,INT(H42/100)&lt;=12),"11-12F",IF(INT(H42/100)&gt;=13,"13以上F","")))))))))</f>
        <v>无</v>
      </c>
      <c r="U42" s="64">
        <f>VLOOKUP($T$1&amp;T42,【1】定价因子!E:F,2,0)</f>
        <v>1</v>
      </c>
      <c r="V42" s="64" t="str">
        <f>IF(COUNTIFS(户型资产表!E:E,I42,户型资产表!H:H,"操作台")&gt;0,"有","无")</f>
        <v>有</v>
      </c>
      <c r="W42" s="64" t="str">
        <f>IF(COUNTIFS(户型资产表!E:E,I42,户型资产表!H:H,"书桌")&gt;0,"有","无")</f>
        <v>无</v>
      </c>
      <c r="X42" s="64" t="str" cm="1">
        <f t="array" ref="X42">IF(SUMPRODUCT((户型资产表!E:E=I42)*((户型资产表!I:I="沙发01单人")+(户型资产表!I:I="单人沙发02")+(户型资产表!I:I="租赁-单人沙发02")+(户型资产表!I:I="租赁-沙发01单人")))&gt;0,"有","无")</f>
        <v>无</v>
      </c>
      <c r="Y42" s="64" t="str" cm="1">
        <f t="array" ref="Y42">IF(SUMPRODUCT((户型资产表!E:E=I42)*((户型资产表!I:I="沙发02两人")+(户型资产表!I:I="双人沙发01")+(户型资产表!I:I="租赁-沙发02两人")+(户型资产表!I:I="租赁-双人沙发01")))&gt;0,"有","无")</f>
        <v>有</v>
      </c>
      <c r="Z42" s="64" t="str">
        <f>IF(COUNTIFS(户型资产表!E:E,I42,户型资产表!H:H,"餐桌")&gt;0,"有","无")</f>
        <v>有</v>
      </c>
      <c r="AA42" s="64" t="str">
        <f>IF(COUNTIFS(户型资产表!E:E,I42,户型资产表!H:H,"吸油烟机")&gt;0,"有","无")</f>
        <v>无</v>
      </c>
      <c r="AB42" s="64" t="str">
        <f>IF(COUNTIFS(户型资产表!E:E,I42,户型资产表!H:H,"冰箱")&gt;0,"有","无")</f>
        <v>无</v>
      </c>
      <c r="AC42" s="64" t="str">
        <f>IF(COUNTIFS(户型资产表!E:E,I42,户型资产表!H:H,"电视柜")&gt;0,"有","无")</f>
        <v>无</v>
      </c>
      <c r="AD42" s="63" t="str">
        <f t="shared" si="18"/>
        <v>适中</v>
      </c>
      <c r="AE42" s="64">
        <f>VLOOKUP($AD$1&amp;AD42,【1】定价因子!E:F,2,0)</f>
        <v>1</v>
      </c>
      <c r="AF42" s="63" t="str">
        <f t="shared" si="19"/>
        <v>适中</v>
      </c>
      <c r="AG42" s="64">
        <f>VLOOKUP($AF$1&amp;AF42,【1】定价因子!E:F,2,0)</f>
        <v>1</v>
      </c>
      <c r="AH42" s="63" t="str">
        <f t="shared" si="20"/>
        <v>适中</v>
      </c>
      <c r="AI42" s="64">
        <f>VLOOKUP($AH$1&amp;AH42,【1】定价因子!E:F,2,0)</f>
        <v>1</v>
      </c>
      <c r="AJ42" s="77" t="str">
        <f>VLOOKUP(H42,'【3-1】大区填-采光基本要素'!A:H,8,0)</f>
        <v>2</v>
      </c>
      <c r="AK42" s="64">
        <f>VLOOKUP($AJ$1&amp;AJ42,【1】定价因子!E:F,2,0)</f>
        <v>0.96</v>
      </c>
      <c r="AL42" s="82">
        <f t="shared" si="21"/>
        <v>2537.964497376</v>
      </c>
      <c r="AM42" s="77">
        <v>2380</v>
      </c>
      <c r="AN42" s="83">
        <f t="shared" si="22"/>
        <v>-0.0622406253276275</v>
      </c>
      <c r="AO42" s="81">
        <f>SUMIFS(户型资产表!M:M,户型资产表!I:I,"*租赁*",户型资产表!E:E,I42)</f>
        <v>266.9</v>
      </c>
      <c r="AP42" s="84">
        <f t="shared" si="23"/>
        <v>2113.1</v>
      </c>
    </row>
    <row r="43" ht="14.15" spans="1:42">
      <c r="A43" s="59" t="str">
        <f>'【2】运营中心填-基本信息&amp;审核标准'!$E$2</f>
        <v>东福围西街30栋</v>
      </c>
      <c r="B43" s="13">
        <f t="shared" si="11"/>
        <v>5</v>
      </c>
      <c r="C43" s="13">
        <f t="shared" si="1"/>
        <v>14</v>
      </c>
      <c r="D43" s="13">
        <f t="shared" si="2"/>
        <v>42</v>
      </c>
      <c r="E43" s="13"/>
      <c r="F43" s="13">
        <f t="shared" si="3"/>
        <v>14</v>
      </c>
      <c r="G43" s="13"/>
      <c r="H43" s="60">
        <v>511</v>
      </c>
      <c r="I43" s="61" t="s">
        <v>523</v>
      </c>
      <c r="J43" s="61" t="s">
        <v>40</v>
      </c>
      <c r="K43" s="13" t="str" cm="1">
        <f t="array" ref="K43">IFERROR(INDEX($J$2:$J$75,MATCH(0,IF(ISBLANK($J$2:$J$75),1,COUNTIF($K$1:K42,$J$2:$J$75)),0)),"")</f>
        <v/>
      </c>
      <c r="L43" s="62">
        <f>VLOOKUP(J43,'【3】大区填-楼栋基准格局定价'!B:H,7,0)</f>
        <v>1579.858</v>
      </c>
      <c r="M43" s="63" t="str">
        <f t="shared" si="17"/>
        <v>适中</v>
      </c>
      <c r="N43" s="63">
        <v>16.79</v>
      </c>
      <c r="O43" s="64">
        <f>VLOOKUP($M$1&amp;M43,【1】定价因子!E:F,2,0)</f>
        <v>1</v>
      </c>
      <c r="P43" s="64" t="str">
        <f>IF(COUNTIFS(户型资产表!E:E,I43,户型资产表!H:H,"阳台门")&gt;0,"有","无")</f>
        <v>有</v>
      </c>
      <c r="Q43" s="64">
        <f>VLOOKUP($P$1&amp;P43,【1】定价因子!E:F,2,0)</f>
        <v>1.07</v>
      </c>
      <c r="R43" s="64" t="str">
        <f>IF('【2】运营中心填-基本信息&amp;审核标准'!$D$4="是","无",IF(INT(H43/100)&gt;9,"9F",INT(H43/100)&amp;"F"))</f>
        <v>5F</v>
      </c>
      <c r="S43" s="64">
        <f>VLOOKUP(R43,【1】定价因子!D:F,3,0)</f>
        <v>0.99</v>
      </c>
      <c r="T43" s="64" t="str">
        <f>IF('【2】运营中心填-基本信息&amp;审核标准'!$D$4="否","无",IF(INT(H43/100)=1,"1F",IF(AND(INT(H43/100)&gt;=2,INT(H43/100)&lt;=3),"2-3F",IF(INT(H43/100)=4,"4F",IF(AND(INT(H43/100)&gt;=5,INT(H43/100)&lt;=6),"5-6F",IF(AND(INT(H43/100)&gt;=7,INT(H43/100)&lt;=8),"7-8F",IF(AND(INT(H43/100)&gt;=9,INT(H43/100)&lt;=10),"9-10F",IF(AND(INT(H43/100)&gt;=11,INT(H43/100)&lt;=12),"11-12F",IF(INT(H43/100)&gt;=13,"13以上F","")))))))))</f>
        <v>无</v>
      </c>
      <c r="U43" s="64">
        <f>VLOOKUP($T$1&amp;T43,【1】定价因子!E:F,2,0)</f>
        <v>1</v>
      </c>
      <c r="V43" s="64" t="str">
        <f>IF(COUNTIFS(户型资产表!E:E,I43,户型资产表!H:H,"操作台")&gt;0,"有","无")</f>
        <v>有</v>
      </c>
      <c r="W43" s="64" t="str">
        <f>IF(COUNTIFS(户型资产表!E:E,I43,户型资产表!H:H,"书桌")&gt;0,"有","无")</f>
        <v>有</v>
      </c>
      <c r="X43" s="64" t="str" cm="1">
        <f t="array" ref="X43">IF(SUMPRODUCT((户型资产表!E:E=I43)*((户型资产表!I:I="沙发01单人")+(户型资产表!I:I="单人沙发02")+(户型资产表!I:I="租赁-单人沙发02")+(户型资产表!I:I="租赁-沙发01单人")))&gt;0,"有","无")</f>
        <v>无</v>
      </c>
      <c r="Y43" s="64" t="str" cm="1">
        <f t="array" ref="Y43">IF(SUMPRODUCT((户型资产表!E:E=I43)*((户型资产表!I:I="沙发02两人")+(户型资产表!I:I="双人沙发01")+(户型资产表!I:I="租赁-沙发02两人")+(户型资产表!I:I="租赁-双人沙发01")))&gt;0,"有","无")</f>
        <v>无</v>
      </c>
      <c r="Z43" s="64" t="str">
        <f>IF(COUNTIFS(户型资产表!E:E,I43,户型资产表!H:H,"餐桌")&gt;0,"有","无")</f>
        <v>无</v>
      </c>
      <c r="AA43" s="64" t="str">
        <f>IF(COUNTIFS(户型资产表!E:E,I43,户型资产表!H:H,"吸油烟机")&gt;0,"有","无")</f>
        <v>无</v>
      </c>
      <c r="AB43" s="64" t="str">
        <f>IF(COUNTIFS(户型资产表!E:E,I43,户型资产表!H:H,"冰箱")&gt;0,"有","无")</f>
        <v>无</v>
      </c>
      <c r="AC43" s="64" t="str">
        <f>IF(COUNTIFS(户型资产表!E:E,I43,户型资产表!H:H,"电视柜")&gt;0,"有","无")</f>
        <v>无</v>
      </c>
      <c r="AD43" s="63" t="str">
        <f t="shared" si="18"/>
        <v>适中</v>
      </c>
      <c r="AE43" s="64">
        <f>VLOOKUP($AD$1&amp;AD43,【1】定价因子!E:F,2,0)</f>
        <v>1</v>
      </c>
      <c r="AF43" s="63" t="str">
        <f t="shared" si="19"/>
        <v>适中</v>
      </c>
      <c r="AG43" s="64">
        <f>VLOOKUP($AF$1&amp;AF43,【1】定价因子!E:F,2,0)</f>
        <v>1</v>
      </c>
      <c r="AH43" s="63" t="str">
        <f t="shared" si="20"/>
        <v>适中</v>
      </c>
      <c r="AI43" s="64">
        <f>VLOOKUP($AH$1&amp;AH43,【1】定价因子!E:F,2,0)</f>
        <v>1</v>
      </c>
      <c r="AJ43" s="64" t="str">
        <f>VLOOKUP(H43,'【3-1】大区填-采光基本要素'!A:H,8,0)</f>
        <v>1</v>
      </c>
      <c r="AK43" s="64">
        <f>VLOOKUP($AJ$1&amp;AJ43,【1】定价因子!E:F,2,0)</f>
        <v>0.91</v>
      </c>
      <c r="AL43" s="65">
        <f t="shared" si="21"/>
        <v>1522.924657254</v>
      </c>
      <c r="AM43" s="13">
        <v>1460</v>
      </c>
      <c r="AN43" s="66">
        <f t="shared" si="22"/>
        <v>-0.0413182995982613</v>
      </c>
      <c r="AO43" s="67">
        <f>SUMIFS(户型资产表!M:M,户型资产表!I:I,"*租赁*",户型资产表!E:E,I43)</f>
        <v>234.23</v>
      </c>
      <c r="AP43" s="68">
        <f t="shared" si="23"/>
        <v>1225.77</v>
      </c>
    </row>
    <row r="44" ht="14.15" spans="1:42">
      <c r="A44" s="59" t="str">
        <f>'【2】运营中心填-基本信息&amp;审核标准'!$E$2</f>
        <v>东福围西街30栋</v>
      </c>
      <c r="B44" s="13">
        <f t="shared" si="11"/>
        <v>5</v>
      </c>
      <c r="C44" s="13">
        <f t="shared" si="1"/>
        <v>14</v>
      </c>
      <c r="D44" s="13">
        <f t="shared" si="2"/>
        <v>42</v>
      </c>
      <c r="E44" s="13"/>
      <c r="F44" s="13">
        <f t="shared" si="3"/>
        <v>14</v>
      </c>
      <c r="G44" s="13"/>
      <c r="H44" s="60">
        <v>512</v>
      </c>
      <c r="I44" s="61" t="s">
        <v>524</v>
      </c>
      <c r="J44" s="61" t="s">
        <v>40</v>
      </c>
      <c r="K44" s="13" t="str" cm="1">
        <f t="array" ref="K44">IFERROR(INDEX($J$2:$J$75,MATCH(0,IF(ISBLANK($J$2:$J$75),1,COUNTIF($K$1:K43,$J$2:$J$75)),0)),"")</f>
        <v/>
      </c>
      <c r="L44" s="62">
        <f>VLOOKUP(J44,'【3】大区填-楼栋基准格局定价'!B:H,7,0)</f>
        <v>1579.858</v>
      </c>
      <c r="M44" s="63" t="str">
        <f t="shared" si="17"/>
        <v>适中</v>
      </c>
      <c r="N44" s="63">
        <v>16.48</v>
      </c>
      <c r="O44" s="64">
        <f>VLOOKUP($M$1&amp;M44,【1】定价因子!E:F,2,0)</f>
        <v>1</v>
      </c>
      <c r="P44" s="64" t="str">
        <f>IF(COUNTIFS(户型资产表!E:E,I44,户型资产表!H:H,"阳台门")&gt;0,"有","无")</f>
        <v>无</v>
      </c>
      <c r="Q44" s="64">
        <f>VLOOKUP($P$1&amp;P44,【1】定价因子!E:F,2,0)</f>
        <v>1</v>
      </c>
      <c r="R44" s="64" t="str">
        <f>IF('【2】运营中心填-基本信息&amp;审核标准'!$D$4="是","无",IF(INT(H44/100)&gt;9,"9F",INT(H44/100)&amp;"F"))</f>
        <v>5F</v>
      </c>
      <c r="S44" s="64">
        <f>VLOOKUP(R44,【1】定价因子!D:F,3,0)</f>
        <v>0.99</v>
      </c>
      <c r="T44" s="64" t="str">
        <f>IF('【2】运营中心填-基本信息&amp;审核标准'!$D$4="否","无",IF(INT(H44/100)=1,"1F",IF(AND(INT(H44/100)&gt;=2,INT(H44/100)&lt;=3),"2-3F",IF(INT(H44/100)=4,"4F",IF(AND(INT(H44/100)&gt;=5,INT(H44/100)&lt;=6),"5-6F",IF(AND(INT(H44/100)&gt;=7,INT(H44/100)&lt;=8),"7-8F",IF(AND(INT(H44/100)&gt;=9,INT(H44/100)&lt;=10),"9-10F",IF(AND(INT(H44/100)&gt;=11,INT(H44/100)&lt;=12),"11-12F",IF(INT(H44/100)&gt;=13,"13以上F","")))))))))</f>
        <v>无</v>
      </c>
      <c r="U44" s="64">
        <f>VLOOKUP($T$1&amp;T44,【1】定价因子!E:F,2,0)</f>
        <v>1</v>
      </c>
      <c r="V44" s="64" t="str">
        <f>IF(COUNTIFS(户型资产表!E:E,I44,户型资产表!H:H,"操作台")&gt;0,"有","无")</f>
        <v>有</v>
      </c>
      <c r="W44" s="64" t="str">
        <f>IF(COUNTIFS(户型资产表!E:E,I44,户型资产表!H:H,"书桌")&gt;0,"有","无")</f>
        <v>有</v>
      </c>
      <c r="X44" s="64" t="str" cm="1">
        <f t="array" ref="X44">IF(SUMPRODUCT((户型资产表!E:E=I44)*((户型资产表!I:I="沙发01单人")+(户型资产表!I:I="单人沙发02")+(户型资产表!I:I="租赁-单人沙发02")+(户型资产表!I:I="租赁-沙发01单人")))&gt;0,"有","无")</f>
        <v>无</v>
      </c>
      <c r="Y44" s="64" t="str" cm="1">
        <f t="array" ref="Y44">IF(SUMPRODUCT((户型资产表!E:E=I44)*((户型资产表!I:I="沙发02两人")+(户型资产表!I:I="双人沙发01")+(户型资产表!I:I="租赁-沙发02两人")+(户型资产表!I:I="租赁-双人沙发01")))&gt;0,"有","无")</f>
        <v>无</v>
      </c>
      <c r="Z44" s="64" t="str">
        <f>IF(COUNTIFS(户型资产表!E:E,I44,户型资产表!H:H,"餐桌")&gt;0,"有","无")</f>
        <v>无</v>
      </c>
      <c r="AA44" s="64" t="str">
        <f>IF(COUNTIFS(户型资产表!E:E,I44,户型资产表!H:H,"吸油烟机")&gt;0,"有","无")</f>
        <v>无</v>
      </c>
      <c r="AB44" s="64" t="str">
        <f>IF(COUNTIFS(户型资产表!E:E,I44,户型资产表!H:H,"冰箱")&gt;0,"有","无")</f>
        <v>无</v>
      </c>
      <c r="AC44" s="64" t="str">
        <f>IF(COUNTIFS(户型资产表!E:E,I44,户型资产表!H:H,"电视柜")&gt;0,"有","无")</f>
        <v>无</v>
      </c>
      <c r="AD44" s="63" t="str">
        <f t="shared" si="18"/>
        <v>适中</v>
      </c>
      <c r="AE44" s="64">
        <f>VLOOKUP($AD$1&amp;AD44,【1】定价因子!E:F,2,0)</f>
        <v>1</v>
      </c>
      <c r="AF44" s="63" t="str">
        <f t="shared" si="19"/>
        <v>适中</v>
      </c>
      <c r="AG44" s="64">
        <f>VLOOKUP($AF$1&amp;AF44,【1】定价因子!E:F,2,0)</f>
        <v>1</v>
      </c>
      <c r="AH44" s="63" t="str">
        <f t="shared" si="20"/>
        <v>适中</v>
      </c>
      <c r="AI44" s="64">
        <f>VLOOKUP($AH$1&amp;AH44,【1】定价因子!E:F,2,0)</f>
        <v>1</v>
      </c>
      <c r="AJ44" s="64" t="str">
        <f>VLOOKUP(H44,'【3-1】大区填-采光基本要素'!A:H,8,0)</f>
        <v>1</v>
      </c>
      <c r="AK44" s="64">
        <f>VLOOKUP($AJ$1&amp;AJ44,【1】定价因子!E:F,2,0)</f>
        <v>0.91</v>
      </c>
      <c r="AL44" s="65">
        <f t="shared" si="21"/>
        <v>1423.2940722</v>
      </c>
      <c r="AM44" s="13">
        <v>1370</v>
      </c>
      <c r="AN44" s="66">
        <f t="shared" si="22"/>
        <v>-0.0374441749185556</v>
      </c>
      <c r="AO44" s="67">
        <f>SUMIFS(户型资产表!M:M,户型资产表!I:I,"*租赁*",户型资产表!E:E,I44)</f>
        <v>232.39</v>
      </c>
      <c r="AP44" s="68">
        <f t="shared" si="23"/>
        <v>1137.61</v>
      </c>
    </row>
    <row r="45" s="35" customFormat="1" ht="14.15" spans="1:42">
      <c r="A45" s="69" t="str">
        <f>'【2】运营中心填-基本信息&amp;审核标准'!$E$2</f>
        <v>东福围西街30栋</v>
      </c>
      <c r="B45" s="13">
        <f t="shared" si="11"/>
        <v>5</v>
      </c>
      <c r="C45" s="13">
        <f t="shared" si="1"/>
        <v>14</v>
      </c>
      <c r="D45" s="13">
        <f t="shared" si="2"/>
        <v>42</v>
      </c>
      <c r="E45" s="13"/>
      <c r="F45" s="13">
        <f t="shared" si="3"/>
        <v>14</v>
      </c>
      <c r="G45" s="13"/>
      <c r="H45" s="70">
        <v>513</v>
      </c>
      <c r="I45" s="71" t="s">
        <v>516</v>
      </c>
      <c r="J45" s="71" t="s">
        <v>43</v>
      </c>
      <c r="K45" s="13" t="str" cm="1">
        <f t="array" ref="K45">IFERROR(INDEX($J$2:$J$75,MATCH(0,IF(ISBLANK($J$2:$J$75),1,COUNTIF($K$1:K44,$J$2:$J$75)),0)),"")</f>
        <v/>
      </c>
      <c r="L45" s="72">
        <f>VLOOKUP(J45,'【3】大区填-楼栋基准格局定价'!B:H,7,0)</f>
        <v>2354.45</v>
      </c>
      <c r="M45" s="73" t="str">
        <f t="shared" si="17"/>
        <v>较宽敞</v>
      </c>
      <c r="N45" s="73">
        <v>26.07</v>
      </c>
      <c r="O45" s="64">
        <f>VLOOKUP($M$1&amp;M45,【1】定价因子!E:F,2,0)</f>
        <v>1.06</v>
      </c>
      <c r="P45" s="64" t="str">
        <f>IF(COUNTIFS(户型资产表!E:E,I45,户型资产表!H:H,"阳台门")&gt;0,"有","无")</f>
        <v>有</v>
      </c>
      <c r="Q45" s="64">
        <f>VLOOKUP($P$1&amp;P45,【1】定价因子!E:F,2,0)</f>
        <v>1.07</v>
      </c>
      <c r="R45" s="64" t="str">
        <f>IF('【2】运营中心填-基本信息&amp;审核标准'!$D$4="是","无",IF(INT(H45/100)&gt;9,"9F",INT(H45/100)&amp;"F"))</f>
        <v>5F</v>
      </c>
      <c r="S45" s="64">
        <f>VLOOKUP(R45,【1】定价因子!D:F,3,0)</f>
        <v>0.99</v>
      </c>
      <c r="T45" s="64" t="str">
        <f>IF('【2】运营中心填-基本信息&amp;审核标准'!$D$4="否","无",IF(INT(H45/100)=1,"1F",IF(AND(INT(H45/100)&gt;=2,INT(H45/100)&lt;=3),"2-3F",IF(INT(H45/100)=4,"4F",IF(AND(INT(H45/100)&gt;=5,INT(H45/100)&lt;=6),"5-6F",IF(AND(INT(H45/100)&gt;=7,INT(H45/100)&lt;=8),"7-8F",IF(AND(INT(H45/100)&gt;=9,INT(H45/100)&lt;=10),"9-10F",IF(AND(INT(H45/100)&gt;=11,INT(H45/100)&lt;=12),"11-12F",IF(INT(H45/100)&gt;=13,"13以上F","")))))))))</f>
        <v>无</v>
      </c>
      <c r="U45" s="64">
        <f>VLOOKUP($T$1&amp;T45,【1】定价因子!E:F,2,0)</f>
        <v>1</v>
      </c>
      <c r="V45" s="64" t="str">
        <f>IF(COUNTIFS(户型资产表!E:E,I45,户型资产表!H:H,"操作台")&gt;0,"有","无")</f>
        <v>有</v>
      </c>
      <c r="W45" s="64" t="str">
        <f>IF(COUNTIFS(户型资产表!E:E,I45,户型资产表!H:H,"书桌")&gt;0,"有","无")</f>
        <v>无</v>
      </c>
      <c r="X45" s="64" t="str" cm="1">
        <f t="array" ref="X45">IF(SUMPRODUCT((户型资产表!E:E=I45)*((户型资产表!I:I="沙发01单人")+(户型资产表!I:I="单人沙发02")+(户型资产表!I:I="租赁-单人沙发02")+(户型资产表!I:I="租赁-沙发01单人")))&gt;0,"有","无")</f>
        <v>无</v>
      </c>
      <c r="Y45" s="64" t="str" cm="1">
        <f t="array" ref="Y45">IF(SUMPRODUCT((户型资产表!E:E=I45)*((户型资产表!I:I="沙发02两人")+(户型资产表!I:I="双人沙发01")+(户型资产表!I:I="租赁-沙发02两人")+(户型资产表!I:I="租赁-双人沙发01")))&gt;0,"有","无")</f>
        <v>有</v>
      </c>
      <c r="Z45" s="64" t="str">
        <f>IF(COUNTIFS(户型资产表!E:E,I45,户型资产表!H:H,"餐桌")&gt;0,"有","无")</f>
        <v>有</v>
      </c>
      <c r="AA45" s="64" t="str">
        <f>IF(COUNTIFS(户型资产表!E:E,I45,户型资产表!H:H,"吸油烟机")&gt;0,"有","无")</f>
        <v>无</v>
      </c>
      <c r="AB45" s="64" t="str">
        <f>IF(COUNTIFS(户型资产表!E:E,I45,户型资产表!H:H,"冰箱")&gt;0,"有","无")</f>
        <v>无</v>
      </c>
      <c r="AC45" s="64" t="str">
        <f>IF(COUNTIFS(户型资产表!E:E,I45,户型资产表!H:H,"电视柜")&gt;0,"有","无")</f>
        <v>无</v>
      </c>
      <c r="AD45" s="63" t="str">
        <f t="shared" si="18"/>
        <v>适中</v>
      </c>
      <c r="AE45" s="64">
        <f>VLOOKUP($AD$1&amp;AD45,【1】定价因子!E:F,2,0)</f>
        <v>1</v>
      </c>
      <c r="AF45" s="63" t="str">
        <f t="shared" si="19"/>
        <v>适中</v>
      </c>
      <c r="AG45" s="64">
        <f>VLOOKUP($AF$1&amp;AF45,【1】定价因子!E:F,2,0)</f>
        <v>1</v>
      </c>
      <c r="AH45" s="63" t="str">
        <f t="shared" si="20"/>
        <v>适中</v>
      </c>
      <c r="AI45" s="64">
        <f>VLOOKUP($AH$1&amp;AH45,【1】定价因子!E:F,2,0)</f>
        <v>1</v>
      </c>
      <c r="AJ45" s="69" t="str">
        <f>VLOOKUP(H45,'【3-1】大区填-采光基本要素'!A:H,8,0)</f>
        <v>1</v>
      </c>
      <c r="AK45" s="64">
        <f>VLOOKUP($AJ$1&amp;AJ45,【1】定价因子!E:F,2,0)</f>
        <v>0.91</v>
      </c>
      <c r="AL45" s="74">
        <f t="shared" si="21"/>
        <v>2405.778846471</v>
      </c>
      <c r="AM45" s="69">
        <v>2040</v>
      </c>
      <c r="AN45" s="75">
        <f t="shared" si="22"/>
        <v>-0.152041758538012</v>
      </c>
      <c r="AO45" s="73">
        <f>SUMIFS(户型资产表!M:M,户型资产表!I:I,"*租赁*",户型资产表!E:E,I45)</f>
        <v>287.38</v>
      </c>
      <c r="AP45" s="76">
        <f t="shared" si="23"/>
        <v>1752.62</v>
      </c>
    </row>
    <row r="46" s="35" customFormat="1" ht="14.15" spans="1:42">
      <c r="A46" s="69" t="str">
        <f>'【2】运营中心填-基本信息&amp;审核标准'!$E$2</f>
        <v>东福围西街30栋</v>
      </c>
      <c r="B46" s="13">
        <f t="shared" si="11"/>
        <v>5</v>
      </c>
      <c r="C46" s="13">
        <f t="shared" si="1"/>
        <v>14</v>
      </c>
      <c r="D46" s="13">
        <f t="shared" si="2"/>
        <v>42</v>
      </c>
      <c r="E46" s="13"/>
      <c r="F46" s="13">
        <f t="shared" si="3"/>
        <v>14</v>
      </c>
      <c r="G46" s="13"/>
      <c r="H46" s="70">
        <v>514</v>
      </c>
      <c r="I46" s="71" t="s">
        <v>515</v>
      </c>
      <c r="J46" s="71" t="s">
        <v>43</v>
      </c>
      <c r="K46" s="13" t="str" cm="1">
        <f t="array" ref="K46">IFERROR(INDEX($J$2:$J$75,MATCH(0,IF(ISBLANK($J$2:$J$75),1,COUNTIF($K$1:K45,$J$2:$J$75)),0)),"")</f>
        <v/>
      </c>
      <c r="L46" s="72">
        <f>VLOOKUP(J46,'【3】大区填-楼栋基准格局定价'!B:H,7,0)</f>
        <v>2354.45</v>
      </c>
      <c r="M46" s="73" t="str">
        <f t="shared" si="17"/>
        <v>很狭小</v>
      </c>
      <c r="N46" s="73">
        <v>19.55</v>
      </c>
      <c r="O46" s="64">
        <f>VLOOKUP($M$1&amp;M46,【1】定价因子!E:F,2,0)</f>
        <v>0.9</v>
      </c>
      <c r="P46" s="64" t="str">
        <f>IF(COUNTIFS(户型资产表!E:E,I46,户型资产表!H:H,"阳台门")&gt;0,"有","无")</f>
        <v>无</v>
      </c>
      <c r="Q46" s="64">
        <f>VLOOKUP($P$1&amp;P46,【1】定价因子!E:F,2,0)</f>
        <v>1</v>
      </c>
      <c r="R46" s="64" t="str">
        <f>IF('【2】运营中心填-基本信息&amp;审核标准'!$D$4="是","无",IF(INT(H46/100)&gt;9,"9F",INT(H46/100)&amp;"F"))</f>
        <v>5F</v>
      </c>
      <c r="S46" s="64">
        <f>VLOOKUP(R46,【1】定价因子!D:F,3,0)</f>
        <v>0.99</v>
      </c>
      <c r="T46" s="64" t="str">
        <f>IF('【2】运营中心填-基本信息&amp;审核标准'!$D$4="否","无",IF(INT(H46/100)=1,"1F",IF(AND(INT(H46/100)&gt;=2,INT(H46/100)&lt;=3),"2-3F",IF(INT(H46/100)=4,"4F",IF(AND(INT(H46/100)&gt;=5,INT(H46/100)&lt;=6),"5-6F",IF(AND(INT(H46/100)&gt;=7,INT(H46/100)&lt;=8),"7-8F",IF(AND(INT(H46/100)&gt;=9,INT(H46/100)&lt;=10),"9-10F",IF(AND(INT(H46/100)&gt;=11,INT(H46/100)&lt;=12),"11-12F",IF(INT(H46/100)&gt;=13,"13以上F","")))))))))</f>
        <v>无</v>
      </c>
      <c r="U46" s="64">
        <f>VLOOKUP($T$1&amp;T46,【1】定价因子!E:F,2,0)</f>
        <v>1</v>
      </c>
      <c r="V46" s="64" t="str">
        <f>IF(COUNTIFS(户型资产表!E:E,I46,户型资产表!H:H,"操作台")&gt;0,"有","无")</f>
        <v>有</v>
      </c>
      <c r="W46" s="64" t="str">
        <f>IF(COUNTIFS(户型资产表!E:E,I46,户型资产表!H:H,"书桌")&gt;0,"有","无")</f>
        <v>无</v>
      </c>
      <c r="X46" s="64" t="str" cm="1">
        <f t="array" ref="X46">IF(SUMPRODUCT((户型资产表!E:E=I46)*((户型资产表!I:I="沙发01单人")+(户型资产表!I:I="单人沙发02")+(户型资产表!I:I="租赁-单人沙发02")+(户型资产表!I:I="租赁-沙发01单人")))&gt;0,"有","无")</f>
        <v>无</v>
      </c>
      <c r="Y46" s="64" t="str" cm="1">
        <f t="array" ref="Y46">IF(SUMPRODUCT((户型资产表!E:E=I46)*((户型资产表!I:I="沙发02两人")+(户型资产表!I:I="双人沙发01")+(户型资产表!I:I="租赁-沙发02两人")+(户型资产表!I:I="租赁-双人沙发01")))&gt;0,"有","无")</f>
        <v>有</v>
      </c>
      <c r="Z46" s="64" t="str">
        <f>IF(COUNTIFS(户型资产表!E:E,I46,户型资产表!H:H,"餐桌")&gt;0,"有","无")</f>
        <v>有</v>
      </c>
      <c r="AA46" s="64" t="str">
        <f>IF(COUNTIFS(户型资产表!E:E,I46,户型资产表!H:H,"吸油烟机")&gt;0,"有","无")</f>
        <v>无</v>
      </c>
      <c r="AB46" s="64" t="str">
        <f>IF(COUNTIFS(户型资产表!E:E,I46,户型资产表!H:H,"冰箱")&gt;0,"有","无")</f>
        <v>无</v>
      </c>
      <c r="AC46" s="64" t="str">
        <f>IF(COUNTIFS(户型资产表!E:E,I46,户型资产表!H:H,"电视柜")&gt;0,"有","无")</f>
        <v>无</v>
      </c>
      <c r="AD46" s="63" t="str">
        <f t="shared" si="18"/>
        <v>适中</v>
      </c>
      <c r="AE46" s="64">
        <f>VLOOKUP($AD$1&amp;AD46,【1】定价因子!E:F,2,0)</f>
        <v>1</v>
      </c>
      <c r="AF46" s="63" t="str">
        <f t="shared" si="19"/>
        <v>适中</v>
      </c>
      <c r="AG46" s="64">
        <f>VLOOKUP($AF$1&amp;AF46,【1】定价因子!E:F,2,0)</f>
        <v>1</v>
      </c>
      <c r="AH46" s="63" t="str">
        <f t="shared" si="20"/>
        <v>适中</v>
      </c>
      <c r="AI46" s="64">
        <f>VLOOKUP($AH$1&amp;AH46,【1】定价因子!E:F,2,0)</f>
        <v>1</v>
      </c>
      <c r="AJ46" s="69" t="str">
        <f>VLOOKUP(H46,'【3-1】大区填-采光基本要素'!A:H,8,0)</f>
        <v>1</v>
      </c>
      <c r="AK46" s="64">
        <f>VLOOKUP($AJ$1&amp;AJ46,【1】定价因子!E:F,2,0)</f>
        <v>0.91</v>
      </c>
      <c r="AL46" s="74">
        <f t="shared" si="21"/>
        <v>1909.0116045</v>
      </c>
      <c r="AM46" s="69">
        <v>1710</v>
      </c>
      <c r="AN46" s="75">
        <f t="shared" si="22"/>
        <v>-0.104248504320708</v>
      </c>
      <c r="AO46" s="73">
        <f>SUMIFS(户型资产表!M:M,户型资产表!I:I,"*租赁*",户型资产表!E:E,I46)</f>
        <v>276.06</v>
      </c>
      <c r="AP46" s="76">
        <f t="shared" si="23"/>
        <v>1433.94</v>
      </c>
    </row>
    <row r="47" s="35" customFormat="1" ht="14.15" spans="1:42">
      <c r="A47" s="69" t="str">
        <f>'【2】运营中心填-基本信息&amp;审核标准'!$E$2</f>
        <v>东福围西街30栋</v>
      </c>
      <c r="B47" s="13">
        <f t="shared" si="11"/>
        <v>6</v>
      </c>
      <c r="C47" s="13">
        <f t="shared" si="1"/>
        <v>14</v>
      </c>
      <c r="D47" s="13">
        <f t="shared" si="2"/>
        <v>42</v>
      </c>
      <c r="E47" s="13"/>
      <c r="F47" s="13">
        <f t="shared" si="3"/>
        <v>14</v>
      </c>
      <c r="G47" s="13"/>
      <c r="H47" s="70">
        <v>601</v>
      </c>
      <c r="I47" s="71" t="s">
        <v>515</v>
      </c>
      <c r="J47" s="71" t="s">
        <v>43</v>
      </c>
      <c r="K47" s="13" t="str" cm="1">
        <f t="array" ref="K47">IFERROR(INDEX($J$2:$J$75,MATCH(0,IF(ISBLANK($J$2:$J$75),1,COUNTIF($K$1:K46,$J$2:$J$75)),0)),"")</f>
        <v/>
      </c>
      <c r="L47" s="72">
        <f>VLOOKUP(J47,'【3】大区填-楼栋基准格局定价'!B:H,7,0)</f>
        <v>2354.45</v>
      </c>
      <c r="M47" s="73" t="str">
        <f t="shared" si="17"/>
        <v>很狭小</v>
      </c>
      <c r="N47" s="73">
        <v>19.52</v>
      </c>
      <c r="O47" s="64">
        <f>VLOOKUP($M$1&amp;M47,【1】定价因子!E:F,2,0)</f>
        <v>0.9</v>
      </c>
      <c r="P47" s="64" t="str">
        <f>IF(COUNTIFS(户型资产表!E:E,I47,户型资产表!H:H,"阳台门")&gt;0,"有","无")</f>
        <v>无</v>
      </c>
      <c r="Q47" s="64">
        <f>VLOOKUP($P$1&amp;P47,【1】定价因子!E:F,2,0)</f>
        <v>1</v>
      </c>
      <c r="R47" s="64" t="str">
        <f>IF('【2】运营中心填-基本信息&amp;审核标准'!$D$4="是","无",IF(INT(H47/100)&gt;9,"9F",INT(H47/100)&amp;"F"))</f>
        <v>6F</v>
      </c>
      <c r="S47" s="64">
        <f>VLOOKUP(R47,【1】定价因子!D:F,3,0)</f>
        <v>0.98</v>
      </c>
      <c r="T47" s="64" t="str">
        <f>IF('【2】运营中心填-基本信息&amp;审核标准'!$D$4="否","无",IF(INT(H47/100)=1,"1F",IF(AND(INT(H47/100)&gt;=2,INT(H47/100)&lt;=3),"2-3F",IF(INT(H47/100)=4,"4F",IF(AND(INT(H47/100)&gt;=5,INT(H47/100)&lt;=6),"5-6F",IF(AND(INT(H47/100)&gt;=7,INT(H47/100)&lt;=8),"7-8F",IF(AND(INT(H47/100)&gt;=9,INT(H47/100)&lt;=10),"9-10F",IF(AND(INT(H47/100)&gt;=11,INT(H47/100)&lt;=12),"11-12F",IF(INT(H47/100)&gt;=13,"13以上F","")))))))))</f>
        <v>无</v>
      </c>
      <c r="U47" s="64">
        <f>VLOOKUP($T$1&amp;T47,【1】定价因子!E:F,2,0)</f>
        <v>1</v>
      </c>
      <c r="V47" s="64" t="str">
        <f>IF(COUNTIFS(户型资产表!E:E,I47,户型资产表!H:H,"操作台")&gt;0,"有","无")</f>
        <v>有</v>
      </c>
      <c r="W47" s="64" t="str">
        <f>IF(COUNTIFS(户型资产表!E:E,I47,户型资产表!H:H,"书桌")&gt;0,"有","无")</f>
        <v>无</v>
      </c>
      <c r="X47" s="64" t="str" cm="1">
        <f t="array" ref="X47">IF(SUMPRODUCT((户型资产表!E:E=I47)*((户型资产表!I:I="沙发01单人")+(户型资产表!I:I="单人沙发02")+(户型资产表!I:I="租赁-单人沙发02")+(户型资产表!I:I="租赁-沙发01单人")))&gt;0,"有","无")</f>
        <v>无</v>
      </c>
      <c r="Y47" s="64" t="str" cm="1">
        <f t="array" ref="Y47">IF(SUMPRODUCT((户型资产表!E:E=I47)*((户型资产表!I:I="沙发02两人")+(户型资产表!I:I="双人沙发01")+(户型资产表!I:I="租赁-沙发02两人")+(户型资产表!I:I="租赁-双人沙发01")))&gt;0,"有","无")</f>
        <v>有</v>
      </c>
      <c r="Z47" s="64" t="str">
        <f>IF(COUNTIFS(户型资产表!E:E,I47,户型资产表!H:H,"餐桌")&gt;0,"有","无")</f>
        <v>有</v>
      </c>
      <c r="AA47" s="64" t="str">
        <f>IF(COUNTIFS(户型资产表!E:E,I47,户型资产表!H:H,"吸油烟机")&gt;0,"有","无")</f>
        <v>无</v>
      </c>
      <c r="AB47" s="64" t="str">
        <f>IF(COUNTIFS(户型资产表!E:E,I47,户型资产表!H:H,"冰箱")&gt;0,"有","无")</f>
        <v>无</v>
      </c>
      <c r="AC47" s="64" t="str">
        <f>IF(COUNTIFS(户型资产表!E:E,I47,户型资产表!H:H,"电视柜")&gt;0,"有","无")</f>
        <v>无</v>
      </c>
      <c r="AD47" s="63" t="str">
        <f t="shared" si="18"/>
        <v>适中</v>
      </c>
      <c r="AE47" s="64">
        <f>VLOOKUP($AD$1&amp;AD47,【1】定价因子!E:F,2,0)</f>
        <v>1</v>
      </c>
      <c r="AF47" s="63" t="str">
        <f t="shared" si="19"/>
        <v>适中</v>
      </c>
      <c r="AG47" s="64">
        <f>VLOOKUP($AF$1&amp;AF47,【1】定价因子!E:F,2,0)</f>
        <v>1</v>
      </c>
      <c r="AH47" s="63" t="str">
        <f t="shared" si="20"/>
        <v>适中</v>
      </c>
      <c r="AI47" s="64">
        <f>VLOOKUP($AH$1&amp;AH47,【1】定价因子!E:F,2,0)</f>
        <v>1</v>
      </c>
      <c r="AJ47" s="69" t="str">
        <f>VLOOKUP(H47,'【3-1】大区填-采光基本要素'!A:H,8,0)</f>
        <v>1</v>
      </c>
      <c r="AK47" s="64">
        <f>VLOOKUP($AJ$1&amp;AJ47,【1】定价因子!E:F,2,0)</f>
        <v>0.91</v>
      </c>
      <c r="AL47" s="74">
        <f t="shared" si="21"/>
        <v>1889.728659</v>
      </c>
      <c r="AM47" s="69">
        <v>1700</v>
      </c>
      <c r="AN47" s="75">
        <f t="shared" si="22"/>
        <v>-0.100399947948294</v>
      </c>
      <c r="AO47" s="73">
        <f>SUMIFS(户型资产表!M:M,户型资产表!I:I,"*租赁*",户型资产表!E:E,I47)</f>
        <v>276.06</v>
      </c>
      <c r="AP47" s="76">
        <f t="shared" si="23"/>
        <v>1423.94</v>
      </c>
    </row>
    <row r="48" s="35" customFormat="1" ht="14.15" spans="1:42">
      <c r="A48" s="69" t="str">
        <f>'【2】运营中心填-基本信息&amp;审核标准'!$E$2</f>
        <v>东福围西街30栋</v>
      </c>
      <c r="B48" s="13">
        <f t="shared" si="11"/>
        <v>6</v>
      </c>
      <c r="C48" s="13">
        <f t="shared" si="1"/>
        <v>14</v>
      </c>
      <c r="D48" s="13">
        <f t="shared" si="2"/>
        <v>42</v>
      </c>
      <c r="E48" s="13"/>
      <c r="F48" s="13">
        <f t="shared" si="3"/>
        <v>14</v>
      </c>
      <c r="G48" s="13"/>
      <c r="H48" s="70">
        <v>602</v>
      </c>
      <c r="I48" s="71" t="s">
        <v>516</v>
      </c>
      <c r="J48" s="71" t="s">
        <v>43</v>
      </c>
      <c r="K48" s="13" t="str" cm="1">
        <f t="array" ref="K48">IFERROR(INDEX($J$2:$J$75,MATCH(0,IF(ISBLANK($J$2:$J$75),1,COUNTIF($K$1:K47,$J$2:$J$75)),0)),"")</f>
        <v/>
      </c>
      <c r="L48" s="72">
        <f>VLOOKUP(J48,'【3】大区填-楼栋基准格局定价'!B:H,7,0)</f>
        <v>2354.45</v>
      </c>
      <c r="M48" s="73" t="str">
        <f t="shared" si="17"/>
        <v>适中</v>
      </c>
      <c r="N48" s="73">
        <v>24.96</v>
      </c>
      <c r="O48" s="64">
        <f>VLOOKUP($M$1&amp;M48,【1】定价因子!E:F,2,0)</f>
        <v>1</v>
      </c>
      <c r="P48" s="64" t="str">
        <f>IF(COUNTIFS(户型资产表!E:E,I48,户型资产表!H:H,"阳台门")&gt;0,"有","无")</f>
        <v>有</v>
      </c>
      <c r="Q48" s="64">
        <f>VLOOKUP($P$1&amp;P48,【1】定价因子!E:F,2,0)</f>
        <v>1.07</v>
      </c>
      <c r="R48" s="64" t="str">
        <f>IF('【2】运营中心填-基本信息&amp;审核标准'!$D$4="是","无",IF(INT(H48/100)&gt;9,"9F",INT(H48/100)&amp;"F"))</f>
        <v>6F</v>
      </c>
      <c r="S48" s="64">
        <f>VLOOKUP(R48,【1】定价因子!D:F,3,0)</f>
        <v>0.98</v>
      </c>
      <c r="T48" s="64" t="str">
        <f>IF('【2】运营中心填-基本信息&amp;审核标准'!$D$4="否","无",IF(INT(H48/100)=1,"1F",IF(AND(INT(H48/100)&gt;=2,INT(H48/100)&lt;=3),"2-3F",IF(INT(H48/100)=4,"4F",IF(AND(INT(H48/100)&gt;=5,INT(H48/100)&lt;=6),"5-6F",IF(AND(INT(H48/100)&gt;=7,INT(H48/100)&lt;=8),"7-8F",IF(AND(INT(H48/100)&gt;=9,INT(H48/100)&lt;=10),"9-10F",IF(AND(INT(H48/100)&gt;=11,INT(H48/100)&lt;=12),"11-12F",IF(INT(H48/100)&gt;=13,"13以上F","")))))))))</f>
        <v>无</v>
      </c>
      <c r="U48" s="64">
        <f>VLOOKUP($T$1&amp;T48,【1】定价因子!E:F,2,0)</f>
        <v>1</v>
      </c>
      <c r="V48" s="64" t="str">
        <f>IF(COUNTIFS(户型资产表!E:E,I48,户型资产表!H:H,"操作台")&gt;0,"有","无")</f>
        <v>有</v>
      </c>
      <c r="W48" s="64" t="str">
        <f>IF(COUNTIFS(户型资产表!E:E,I48,户型资产表!H:H,"书桌")&gt;0,"有","无")</f>
        <v>无</v>
      </c>
      <c r="X48" s="64" t="str" cm="1">
        <f t="array" ref="X48">IF(SUMPRODUCT((户型资产表!E:E=I48)*((户型资产表!I:I="沙发01单人")+(户型资产表!I:I="单人沙发02")+(户型资产表!I:I="租赁-单人沙发02")+(户型资产表!I:I="租赁-沙发01单人")))&gt;0,"有","无")</f>
        <v>无</v>
      </c>
      <c r="Y48" s="64" t="str" cm="1">
        <f t="array" ref="Y48">IF(SUMPRODUCT((户型资产表!E:E=I48)*((户型资产表!I:I="沙发02两人")+(户型资产表!I:I="双人沙发01")+(户型资产表!I:I="租赁-沙发02两人")+(户型资产表!I:I="租赁-双人沙发01")))&gt;0,"有","无")</f>
        <v>有</v>
      </c>
      <c r="Z48" s="64" t="str">
        <f>IF(COUNTIFS(户型资产表!E:E,I48,户型资产表!H:H,"餐桌")&gt;0,"有","无")</f>
        <v>有</v>
      </c>
      <c r="AA48" s="64" t="str">
        <f>IF(COUNTIFS(户型资产表!E:E,I48,户型资产表!H:H,"吸油烟机")&gt;0,"有","无")</f>
        <v>无</v>
      </c>
      <c r="AB48" s="64" t="str">
        <f>IF(COUNTIFS(户型资产表!E:E,I48,户型资产表!H:H,"冰箱")&gt;0,"有","无")</f>
        <v>无</v>
      </c>
      <c r="AC48" s="64" t="str">
        <f>IF(COUNTIFS(户型资产表!E:E,I48,户型资产表!H:H,"电视柜")&gt;0,"有","无")</f>
        <v>无</v>
      </c>
      <c r="AD48" s="63" t="str">
        <f t="shared" si="18"/>
        <v>适中</v>
      </c>
      <c r="AE48" s="64">
        <f>VLOOKUP($AD$1&amp;AD48,【1】定价因子!E:F,2,0)</f>
        <v>1</v>
      </c>
      <c r="AF48" s="63" t="str">
        <f t="shared" si="19"/>
        <v>适中</v>
      </c>
      <c r="AG48" s="64">
        <f>VLOOKUP($AF$1&amp;AF48,【1】定价因子!E:F,2,0)</f>
        <v>1</v>
      </c>
      <c r="AH48" s="63" t="str">
        <f t="shared" si="20"/>
        <v>适中</v>
      </c>
      <c r="AI48" s="64">
        <f>VLOOKUP($AH$1&amp;AH48,【1】定价因子!E:F,2,0)</f>
        <v>1</v>
      </c>
      <c r="AJ48" s="69" t="str">
        <f>VLOOKUP(H48,'【3-1】大区填-采光基本要素'!A:H,8,0)</f>
        <v>1</v>
      </c>
      <c r="AK48" s="64">
        <f>VLOOKUP($AJ$1&amp;AJ48,【1】定价因子!E:F,2,0)</f>
        <v>0.91</v>
      </c>
      <c r="AL48" s="74">
        <f t="shared" si="21"/>
        <v>2246.6774057</v>
      </c>
      <c r="AM48" s="69">
        <v>2000</v>
      </c>
      <c r="AN48" s="75">
        <f t="shared" si="22"/>
        <v>-0.1097965400258</v>
      </c>
      <c r="AO48" s="73">
        <f>SUMIFS(户型资产表!M:M,户型资产表!I:I,"*租赁*",户型资产表!E:E,I48)</f>
        <v>287.38</v>
      </c>
      <c r="AP48" s="76">
        <f t="shared" si="23"/>
        <v>1712.62</v>
      </c>
    </row>
    <row r="49" ht="14.15" spans="1:42">
      <c r="A49" s="59" t="str">
        <f>'【2】运营中心填-基本信息&amp;审核标准'!$E$2</f>
        <v>东福围西街30栋</v>
      </c>
      <c r="B49" s="13">
        <f t="shared" si="11"/>
        <v>6</v>
      </c>
      <c r="C49" s="13">
        <f t="shared" si="1"/>
        <v>14</v>
      </c>
      <c r="D49" s="13">
        <f t="shared" si="2"/>
        <v>42</v>
      </c>
      <c r="E49" s="13"/>
      <c r="F49" s="13">
        <f t="shared" si="3"/>
        <v>14</v>
      </c>
      <c r="G49" s="13"/>
      <c r="H49" s="60">
        <v>603</v>
      </c>
      <c r="I49" s="61" t="s">
        <v>517</v>
      </c>
      <c r="J49" s="61" t="s">
        <v>40</v>
      </c>
      <c r="K49" s="13" t="str" cm="1">
        <f t="array" ref="K49">IFERROR(INDEX($J$2:$J$75,MATCH(0,IF(ISBLANK($J$2:$J$75),1,COUNTIF($K$1:K48,$J$2:$J$75)),0)),"")</f>
        <v/>
      </c>
      <c r="L49" s="62">
        <f>VLOOKUP(J49,'【3】大区填-楼栋基准格局定价'!B:H,7,0)</f>
        <v>1579.858</v>
      </c>
      <c r="M49" s="63" t="str">
        <f t="shared" si="17"/>
        <v>适中</v>
      </c>
      <c r="N49" s="63">
        <v>15.5</v>
      </c>
      <c r="O49" s="64">
        <f>VLOOKUP($M$1&amp;M49,【1】定价因子!E:F,2,0)</f>
        <v>1</v>
      </c>
      <c r="P49" s="64" t="str">
        <f>IF(COUNTIFS(户型资产表!E:E,I49,户型资产表!H:H,"阳台门")&gt;0,"有","无")</f>
        <v>无</v>
      </c>
      <c r="Q49" s="64">
        <f>VLOOKUP($P$1&amp;P49,【1】定价因子!E:F,2,0)</f>
        <v>1</v>
      </c>
      <c r="R49" s="64" t="str">
        <f>IF('【2】运营中心填-基本信息&amp;审核标准'!$D$4="是","无",IF(INT(H49/100)&gt;9,"9F",INT(H49/100)&amp;"F"))</f>
        <v>6F</v>
      </c>
      <c r="S49" s="64">
        <f>VLOOKUP(R49,【1】定价因子!D:F,3,0)</f>
        <v>0.98</v>
      </c>
      <c r="T49" s="64" t="str">
        <f>IF('【2】运营中心填-基本信息&amp;审核标准'!$D$4="否","无",IF(INT(H49/100)=1,"1F",IF(AND(INT(H49/100)&gt;=2,INT(H49/100)&lt;=3),"2-3F",IF(INT(H49/100)=4,"4F",IF(AND(INT(H49/100)&gt;=5,INT(H49/100)&lt;=6),"5-6F",IF(AND(INT(H49/100)&gt;=7,INT(H49/100)&lt;=8),"7-8F",IF(AND(INT(H49/100)&gt;=9,INT(H49/100)&lt;=10),"9-10F",IF(AND(INT(H49/100)&gt;=11,INT(H49/100)&lt;=12),"11-12F",IF(INT(H49/100)&gt;=13,"13以上F","")))))))))</f>
        <v>无</v>
      </c>
      <c r="U49" s="64">
        <f>VLOOKUP($T$1&amp;T49,【1】定价因子!E:F,2,0)</f>
        <v>1</v>
      </c>
      <c r="V49" s="64" t="str">
        <f>IF(COUNTIFS(户型资产表!E:E,I49,户型资产表!H:H,"操作台")&gt;0,"有","无")</f>
        <v>有</v>
      </c>
      <c r="W49" s="64" t="str">
        <f>IF(COUNTIFS(户型资产表!E:E,I49,户型资产表!H:H,"书桌")&gt;0,"有","无")</f>
        <v>有</v>
      </c>
      <c r="X49" s="64" t="str" cm="1">
        <f t="array" ref="X49">IF(SUMPRODUCT((户型资产表!E:E=I49)*((户型资产表!I:I="沙发01单人")+(户型资产表!I:I="单人沙发02")+(户型资产表!I:I="租赁-单人沙发02")+(户型资产表!I:I="租赁-沙发01单人")))&gt;0,"有","无")</f>
        <v>无</v>
      </c>
      <c r="Y49" s="64" t="str" cm="1">
        <f t="array" ref="Y49">IF(SUMPRODUCT((户型资产表!E:E=I49)*((户型资产表!I:I="沙发02两人")+(户型资产表!I:I="双人沙发01")+(户型资产表!I:I="租赁-沙发02两人")+(户型资产表!I:I="租赁-双人沙发01")))&gt;0,"有","无")</f>
        <v>无</v>
      </c>
      <c r="Z49" s="64" t="str">
        <f>IF(COUNTIFS(户型资产表!E:E,I49,户型资产表!H:H,"餐桌")&gt;0,"有","无")</f>
        <v>无</v>
      </c>
      <c r="AA49" s="64" t="str">
        <f>IF(COUNTIFS(户型资产表!E:E,I49,户型资产表!H:H,"吸油烟机")&gt;0,"有","无")</f>
        <v>无</v>
      </c>
      <c r="AB49" s="64" t="str">
        <f>IF(COUNTIFS(户型资产表!E:E,I49,户型资产表!H:H,"冰箱")&gt;0,"有","无")</f>
        <v>无</v>
      </c>
      <c r="AC49" s="64" t="str">
        <f>IF(COUNTIFS(户型资产表!E:E,I49,户型资产表!H:H,"电视柜")&gt;0,"有","无")</f>
        <v>无</v>
      </c>
      <c r="AD49" s="63" t="str">
        <f t="shared" si="18"/>
        <v>适中</v>
      </c>
      <c r="AE49" s="64">
        <f>VLOOKUP($AD$1&amp;AD49,【1】定价因子!E:F,2,0)</f>
        <v>1</v>
      </c>
      <c r="AF49" s="63" t="str">
        <f t="shared" si="19"/>
        <v>适中</v>
      </c>
      <c r="AG49" s="64">
        <f>VLOOKUP($AF$1&amp;AF49,【1】定价因子!E:F,2,0)</f>
        <v>1</v>
      </c>
      <c r="AH49" s="63" t="str">
        <f t="shared" si="20"/>
        <v>适中</v>
      </c>
      <c r="AI49" s="64">
        <f>VLOOKUP($AH$1&amp;AH49,【1】定价因子!E:F,2,0)</f>
        <v>1</v>
      </c>
      <c r="AJ49" s="64" t="str">
        <f>VLOOKUP(H49,'【3-1】大区填-采光基本要素'!A:H,8,0)</f>
        <v>1</v>
      </c>
      <c r="AK49" s="64">
        <f>VLOOKUP($AJ$1&amp;AJ49,【1】定价因子!E:F,2,0)</f>
        <v>0.91</v>
      </c>
      <c r="AL49" s="65">
        <f t="shared" si="21"/>
        <v>1408.9173644</v>
      </c>
      <c r="AM49" s="13">
        <v>1360</v>
      </c>
      <c r="AN49" s="66">
        <f t="shared" si="22"/>
        <v>-0.0347198250486691</v>
      </c>
      <c r="AO49" s="67">
        <f>SUMIFS(户型资产表!M:M,户型资产表!I:I,"*租赁*",户型资产表!E:E,I49)</f>
        <v>232.39</v>
      </c>
      <c r="AP49" s="68">
        <f t="shared" si="23"/>
        <v>1127.61</v>
      </c>
    </row>
    <row r="50" ht="14.15" spans="1:42">
      <c r="A50" s="59" t="str">
        <f>'【2】运营中心填-基本信息&amp;审核标准'!$E$2</f>
        <v>东福围西街30栋</v>
      </c>
      <c r="B50" s="13">
        <f t="shared" si="11"/>
        <v>6</v>
      </c>
      <c r="C50" s="13">
        <f t="shared" si="1"/>
        <v>14</v>
      </c>
      <c r="D50" s="13">
        <f t="shared" si="2"/>
        <v>42</v>
      </c>
      <c r="E50" s="13"/>
      <c r="F50" s="13">
        <f t="shared" si="3"/>
        <v>14</v>
      </c>
      <c r="G50" s="13"/>
      <c r="H50" s="60">
        <v>604</v>
      </c>
      <c r="I50" s="61" t="s">
        <v>518</v>
      </c>
      <c r="J50" s="61" t="s">
        <v>40</v>
      </c>
      <c r="K50" s="13" t="str" cm="1">
        <f t="array" ref="K50">IFERROR(INDEX($J$2:$J$75,MATCH(0,IF(ISBLANK($J$2:$J$75),1,COUNTIF($K$1:K49,$J$2:$J$75)),0)),"")</f>
        <v/>
      </c>
      <c r="L50" s="62">
        <f>VLOOKUP(J50,'【3】大区填-楼栋基准格局定价'!B:H,7,0)</f>
        <v>1579.858</v>
      </c>
      <c r="M50" s="63" t="str">
        <f t="shared" si="17"/>
        <v>适中</v>
      </c>
      <c r="N50" s="63">
        <v>16.94</v>
      </c>
      <c r="O50" s="64">
        <f>VLOOKUP($M$1&amp;M50,【1】定价因子!E:F,2,0)</f>
        <v>1</v>
      </c>
      <c r="P50" s="64" t="str">
        <f>IF(COUNTIFS(户型资产表!E:E,I50,户型资产表!H:H,"阳台门")&gt;0,"有","无")</f>
        <v>有</v>
      </c>
      <c r="Q50" s="64">
        <f>VLOOKUP($P$1&amp;P50,【1】定价因子!E:F,2,0)</f>
        <v>1.07</v>
      </c>
      <c r="R50" s="64" t="str">
        <f>IF('【2】运营中心填-基本信息&amp;审核标准'!$D$4="是","无",IF(INT(H50/100)&gt;9,"9F",INT(H50/100)&amp;"F"))</f>
        <v>6F</v>
      </c>
      <c r="S50" s="64">
        <f>VLOOKUP(R50,【1】定价因子!D:F,3,0)</f>
        <v>0.98</v>
      </c>
      <c r="T50" s="64" t="str">
        <f>IF('【2】运营中心填-基本信息&amp;审核标准'!$D$4="否","无",IF(INT(H50/100)=1,"1F",IF(AND(INT(H50/100)&gt;=2,INT(H50/100)&lt;=3),"2-3F",IF(INT(H50/100)=4,"4F",IF(AND(INT(H50/100)&gt;=5,INT(H50/100)&lt;=6),"5-6F",IF(AND(INT(H50/100)&gt;=7,INT(H50/100)&lt;=8),"7-8F",IF(AND(INT(H50/100)&gt;=9,INT(H50/100)&lt;=10),"9-10F",IF(AND(INT(H50/100)&gt;=11,INT(H50/100)&lt;=12),"11-12F",IF(INT(H50/100)&gt;=13,"13以上F","")))))))))</f>
        <v>无</v>
      </c>
      <c r="U50" s="64">
        <f>VLOOKUP($T$1&amp;T50,【1】定价因子!E:F,2,0)</f>
        <v>1</v>
      </c>
      <c r="V50" s="64" t="str">
        <f>IF(COUNTIFS(户型资产表!E:E,I50,户型资产表!H:H,"操作台")&gt;0,"有","无")</f>
        <v>有</v>
      </c>
      <c r="W50" s="64" t="str">
        <f>IF(COUNTIFS(户型资产表!E:E,I50,户型资产表!H:H,"书桌")&gt;0,"有","无")</f>
        <v>有</v>
      </c>
      <c r="X50" s="64" t="str" cm="1">
        <f t="array" ref="X50">IF(SUMPRODUCT((户型资产表!E:E=I50)*((户型资产表!I:I="沙发01单人")+(户型资产表!I:I="单人沙发02")+(户型资产表!I:I="租赁-单人沙发02")+(户型资产表!I:I="租赁-沙发01单人")))&gt;0,"有","无")</f>
        <v>无</v>
      </c>
      <c r="Y50" s="64" t="str" cm="1">
        <f t="array" ref="Y50">IF(SUMPRODUCT((户型资产表!E:E=I50)*((户型资产表!I:I="沙发02两人")+(户型资产表!I:I="双人沙发01")+(户型资产表!I:I="租赁-沙发02两人")+(户型资产表!I:I="租赁-双人沙发01")))&gt;0,"有","无")</f>
        <v>无</v>
      </c>
      <c r="Z50" s="64" t="str">
        <f>IF(COUNTIFS(户型资产表!E:E,I50,户型资产表!H:H,"餐桌")&gt;0,"有","无")</f>
        <v>无</v>
      </c>
      <c r="AA50" s="64" t="str">
        <f>IF(COUNTIFS(户型资产表!E:E,I50,户型资产表!H:H,"吸油烟机")&gt;0,"有","无")</f>
        <v>无</v>
      </c>
      <c r="AB50" s="64" t="str">
        <f>IF(COUNTIFS(户型资产表!E:E,I50,户型资产表!H:H,"冰箱")&gt;0,"有","无")</f>
        <v>无</v>
      </c>
      <c r="AC50" s="64" t="str">
        <f>IF(COUNTIFS(户型资产表!E:E,I50,户型资产表!H:H,"电视柜")&gt;0,"有","无")</f>
        <v>无</v>
      </c>
      <c r="AD50" s="63" t="str">
        <f t="shared" si="18"/>
        <v>适中</v>
      </c>
      <c r="AE50" s="64">
        <f>VLOOKUP($AD$1&amp;AD50,【1】定价因子!E:F,2,0)</f>
        <v>1</v>
      </c>
      <c r="AF50" s="63" t="str">
        <f t="shared" si="19"/>
        <v>适中</v>
      </c>
      <c r="AG50" s="64">
        <f>VLOOKUP($AF$1&amp;AF50,【1】定价因子!E:F,2,0)</f>
        <v>1</v>
      </c>
      <c r="AH50" s="63" t="str">
        <f t="shared" si="20"/>
        <v>适中</v>
      </c>
      <c r="AI50" s="64">
        <f>VLOOKUP($AH$1&amp;AH50,【1】定价因子!E:F,2,0)</f>
        <v>1</v>
      </c>
      <c r="AJ50" s="64" t="str">
        <f>VLOOKUP(H50,'【3-1】大区填-采光基本要素'!A:H,8,0)</f>
        <v>1</v>
      </c>
      <c r="AK50" s="64">
        <f>VLOOKUP($AJ$1&amp;AJ50,【1】定价因子!E:F,2,0)</f>
        <v>0.91</v>
      </c>
      <c r="AL50" s="65">
        <f t="shared" si="21"/>
        <v>1507.541579908</v>
      </c>
      <c r="AM50" s="13">
        <v>1450</v>
      </c>
      <c r="AN50" s="66">
        <f t="shared" si="22"/>
        <v>-0.0381691494781268</v>
      </c>
      <c r="AO50" s="67">
        <f>SUMIFS(户型资产表!M:M,户型资产表!I:I,"*租赁*",户型资产表!E:E,I50)</f>
        <v>235.32</v>
      </c>
      <c r="AP50" s="68">
        <f t="shared" si="23"/>
        <v>1214.68</v>
      </c>
    </row>
    <row r="51" s="35" customFormat="1" ht="14.15" spans="1:42">
      <c r="A51" s="69" t="str">
        <f>'【2】运营中心填-基本信息&amp;审核标准'!$E$2</f>
        <v>东福围西街30栋</v>
      </c>
      <c r="B51" s="13">
        <f t="shared" si="11"/>
        <v>6</v>
      </c>
      <c r="C51" s="13">
        <f t="shared" si="1"/>
        <v>14</v>
      </c>
      <c r="D51" s="13">
        <f t="shared" si="2"/>
        <v>42</v>
      </c>
      <c r="E51" s="13"/>
      <c r="F51" s="13">
        <f t="shared" si="3"/>
        <v>14</v>
      </c>
      <c r="G51" s="13"/>
      <c r="H51" s="70">
        <v>605</v>
      </c>
      <c r="I51" s="71" t="s">
        <v>519</v>
      </c>
      <c r="J51" s="71" t="s">
        <v>43</v>
      </c>
      <c r="K51" s="13" t="str" cm="1">
        <f t="array" ref="K51">IFERROR(INDEX($J$2:$J$75,MATCH(0,IF(ISBLANK($J$2:$J$75),1,COUNTIF($K$1:K50,$J$2:$J$75)),0)),"")</f>
        <v/>
      </c>
      <c r="L51" s="72">
        <f>VLOOKUP(J51,'【3】大区填-楼栋基准格局定价'!B:H,7,0)</f>
        <v>2354.45</v>
      </c>
      <c r="M51" s="73" t="str">
        <f t="shared" si="17"/>
        <v>较宽敞</v>
      </c>
      <c r="N51" s="73">
        <v>27.55</v>
      </c>
      <c r="O51" s="64">
        <f>VLOOKUP($M$1&amp;M51,【1】定价因子!E:F,2,0)</f>
        <v>1.06</v>
      </c>
      <c r="P51" s="64" t="str">
        <f>IF(COUNTIFS(户型资产表!E:E,I51,户型资产表!H:H,"阳台门")&gt;0,"有","无")</f>
        <v>有</v>
      </c>
      <c r="Q51" s="64">
        <f>VLOOKUP($P$1&amp;P51,【1】定价因子!E:F,2,0)</f>
        <v>1.07</v>
      </c>
      <c r="R51" s="64" t="str">
        <f>IF('【2】运营中心填-基本信息&amp;审核标准'!$D$4="是","无",IF(INT(H51/100)&gt;9,"9F",INT(H51/100)&amp;"F"))</f>
        <v>6F</v>
      </c>
      <c r="S51" s="64">
        <f>VLOOKUP(R51,【1】定价因子!D:F,3,0)</f>
        <v>0.98</v>
      </c>
      <c r="T51" s="64" t="str">
        <f>IF('【2】运营中心填-基本信息&amp;审核标准'!$D$4="否","无",IF(INT(H51/100)=1,"1F",IF(AND(INT(H51/100)&gt;=2,INT(H51/100)&lt;=3),"2-3F",IF(INT(H51/100)=4,"4F",IF(AND(INT(H51/100)&gt;=5,INT(H51/100)&lt;=6),"5-6F",IF(AND(INT(H51/100)&gt;=7,INT(H51/100)&lt;=8),"7-8F",IF(AND(INT(H51/100)&gt;=9,INT(H51/100)&lt;=10),"9-10F",IF(AND(INT(H51/100)&gt;=11,INT(H51/100)&lt;=12),"11-12F",IF(INT(H51/100)&gt;=13,"13以上F","")))))))))</f>
        <v>无</v>
      </c>
      <c r="U51" s="64">
        <f>VLOOKUP($T$1&amp;T51,【1】定价因子!E:F,2,0)</f>
        <v>1</v>
      </c>
      <c r="V51" s="64" t="str">
        <f>IF(COUNTIFS(户型资产表!E:E,I51,户型资产表!H:H,"操作台")&gt;0,"有","无")</f>
        <v>有</v>
      </c>
      <c r="W51" s="64" t="str">
        <f>IF(COUNTIFS(户型资产表!E:E,I51,户型资产表!H:H,"书桌")&gt;0,"有","无")</f>
        <v>无</v>
      </c>
      <c r="X51" s="64" t="str" cm="1">
        <f t="array" ref="X51">IF(SUMPRODUCT((户型资产表!E:E=I51)*((户型资产表!I:I="沙发01单人")+(户型资产表!I:I="单人沙发02")+(户型资产表!I:I="租赁-单人沙发02")+(户型资产表!I:I="租赁-沙发01单人")))&gt;0,"有","无")</f>
        <v>无</v>
      </c>
      <c r="Y51" s="64" t="str" cm="1">
        <f t="array" ref="Y51">IF(SUMPRODUCT((户型资产表!E:E=I51)*((户型资产表!I:I="沙发02两人")+(户型资产表!I:I="双人沙发01")+(户型资产表!I:I="租赁-沙发02两人")+(户型资产表!I:I="租赁-双人沙发01")))&gt;0,"有","无")</f>
        <v>有</v>
      </c>
      <c r="Z51" s="64" t="str">
        <f>IF(COUNTIFS(户型资产表!E:E,I51,户型资产表!H:H,"餐桌")&gt;0,"有","无")</f>
        <v>有</v>
      </c>
      <c r="AA51" s="64" t="str">
        <f>IF(COUNTIFS(户型资产表!E:E,I51,户型资产表!H:H,"吸油烟机")&gt;0,"有","无")</f>
        <v>无</v>
      </c>
      <c r="AB51" s="64" t="str">
        <f>IF(COUNTIFS(户型资产表!E:E,I51,户型资产表!H:H,"冰箱")&gt;0,"有","无")</f>
        <v>无</v>
      </c>
      <c r="AC51" s="64" t="str">
        <f>IF(COUNTIFS(户型资产表!E:E,I51,户型资产表!H:H,"电视柜")&gt;0,"有","无")</f>
        <v>无</v>
      </c>
      <c r="AD51" s="63" t="str">
        <f t="shared" si="18"/>
        <v>适中</v>
      </c>
      <c r="AE51" s="64">
        <f>VLOOKUP($AD$1&amp;AD51,【1】定价因子!E:F,2,0)</f>
        <v>1</v>
      </c>
      <c r="AF51" s="63" t="str">
        <f t="shared" si="19"/>
        <v>适中</v>
      </c>
      <c r="AG51" s="64">
        <f>VLOOKUP($AF$1&amp;AF51,【1】定价因子!E:F,2,0)</f>
        <v>1</v>
      </c>
      <c r="AH51" s="63" t="str">
        <f t="shared" si="20"/>
        <v>适中</v>
      </c>
      <c r="AI51" s="64">
        <f>VLOOKUP($AH$1&amp;AH51,【1】定价因子!E:F,2,0)</f>
        <v>1</v>
      </c>
      <c r="AJ51" s="69" t="str">
        <f>VLOOKUP(H51,'【3-1】大区填-采光基本要素'!A:H,8,0)</f>
        <v>2</v>
      </c>
      <c r="AK51" s="64">
        <f>VLOOKUP($AJ$1&amp;AJ51,【1】定价因子!E:F,2,0)</f>
        <v>0.96</v>
      </c>
      <c r="AL51" s="74">
        <f t="shared" si="21"/>
        <v>2512.328492352</v>
      </c>
      <c r="AM51" s="69">
        <v>2020</v>
      </c>
      <c r="AN51" s="75">
        <f t="shared" si="22"/>
        <v>-0.19596501566206</v>
      </c>
      <c r="AO51" s="73">
        <f>SUMIFS(户型资产表!M:M,户型资产表!I:I,"*租赁*",户型资产表!E:E,I51)</f>
        <v>266.9</v>
      </c>
      <c r="AP51" s="76">
        <f t="shared" si="23"/>
        <v>1753.1</v>
      </c>
    </row>
    <row r="52" ht="14.15" spans="1:42">
      <c r="A52" s="59" t="str">
        <f>'【2】运营中心填-基本信息&amp;审核标准'!$E$2</f>
        <v>东福围西街30栋</v>
      </c>
      <c r="B52" s="13">
        <f t="shared" si="11"/>
        <v>6</v>
      </c>
      <c r="C52" s="13">
        <f t="shared" si="1"/>
        <v>14</v>
      </c>
      <c r="D52" s="13">
        <f t="shared" si="2"/>
        <v>42</v>
      </c>
      <c r="E52" s="13"/>
      <c r="F52" s="13">
        <f t="shared" si="3"/>
        <v>14</v>
      </c>
      <c r="G52" s="13"/>
      <c r="H52" s="60">
        <v>606</v>
      </c>
      <c r="I52" s="61" t="s">
        <v>520</v>
      </c>
      <c r="J52" s="61" t="s">
        <v>40</v>
      </c>
      <c r="K52" s="13" t="str" cm="1">
        <f t="array" ref="K52">IFERROR(INDEX($J$2:$J$75,MATCH(0,IF(ISBLANK($J$2:$J$75),1,COUNTIF($K$1:K51,$J$2:$J$75)),0)),"")</f>
        <v/>
      </c>
      <c r="L52" s="62">
        <f>VLOOKUP(J52,'【3】大区填-楼栋基准格局定价'!B:H,7,0)</f>
        <v>1579.858</v>
      </c>
      <c r="M52" s="63" t="str">
        <f t="shared" si="17"/>
        <v>很宽敞</v>
      </c>
      <c r="N52" s="63">
        <v>21.32</v>
      </c>
      <c r="O52" s="64">
        <f>VLOOKUP($M$1&amp;M52,【1】定价因子!E:F,2,0)</f>
        <v>1.1</v>
      </c>
      <c r="P52" s="64" t="str">
        <f>IF(COUNTIFS(户型资产表!E:E,I52,户型资产表!H:H,"阳台门")&gt;0,"有","无")</f>
        <v>有</v>
      </c>
      <c r="Q52" s="64">
        <f>VLOOKUP($P$1&amp;P52,【1】定价因子!E:F,2,0)</f>
        <v>1.07</v>
      </c>
      <c r="R52" s="64" t="str">
        <f>IF('【2】运营中心填-基本信息&amp;审核标准'!$D$4="是","无",IF(INT(H52/100)&gt;9,"9F",INT(H52/100)&amp;"F"))</f>
        <v>6F</v>
      </c>
      <c r="S52" s="64">
        <f>VLOOKUP(R52,【1】定价因子!D:F,3,0)</f>
        <v>0.98</v>
      </c>
      <c r="T52" s="64" t="str">
        <f>IF('【2】运营中心填-基本信息&amp;审核标准'!$D$4="否","无",IF(INT(H52/100)=1,"1F",IF(AND(INT(H52/100)&gt;=2,INT(H52/100)&lt;=3),"2-3F",IF(INT(H52/100)=4,"4F",IF(AND(INT(H52/100)&gt;=5,INT(H52/100)&lt;=6),"5-6F",IF(AND(INT(H52/100)&gt;=7,INT(H52/100)&lt;=8),"7-8F",IF(AND(INT(H52/100)&gt;=9,INT(H52/100)&lt;=10),"9-10F",IF(AND(INT(H52/100)&gt;=11,INT(H52/100)&lt;=12),"11-12F",IF(INT(H52/100)&gt;=13,"13以上F","")))))))))</f>
        <v>无</v>
      </c>
      <c r="U52" s="64">
        <f>VLOOKUP($T$1&amp;T52,【1】定价因子!E:F,2,0)</f>
        <v>1</v>
      </c>
      <c r="V52" s="64" t="str">
        <f>IF(COUNTIFS(户型资产表!E:E,I52,户型资产表!H:H,"操作台")&gt;0,"有","无")</f>
        <v>有</v>
      </c>
      <c r="W52" s="64" t="str">
        <f>IF(COUNTIFS(户型资产表!E:E,I52,户型资产表!H:H,"书桌")&gt;0,"有","无")</f>
        <v>有</v>
      </c>
      <c r="X52" s="64" t="str" cm="1">
        <f t="array" ref="X52">IF(SUMPRODUCT((户型资产表!E:E=I52)*((户型资产表!I:I="沙发01单人")+(户型资产表!I:I="单人沙发02")+(户型资产表!I:I="租赁-单人沙发02")+(户型资产表!I:I="租赁-沙发01单人")))&gt;0,"有","无")</f>
        <v>无</v>
      </c>
      <c r="Y52" s="64" t="str" cm="1">
        <f t="array" ref="Y52">IF(SUMPRODUCT((户型资产表!E:E=I52)*((户型资产表!I:I="沙发02两人")+(户型资产表!I:I="双人沙发01")+(户型资产表!I:I="租赁-沙发02两人")+(户型资产表!I:I="租赁-双人沙发01")))&gt;0,"有","无")</f>
        <v>无</v>
      </c>
      <c r="Z52" s="64" t="str">
        <f>IF(COUNTIFS(户型资产表!E:E,I52,户型资产表!H:H,"餐桌")&gt;0,"有","无")</f>
        <v>无</v>
      </c>
      <c r="AA52" s="64" t="str">
        <f>IF(COUNTIFS(户型资产表!E:E,I52,户型资产表!H:H,"吸油烟机")&gt;0,"有","无")</f>
        <v>无</v>
      </c>
      <c r="AB52" s="64" t="str">
        <f>IF(COUNTIFS(户型资产表!E:E,I52,户型资产表!H:H,"冰箱")&gt;0,"有","无")</f>
        <v>无</v>
      </c>
      <c r="AC52" s="64" t="str">
        <f>IF(COUNTIFS(户型资产表!E:E,I52,户型资产表!H:H,"电视柜")&gt;0,"有","无")</f>
        <v>无</v>
      </c>
      <c r="AD52" s="63" t="str">
        <f t="shared" si="18"/>
        <v>适中</v>
      </c>
      <c r="AE52" s="64">
        <f>VLOOKUP($AD$1&amp;AD52,【1】定价因子!E:F,2,0)</f>
        <v>1</v>
      </c>
      <c r="AF52" s="63" t="str">
        <f t="shared" si="19"/>
        <v>适中</v>
      </c>
      <c r="AG52" s="64">
        <f>VLOOKUP($AF$1&amp;AF52,【1】定价因子!E:F,2,0)</f>
        <v>1</v>
      </c>
      <c r="AH52" s="63" t="str">
        <f t="shared" si="20"/>
        <v>适中</v>
      </c>
      <c r="AI52" s="64">
        <f>VLOOKUP($AH$1&amp;AH52,【1】定价因子!E:F,2,0)</f>
        <v>1</v>
      </c>
      <c r="AJ52" s="64" t="str">
        <f>VLOOKUP(H52,'【3-1】大区填-采光基本要素'!A:H,8,0)</f>
        <v>3</v>
      </c>
      <c r="AK52" s="64">
        <f>VLOOKUP($AJ$1&amp;AJ52,【1】定价因子!E:F,2,0)</f>
        <v>1</v>
      </c>
      <c r="AL52" s="65">
        <f t="shared" si="21"/>
        <v>1822.30300868</v>
      </c>
      <c r="AM52" s="13">
        <v>1730</v>
      </c>
      <c r="AN52" s="66">
        <f t="shared" si="22"/>
        <v>-0.0506518445287869</v>
      </c>
      <c r="AO52" s="67">
        <f>SUMIFS(户型资产表!M:M,户型资产表!I:I,"*租赁*",户型资产表!E:E,I52)</f>
        <v>214.84</v>
      </c>
      <c r="AP52" s="68">
        <f t="shared" si="23"/>
        <v>1515.16</v>
      </c>
    </row>
    <row r="53" s="35" customFormat="1" ht="14.15" spans="1:42">
      <c r="A53" s="69" t="str">
        <f>'【2】运营中心填-基本信息&amp;审核标准'!$E$2</f>
        <v>东福围西街30栋</v>
      </c>
      <c r="B53" s="13">
        <f t="shared" si="11"/>
        <v>6</v>
      </c>
      <c r="C53" s="13">
        <f t="shared" si="1"/>
        <v>14</v>
      </c>
      <c r="D53" s="13">
        <f t="shared" si="2"/>
        <v>42</v>
      </c>
      <c r="E53" s="13"/>
      <c r="F53" s="13">
        <f t="shared" si="3"/>
        <v>14</v>
      </c>
      <c r="G53" s="13"/>
      <c r="H53" s="70">
        <v>607</v>
      </c>
      <c r="I53" s="71" t="s">
        <v>521</v>
      </c>
      <c r="J53" s="71" t="s">
        <v>43</v>
      </c>
      <c r="K53" s="13" t="str" cm="1">
        <f t="array" ref="K53">IFERROR(INDEX($J$2:$J$75,MATCH(0,IF(ISBLANK($J$2:$J$75),1,COUNTIF($K$1:K52,$J$2:$J$75)),0)),"")</f>
        <v/>
      </c>
      <c r="L53" s="72">
        <f>VLOOKUP(J53,'【3】大区填-楼栋基准格局定价'!B:H,7,0)</f>
        <v>2354.45</v>
      </c>
      <c r="M53" s="73" t="str">
        <f t="shared" si="17"/>
        <v>适中</v>
      </c>
      <c r="N53" s="73">
        <v>24.9</v>
      </c>
      <c r="O53" s="64">
        <f>VLOOKUP($M$1&amp;M53,【1】定价因子!E:F,2,0)</f>
        <v>1</v>
      </c>
      <c r="P53" s="64" t="str">
        <f>IF(COUNTIFS(户型资产表!E:E,I53,户型资产表!H:H,"阳台门")&gt;0,"有","无")</f>
        <v>无</v>
      </c>
      <c r="Q53" s="64">
        <f>VLOOKUP($P$1&amp;P53,【1】定价因子!E:F,2,0)</f>
        <v>1</v>
      </c>
      <c r="R53" s="64" t="str">
        <f>IF('【2】运营中心填-基本信息&amp;审核标准'!$D$4="是","无",IF(INT(H53/100)&gt;9,"9F",INT(H53/100)&amp;"F"))</f>
        <v>6F</v>
      </c>
      <c r="S53" s="64">
        <f>VLOOKUP(R53,【1】定价因子!D:F,3,0)</f>
        <v>0.98</v>
      </c>
      <c r="T53" s="64" t="str">
        <f>IF('【2】运营中心填-基本信息&amp;审核标准'!$D$4="否","无",IF(INT(H53/100)=1,"1F",IF(AND(INT(H53/100)&gt;=2,INT(H53/100)&lt;=3),"2-3F",IF(INT(H53/100)=4,"4F",IF(AND(INT(H53/100)&gt;=5,INT(H53/100)&lt;=6),"5-6F",IF(AND(INT(H53/100)&gt;=7,INT(H53/100)&lt;=8),"7-8F",IF(AND(INT(H53/100)&gt;=9,INT(H53/100)&lt;=10),"9-10F",IF(AND(INT(H53/100)&gt;=11,INT(H53/100)&lt;=12),"11-12F",IF(INT(H53/100)&gt;=13,"13以上F","")))))))))</f>
        <v>无</v>
      </c>
      <c r="U53" s="64">
        <f>VLOOKUP($T$1&amp;T53,【1】定价因子!E:F,2,0)</f>
        <v>1</v>
      </c>
      <c r="V53" s="64" t="str">
        <f>IF(COUNTIFS(户型资产表!E:E,I53,户型资产表!H:H,"操作台")&gt;0,"有","无")</f>
        <v>有</v>
      </c>
      <c r="W53" s="64" t="str">
        <f>IF(COUNTIFS(户型资产表!E:E,I53,户型资产表!H:H,"书桌")&gt;0,"有","无")</f>
        <v>有</v>
      </c>
      <c r="X53" s="64" t="str" cm="1">
        <f t="array" ref="X53">IF(SUMPRODUCT((户型资产表!E:E=I53)*((户型资产表!I:I="沙发01单人")+(户型资产表!I:I="单人沙发02")+(户型资产表!I:I="租赁-单人沙发02")+(户型资产表!I:I="租赁-沙发01单人")))&gt;0,"有","无")</f>
        <v>无</v>
      </c>
      <c r="Y53" s="64" t="str" cm="1">
        <f t="array" ref="Y53">IF(SUMPRODUCT((户型资产表!E:E=I53)*((户型资产表!I:I="沙发02两人")+(户型资产表!I:I="双人沙发01")+(户型资产表!I:I="租赁-沙发02两人")+(户型资产表!I:I="租赁-双人沙发01")))&gt;0,"有","无")</f>
        <v>有</v>
      </c>
      <c r="Z53" s="64" t="str">
        <f>IF(COUNTIFS(户型资产表!E:E,I53,户型资产表!H:H,"餐桌")&gt;0,"有","无")</f>
        <v>有</v>
      </c>
      <c r="AA53" s="64" t="str">
        <f>IF(COUNTIFS(户型资产表!E:E,I53,户型资产表!H:H,"吸油烟机")&gt;0,"有","无")</f>
        <v>无</v>
      </c>
      <c r="AB53" s="64" t="str">
        <f>IF(COUNTIFS(户型资产表!E:E,I53,户型资产表!H:H,"冰箱")&gt;0,"有","无")</f>
        <v>无</v>
      </c>
      <c r="AC53" s="64" t="str">
        <f>IF(COUNTIFS(户型资产表!E:E,I53,户型资产表!H:H,"电视柜")&gt;0,"有","无")</f>
        <v>无</v>
      </c>
      <c r="AD53" s="63" t="str">
        <f t="shared" si="18"/>
        <v>适中</v>
      </c>
      <c r="AE53" s="64">
        <f>VLOOKUP($AD$1&amp;AD53,【1】定价因子!E:F,2,0)</f>
        <v>1</v>
      </c>
      <c r="AF53" s="63" t="str">
        <f t="shared" si="19"/>
        <v>充配（书桌）</v>
      </c>
      <c r="AG53" s="64">
        <f>VLOOKUP($AF$1&amp;AF53,【1】定价因子!E:F,2,0)</f>
        <v>1.02</v>
      </c>
      <c r="AH53" s="63" t="str">
        <f t="shared" si="20"/>
        <v>适中</v>
      </c>
      <c r="AI53" s="64">
        <f>VLOOKUP($AH$1&amp;AH53,【1】定价因子!E:F,2,0)</f>
        <v>1</v>
      </c>
      <c r="AJ53" s="69" t="str">
        <f>VLOOKUP(H53,'【3-1】大区填-采光基本要素'!A:H,8,0)</f>
        <v>2</v>
      </c>
      <c r="AK53" s="64">
        <f>VLOOKUP($AJ$1&amp;AJ53,【1】定价因子!E:F,2,0)</f>
        <v>0.96</v>
      </c>
      <c r="AL53" s="74">
        <f t="shared" si="21"/>
        <v>2259.3678912</v>
      </c>
      <c r="AM53" s="69">
        <v>2030</v>
      </c>
      <c r="AN53" s="75">
        <f t="shared" si="22"/>
        <v>-0.101518611507831</v>
      </c>
      <c r="AO53" s="73">
        <f>SUMIFS(户型资产表!M:M,户型资产表!I:I,"*租赁*",户型资产表!E:E,I53)</f>
        <v>303.93</v>
      </c>
      <c r="AP53" s="76">
        <f t="shared" si="23"/>
        <v>1726.07</v>
      </c>
    </row>
    <row r="54" s="35" customFormat="1" ht="14.15" spans="1:42">
      <c r="A54" s="69" t="str">
        <f>'【2】运营中心填-基本信息&amp;审核标准'!$E$2</f>
        <v>东福围西街30栋</v>
      </c>
      <c r="B54" s="13">
        <f t="shared" si="11"/>
        <v>6</v>
      </c>
      <c r="C54" s="13">
        <f t="shared" si="1"/>
        <v>14</v>
      </c>
      <c r="D54" s="13">
        <f t="shared" si="2"/>
        <v>42</v>
      </c>
      <c r="E54" s="13"/>
      <c r="F54" s="13">
        <f t="shared" si="3"/>
        <v>14</v>
      </c>
      <c r="G54" s="13"/>
      <c r="H54" s="70">
        <v>608</v>
      </c>
      <c r="I54" s="71" t="s">
        <v>521</v>
      </c>
      <c r="J54" s="71" t="s">
        <v>43</v>
      </c>
      <c r="K54" s="13" t="str" cm="1">
        <f t="array" ref="K54">IFERROR(INDEX($J$2:$J$75,MATCH(0,IF(ISBLANK($J$2:$J$75),1,COUNTIF($K$1:K53,$J$2:$J$75)),0)),"")</f>
        <v/>
      </c>
      <c r="L54" s="72">
        <f>VLOOKUP(J54,'【3】大区填-楼栋基准格局定价'!B:H,7,0)</f>
        <v>2354.45</v>
      </c>
      <c r="M54" s="73" t="str">
        <f t="shared" si="17"/>
        <v>适中</v>
      </c>
      <c r="N54" s="73">
        <v>25.11</v>
      </c>
      <c r="O54" s="64">
        <f>VLOOKUP($M$1&amp;M54,【1】定价因子!E:F,2,0)</f>
        <v>1</v>
      </c>
      <c r="P54" s="64" t="str">
        <f>IF(COUNTIFS(户型资产表!E:E,I54,户型资产表!H:H,"阳台门")&gt;0,"有","无")</f>
        <v>无</v>
      </c>
      <c r="Q54" s="64">
        <f>VLOOKUP($P$1&amp;P54,【1】定价因子!E:F,2,0)</f>
        <v>1</v>
      </c>
      <c r="R54" s="64" t="str">
        <f>IF('【2】运营中心填-基本信息&amp;审核标准'!$D$4="是","无",IF(INT(H54/100)&gt;9,"9F",INT(H54/100)&amp;"F"))</f>
        <v>6F</v>
      </c>
      <c r="S54" s="64">
        <f>VLOOKUP(R54,【1】定价因子!D:F,3,0)</f>
        <v>0.98</v>
      </c>
      <c r="T54" s="64" t="str">
        <f>IF('【2】运营中心填-基本信息&amp;审核标准'!$D$4="否","无",IF(INT(H54/100)=1,"1F",IF(AND(INT(H54/100)&gt;=2,INT(H54/100)&lt;=3),"2-3F",IF(INT(H54/100)=4,"4F",IF(AND(INT(H54/100)&gt;=5,INT(H54/100)&lt;=6),"5-6F",IF(AND(INT(H54/100)&gt;=7,INT(H54/100)&lt;=8),"7-8F",IF(AND(INT(H54/100)&gt;=9,INT(H54/100)&lt;=10),"9-10F",IF(AND(INT(H54/100)&gt;=11,INT(H54/100)&lt;=12),"11-12F",IF(INT(H54/100)&gt;=13,"13以上F","")))))))))</f>
        <v>无</v>
      </c>
      <c r="U54" s="64">
        <f>VLOOKUP($T$1&amp;T54,【1】定价因子!E:F,2,0)</f>
        <v>1</v>
      </c>
      <c r="V54" s="64" t="str">
        <f>IF(COUNTIFS(户型资产表!E:E,I54,户型资产表!H:H,"操作台")&gt;0,"有","无")</f>
        <v>有</v>
      </c>
      <c r="W54" s="64" t="str">
        <f>IF(COUNTIFS(户型资产表!E:E,I54,户型资产表!H:H,"书桌")&gt;0,"有","无")</f>
        <v>有</v>
      </c>
      <c r="X54" s="64" t="str" cm="1">
        <f t="array" ref="X54">IF(SUMPRODUCT((户型资产表!E:E=I54)*((户型资产表!I:I="沙发01单人")+(户型资产表!I:I="单人沙发02")+(户型资产表!I:I="租赁-单人沙发02")+(户型资产表!I:I="租赁-沙发01单人")))&gt;0,"有","无")</f>
        <v>无</v>
      </c>
      <c r="Y54" s="64" t="str" cm="1">
        <f t="array" ref="Y54">IF(SUMPRODUCT((户型资产表!E:E=I54)*((户型资产表!I:I="沙发02两人")+(户型资产表!I:I="双人沙发01")+(户型资产表!I:I="租赁-沙发02两人")+(户型资产表!I:I="租赁-双人沙发01")))&gt;0,"有","无")</f>
        <v>有</v>
      </c>
      <c r="Z54" s="64" t="str">
        <f>IF(COUNTIFS(户型资产表!E:E,I54,户型资产表!H:H,"餐桌")&gt;0,"有","无")</f>
        <v>有</v>
      </c>
      <c r="AA54" s="64" t="str">
        <f>IF(COUNTIFS(户型资产表!E:E,I54,户型资产表!H:H,"吸油烟机")&gt;0,"有","无")</f>
        <v>无</v>
      </c>
      <c r="AB54" s="64" t="str">
        <f>IF(COUNTIFS(户型资产表!E:E,I54,户型资产表!H:H,"冰箱")&gt;0,"有","无")</f>
        <v>无</v>
      </c>
      <c r="AC54" s="64" t="str">
        <f>IF(COUNTIFS(户型资产表!E:E,I54,户型资产表!H:H,"电视柜")&gt;0,"有","无")</f>
        <v>无</v>
      </c>
      <c r="AD54" s="63" t="str">
        <f t="shared" si="18"/>
        <v>适中</v>
      </c>
      <c r="AE54" s="64">
        <f>VLOOKUP($AD$1&amp;AD54,【1】定价因子!E:F,2,0)</f>
        <v>1</v>
      </c>
      <c r="AF54" s="63" t="str">
        <f t="shared" si="19"/>
        <v>充配（书桌）</v>
      </c>
      <c r="AG54" s="64">
        <f>VLOOKUP($AF$1&amp;AF54,【1】定价因子!E:F,2,0)</f>
        <v>1.02</v>
      </c>
      <c r="AH54" s="63" t="str">
        <f t="shared" si="20"/>
        <v>适中</v>
      </c>
      <c r="AI54" s="64">
        <f>VLOOKUP($AH$1&amp;AH54,【1】定价因子!E:F,2,0)</f>
        <v>1</v>
      </c>
      <c r="AJ54" s="69" t="str">
        <f>VLOOKUP(H54,'【3-1】大区填-采光基本要素'!A:H,8,0)</f>
        <v>2</v>
      </c>
      <c r="AK54" s="64">
        <f>VLOOKUP($AJ$1&amp;AJ54,【1】定价因子!E:F,2,0)</f>
        <v>0.96</v>
      </c>
      <c r="AL54" s="74">
        <f t="shared" si="21"/>
        <v>2259.3678912</v>
      </c>
      <c r="AM54" s="69">
        <v>2030</v>
      </c>
      <c r="AN54" s="75">
        <f t="shared" si="22"/>
        <v>-0.101518611507831</v>
      </c>
      <c r="AO54" s="73">
        <f>SUMIFS(户型资产表!M:M,户型资产表!I:I,"*租赁*",户型资产表!E:E,I54)</f>
        <v>303.93</v>
      </c>
      <c r="AP54" s="76">
        <f t="shared" si="23"/>
        <v>1726.07</v>
      </c>
    </row>
    <row r="55" ht="14.15" spans="1:42">
      <c r="A55" s="59" t="str">
        <f>'【2】运营中心填-基本信息&amp;审核标准'!$E$2</f>
        <v>东福围西街30栋</v>
      </c>
      <c r="B55" s="13">
        <f t="shared" si="11"/>
        <v>6</v>
      </c>
      <c r="C55" s="13">
        <f t="shared" si="1"/>
        <v>14</v>
      </c>
      <c r="D55" s="13">
        <f t="shared" si="2"/>
        <v>42</v>
      </c>
      <c r="E55" s="13"/>
      <c r="F55" s="13">
        <f t="shared" si="3"/>
        <v>14</v>
      </c>
      <c r="G55" s="13"/>
      <c r="H55" s="60">
        <v>609</v>
      </c>
      <c r="I55" s="61" t="s">
        <v>520</v>
      </c>
      <c r="J55" s="61" t="s">
        <v>40</v>
      </c>
      <c r="K55" s="13" t="str" cm="1">
        <f t="array" ref="K55">IFERROR(INDEX($J$2:$J$75,MATCH(0,IF(ISBLANK($J$2:$J$75),1,COUNTIF($K$1:K54,$J$2:$J$75)),0)),"")</f>
        <v/>
      </c>
      <c r="L55" s="62">
        <f>VLOOKUP(J55,'【3】大区填-楼栋基准格局定价'!B:H,7,0)</f>
        <v>1579.858</v>
      </c>
      <c r="M55" s="63" t="str">
        <f t="shared" si="17"/>
        <v>很宽敞</v>
      </c>
      <c r="N55" s="63">
        <v>20.71</v>
      </c>
      <c r="O55" s="64">
        <f>VLOOKUP($M$1&amp;M55,【1】定价因子!E:F,2,0)</f>
        <v>1.1</v>
      </c>
      <c r="P55" s="64" t="str">
        <f>IF(COUNTIFS(户型资产表!E:E,I55,户型资产表!H:H,"阳台门")&gt;0,"有","无")</f>
        <v>有</v>
      </c>
      <c r="Q55" s="64">
        <f>VLOOKUP($P$1&amp;P55,【1】定价因子!E:F,2,0)</f>
        <v>1.07</v>
      </c>
      <c r="R55" s="64" t="str">
        <f>IF('【2】运营中心填-基本信息&amp;审核标准'!$D$4="是","无",IF(INT(H55/100)&gt;9,"9F",INT(H55/100)&amp;"F"))</f>
        <v>6F</v>
      </c>
      <c r="S55" s="64">
        <f>VLOOKUP(R55,【1】定价因子!D:F,3,0)</f>
        <v>0.98</v>
      </c>
      <c r="T55" s="64" t="str">
        <f>IF('【2】运营中心填-基本信息&amp;审核标准'!$D$4="否","无",IF(INT(H55/100)=1,"1F",IF(AND(INT(H55/100)&gt;=2,INT(H55/100)&lt;=3),"2-3F",IF(INT(H55/100)=4,"4F",IF(AND(INT(H55/100)&gt;=5,INT(H55/100)&lt;=6),"5-6F",IF(AND(INT(H55/100)&gt;=7,INT(H55/100)&lt;=8),"7-8F",IF(AND(INT(H55/100)&gt;=9,INT(H55/100)&lt;=10),"9-10F",IF(AND(INT(H55/100)&gt;=11,INT(H55/100)&lt;=12),"11-12F",IF(INT(H55/100)&gt;=13,"13以上F","")))))))))</f>
        <v>无</v>
      </c>
      <c r="U55" s="64">
        <f>VLOOKUP($T$1&amp;T55,【1】定价因子!E:F,2,0)</f>
        <v>1</v>
      </c>
      <c r="V55" s="64" t="str">
        <f>IF(COUNTIFS(户型资产表!E:E,I55,户型资产表!H:H,"操作台")&gt;0,"有","无")</f>
        <v>有</v>
      </c>
      <c r="W55" s="64" t="str">
        <f>IF(COUNTIFS(户型资产表!E:E,I55,户型资产表!H:H,"书桌")&gt;0,"有","无")</f>
        <v>有</v>
      </c>
      <c r="X55" s="64" t="str" cm="1">
        <f t="array" ref="X55">IF(SUMPRODUCT((户型资产表!E:E=I55)*((户型资产表!I:I="沙发01单人")+(户型资产表!I:I="单人沙发02")+(户型资产表!I:I="租赁-单人沙发02")+(户型资产表!I:I="租赁-沙发01单人")))&gt;0,"有","无")</f>
        <v>无</v>
      </c>
      <c r="Y55" s="64" t="str" cm="1">
        <f t="array" ref="Y55">IF(SUMPRODUCT((户型资产表!E:E=I55)*((户型资产表!I:I="沙发02两人")+(户型资产表!I:I="双人沙发01")+(户型资产表!I:I="租赁-沙发02两人")+(户型资产表!I:I="租赁-双人沙发01")))&gt;0,"有","无")</f>
        <v>无</v>
      </c>
      <c r="Z55" s="64" t="str">
        <f>IF(COUNTIFS(户型资产表!E:E,I55,户型资产表!H:H,"餐桌")&gt;0,"有","无")</f>
        <v>无</v>
      </c>
      <c r="AA55" s="64" t="str">
        <f>IF(COUNTIFS(户型资产表!E:E,I55,户型资产表!H:H,"吸油烟机")&gt;0,"有","无")</f>
        <v>无</v>
      </c>
      <c r="AB55" s="64" t="str">
        <f>IF(COUNTIFS(户型资产表!E:E,I55,户型资产表!H:H,"冰箱")&gt;0,"有","无")</f>
        <v>无</v>
      </c>
      <c r="AC55" s="64" t="str">
        <f>IF(COUNTIFS(户型资产表!E:E,I55,户型资产表!H:H,"电视柜")&gt;0,"有","无")</f>
        <v>无</v>
      </c>
      <c r="AD55" s="63" t="str">
        <f t="shared" si="18"/>
        <v>适中</v>
      </c>
      <c r="AE55" s="64">
        <f>VLOOKUP($AD$1&amp;AD55,【1】定价因子!E:F,2,0)</f>
        <v>1</v>
      </c>
      <c r="AF55" s="63" t="str">
        <f t="shared" si="19"/>
        <v>适中</v>
      </c>
      <c r="AG55" s="64">
        <f>VLOOKUP($AF$1&amp;AF55,【1】定价因子!E:F,2,0)</f>
        <v>1</v>
      </c>
      <c r="AH55" s="63" t="str">
        <f t="shared" si="20"/>
        <v>适中</v>
      </c>
      <c r="AI55" s="64">
        <f>VLOOKUP($AH$1&amp;AH55,【1】定价因子!E:F,2,0)</f>
        <v>1</v>
      </c>
      <c r="AJ55" s="64" t="str">
        <f>VLOOKUP(H55,'【3-1】大区填-采光基本要素'!A:H,8,0)</f>
        <v>3</v>
      </c>
      <c r="AK55" s="64">
        <f>VLOOKUP($AJ$1&amp;AJ55,【1】定价因子!E:F,2,0)</f>
        <v>1</v>
      </c>
      <c r="AL55" s="65">
        <f t="shared" si="21"/>
        <v>1822.30300868</v>
      </c>
      <c r="AM55" s="13">
        <v>1730</v>
      </c>
      <c r="AN55" s="66">
        <f t="shared" si="22"/>
        <v>-0.0506518445287869</v>
      </c>
      <c r="AO55" s="67">
        <f>SUMIFS(户型资产表!M:M,户型资产表!I:I,"*租赁*",户型资产表!E:E,I55)</f>
        <v>214.84</v>
      </c>
      <c r="AP55" s="68">
        <f t="shared" si="23"/>
        <v>1515.16</v>
      </c>
    </row>
    <row r="56" s="35" customFormat="1" ht="14.15" spans="1:42">
      <c r="A56" s="69" t="str">
        <f>'【2】运营中心填-基本信息&amp;审核标准'!$E$2</f>
        <v>东福围西街30栋</v>
      </c>
      <c r="B56" s="13">
        <f t="shared" si="11"/>
        <v>6</v>
      </c>
      <c r="C56" s="13">
        <f t="shared" si="1"/>
        <v>14</v>
      </c>
      <c r="D56" s="13">
        <f t="shared" si="2"/>
        <v>42</v>
      </c>
      <c r="E56" s="13"/>
      <c r="F56" s="13">
        <f t="shared" si="3"/>
        <v>14</v>
      </c>
      <c r="G56" s="13"/>
      <c r="H56" s="70">
        <v>610</v>
      </c>
      <c r="I56" s="71" t="s">
        <v>522</v>
      </c>
      <c r="J56" s="71" t="s">
        <v>43</v>
      </c>
      <c r="K56" s="13" t="str" cm="1">
        <f t="array" ref="K56">IFERROR(INDEX($J$2:$J$75,MATCH(0,IF(ISBLANK($J$2:$J$75),1,COUNTIF($K$1:K55,$J$2:$J$75)),0)),"")</f>
        <v/>
      </c>
      <c r="L56" s="72">
        <f>VLOOKUP(J56,'【3】大区填-楼栋基准格局定价'!B:H,7,0)</f>
        <v>2354.45</v>
      </c>
      <c r="M56" s="73" t="str">
        <f t="shared" si="17"/>
        <v>较宽敞</v>
      </c>
      <c r="N56" s="73">
        <v>27.55</v>
      </c>
      <c r="O56" s="64">
        <f>VLOOKUP($M$1&amp;M56,【1】定价因子!E:F,2,0)</f>
        <v>1.06</v>
      </c>
      <c r="P56" s="64" t="str">
        <f>IF(COUNTIFS(户型资产表!E:E,I56,户型资产表!H:H,"阳台门")&gt;0,"有","无")</f>
        <v>有</v>
      </c>
      <c r="Q56" s="64">
        <f>VLOOKUP($P$1&amp;P56,【1】定价因子!E:F,2,0)</f>
        <v>1.07</v>
      </c>
      <c r="R56" s="64" t="str">
        <f>IF('【2】运营中心填-基本信息&amp;审核标准'!$D$4="是","无",IF(INT(H56/100)&gt;9,"9F",INT(H56/100)&amp;"F"))</f>
        <v>6F</v>
      </c>
      <c r="S56" s="64">
        <f>VLOOKUP(R56,【1】定价因子!D:F,3,0)</f>
        <v>0.98</v>
      </c>
      <c r="T56" s="64" t="str">
        <f>IF('【2】运营中心填-基本信息&amp;审核标准'!$D$4="否","无",IF(INT(H56/100)=1,"1F",IF(AND(INT(H56/100)&gt;=2,INT(H56/100)&lt;=3),"2-3F",IF(INT(H56/100)=4,"4F",IF(AND(INT(H56/100)&gt;=5,INT(H56/100)&lt;=6),"5-6F",IF(AND(INT(H56/100)&gt;=7,INT(H56/100)&lt;=8),"7-8F",IF(AND(INT(H56/100)&gt;=9,INT(H56/100)&lt;=10),"9-10F",IF(AND(INT(H56/100)&gt;=11,INT(H56/100)&lt;=12),"11-12F",IF(INT(H56/100)&gt;=13,"13以上F","")))))))))</f>
        <v>无</v>
      </c>
      <c r="U56" s="64">
        <f>VLOOKUP($T$1&amp;T56,【1】定价因子!E:F,2,0)</f>
        <v>1</v>
      </c>
      <c r="V56" s="64" t="str">
        <f>IF(COUNTIFS(户型资产表!E:E,I56,户型资产表!H:H,"操作台")&gt;0,"有","无")</f>
        <v>有</v>
      </c>
      <c r="W56" s="64" t="str">
        <f>IF(COUNTIFS(户型资产表!E:E,I56,户型资产表!H:H,"书桌")&gt;0,"有","无")</f>
        <v>无</v>
      </c>
      <c r="X56" s="64" t="str" cm="1">
        <f t="array" ref="X56">IF(SUMPRODUCT((户型资产表!E:E=I56)*((户型资产表!I:I="沙发01单人")+(户型资产表!I:I="单人沙发02")+(户型资产表!I:I="租赁-单人沙发02")+(户型资产表!I:I="租赁-沙发01单人")))&gt;0,"有","无")</f>
        <v>无</v>
      </c>
      <c r="Y56" s="64" t="str" cm="1">
        <f t="array" ref="Y56">IF(SUMPRODUCT((户型资产表!E:E=I56)*((户型资产表!I:I="沙发02两人")+(户型资产表!I:I="双人沙发01")+(户型资产表!I:I="租赁-沙发02两人")+(户型资产表!I:I="租赁-双人沙发01")))&gt;0,"有","无")</f>
        <v>有</v>
      </c>
      <c r="Z56" s="64" t="str">
        <f>IF(COUNTIFS(户型资产表!E:E,I56,户型资产表!H:H,"餐桌")&gt;0,"有","无")</f>
        <v>有</v>
      </c>
      <c r="AA56" s="64" t="str">
        <f>IF(COUNTIFS(户型资产表!E:E,I56,户型资产表!H:H,"吸油烟机")&gt;0,"有","无")</f>
        <v>无</v>
      </c>
      <c r="AB56" s="64" t="str">
        <f>IF(COUNTIFS(户型资产表!E:E,I56,户型资产表!H:H,"冰箱")&gt;0,"有","无")</f>
        <v>无</v>
      </c>
      <c r="AC56" s="64" t="str">
        <f>IF(COUNTIFS(户型资产表!E:E,I56,户型资产表!H:H,"电视柜")&gt;0,"有","无")</f>
        <v>无</v>
      </c>
      <c r="AD56" s="63" t="str">
        <f t="shared" si="18"/>
        <v>适中</v>
      </c>
      <c r="AE56" s="64">
        <f>VLOOKUP($AD$1&amp;AD56,【1】定价因子!E:F,2,0)</f>
        <v>1</v>
      </c>
      <c r="AF56" s="63" t="str">
        <f t="shared" si="19"/>
        <v>适中</v>
      </c>
      <c r="AG56" s="64">
        <f>VLOOKUP($AF$1&amp;AF56,【1】定价因子!E:F,2,0)</f>
        <v>1</v>
      </c>
      <c r="AH56" s="63" t="str">
        <f t="shared" si="20"/>
        <v>适中</v>
      </c>
      <c r="AI56" s="64">
        <f>VLOOKUP($AH$1&amp;AH56,【1】定价因子!E:F,2,0)</f>
        <v>1</v>
      </c>
      <c r="AJ56" s="69" t="str">
        <f>VLOOKUP(H56,'【3-1】大区填-采光基本要素'!A:H,8,0)</f>
        <v>2</v>
      </c>
      <c r="AK56" s="64">
        <f>VLOOKUP($AJ$1&amp;AJ56,【1】定价因子!E:F,2,0)</f>
        <v>0.96</v>
      </c>
      <c r="AL56" s="74">
        <f t="shared" si="21"/>
        <v>2512.328492352</v>
      </c>
      <c r="AM56" s="69">
        <v>2020</v>
      </c>
      <c r="AN56" s="75">
        <f t="shared" si="22"/>
        <v>-0.19596501566206</v>
      </c>
      <c r="AO56" s="73">
        <f>SUMIFS(户型资产表!M:M,户型资产表!I:I,"*租赁*",户型资产表!E:E,I56)</f>
        <v>266.9</v>
      </c>
      <c r="AP56" s="76">
        <f t="shared" si="23"/>
        <v>1753.1</v>
      </c>
    </row>
    <row r="57" ht="14.15" spans="1:42">
      <c r="A57" s="59" t="str">
        <f>'【2】运营中心填-基本信息&amp;审核标准'!$E$2</f>
        <v>东福围西街30栋</v>
      </c>
      <c r="B57" s="13">
        <f t="shared" si="11"/>
        <v>6</v>
      </c>
      <c r="C57" s="13">
        <f t="shared" si="1"/>
        <v>14</v>
      </c>
      <c r="D57" s="13">
        <f t="shared" si="2"/>
        <v>42</v>
      </c>
      <c r="E57" s="13"/>
      <c r="F57" s="13">
        <f t="shared" si="3"/>
        <v>14</v>
      </c>
      <c r="G57" s="13"/>
      <c r="H57" s="60">
        <v>611</v>
      </c>
      <c r="I57" s="61" t="s">
        <v>523</v>
      </c>
      <c r="J57" s="61" t="s">
        <v>40</v>
      </c>
      <c r="K57" s="13" t="str" cm="1">
        <f t="array" ref="K57">IFERROR(INDEX($J$2:$J$75,MATCH(0,IF(ISBLANK($J$2:$J$75),1,COUNTIF($K$1:K56,$J$2:$J$75)),0)),"")</f>
        <v/>
      </c>
      <c r="L57" s="62">
        <f>VLOOKUP(J57,'【3】大区填-楼栋基准格局定价'!B:H,7,0)</f>
        <v>1579.858</v>
      </c>
      <c r="M57" s="63" t="str">
        <f t="shared" si="17"/>
        <v>适中</v>
      </c>
      <c r="N57" s="63">
        <v>16.79</v>
      </c>
      <c r="O57" s="64">
        <f>VLOOKUP($M$1&amp;M57,【1】定价因子!E:F,2,0)</f>
        <v>1</v>
      </c>
      <c r="P57" s="64" t="str">
        <f>IF(COUNTIFS(户型资产表!E:E,I57,户型资产表!H:H,"阳台门")&gt;0,"有","无")</f>
        <v>有</v>
      </c>
      <c r="Q57" s="64">
        <f>VLOOKUP($P$1&amp;P57,【1】定价因子!E:F,2,0)</f>
        <v>1.07</v>
      </c>
      <c r="R57" s="64" t="str">
        <f>IF('【2】运营中心填-基本信息&amp;审核标准'!$D$4="是","无",IF(INT(H57/100)&gt;9,"9F",INT(H57/100)&amp;"F"))</f>
        <v>6F</v>
      </c>
      <c r="S57" s="64">
        <f>VLOOKUP(R57,【1】定价因子!D:F,3,0)</f>
        <v>0.98</v>
      </c>
      <c r="T57" s="64" t="str">
        <f>IF('【2】运营中心填-基本信息&amp;审核标准'!$D$4="否","无",IF(INT(H57/100)=1,"1F",IF(AND(INT(H57/100)&gt;=2,INT(H57/100)&lt;=3),"2-3F",IF(INT(H57/100)=4,"4F",IF(AND(INT(H57/100)&gt;=5,INT(H57/100)&lt;=6),"5-6F",IF(AND(INT(H57/100)&gt;=7,INT(H57/100)&lt;=8),"7-8F",IF(AND(INT(H57/100)&gt;=9,INT(H57/100)&lt;=10),"9-10F",IF(AND(INT(H57/100)&gt;=11,INT(H57/100)&lt;=12),"11-12F",IF(INT(H57/100)&gt;=13,"13以上F","")))))))))</f>
        <v>无</v>
      </c>
      <c r="U57" s="64">
        <f>VLOOKUP($T$1&amp;T57,【1】定价因子!E:F,2,0)</f>
        <v>1</v>
      </c>
      <c r="V57" s="64" t="str">
        <f>IF(COUNTIFS(户型资产表!E:E,I57,户型资产表!H:H,"操作台")&gt;0,"有","无")</f>
        <v>有</v>
      </c>
      <c r="W57" s="64" t="str">
        <f>IF(COUNTIFS(户型资产表!E:E,I57,户型资产表!H:H,"书桌")&gt;0,"有","无")</f>
        <v>有</v>
      </c>
      <c r="X57" s="64" t="str" cm="1">
        <f t="array" ref="X57">IF(SUMPRODUCT((户型资产表!E:E=I57)*((户型资产表!I:I="沙发01单人")+(户型资产表!I:I="单人沙发02")+(户型资产表!I:I="租赁-单人沙发02")+(户型资产表!I:I="租赁-沙发01单人")))&gt;0,"有","无")</f>
        <v>无</v>
      </c>
      <c r="Y57" s="64" t="str" cm="1">
        <f t="array" ref="Y57">IF(SUMPRODUCT((户型资产表!E:E=I57)*((户型资产表!I:I="沙发02两人")+(户型资产表!I:I="双人沙发01")+(户型资产表!I:I="租赁-沙发02两人")+(户型资产表!I:I="租赁-双人沙发01")))&gt;0,"有","无")</f>
        <v>无</v>
      </c>
      <c r="Z57" s="64" t="str">
        <f>IF(COUNTIFS(户型资产表!E:E,I57,户型资产表!H:H,"餐桌")&gt;0,"有","无")</f>
        <v>无</v>
      </c>
      <c r="AA57" s="64" t="str">
        <f>IF(COUNTIFS(户型资产表!E:E,I57,户型资产表!H:H,"吸油烟机")&gt;0,"有","无")</f>
        <v>无</v>
      </c>
      <c r="AB57" s="64" t="str">
        <f>IF(COUNTIFS(户型资产表!E:E,I57,户型资产表!H:H,"冰箱")&gt;0,"有","无")</f>
        <v>无</v>
      </c>
      <c r="AC57" s="64" t="str">
        <f>IF(COUNTIFS(户型资产表!E:E,I57,户型资产表!H:H,"电视柜")&gt;0,"有","无")</f>
        <v>无</v>
      </c>
      <c r="AD57" s="63" t="str">
        <f t="shared" si="18"/>
        <v>适中</v>
      </c>
      <c r="AE57" s="64">
        <f>VLOOKUP($AD$1&amp;AD57,【1】定价因子!E:F,2,0)</f>
        <v>1</v>
      </c>
      <c r="AF57" s="63" t="str">
        <f t="shared" si="19"/>
        <v>适中</v>
      </c>
      <c r="AG57" s="64">
        <f>VLOOKUP($AF$1&amp;AF57,【1】定价因子!E:F,2,0)</f>
        <v>1</v>
      </c>
      <c r="AH57" s="63" t="str">
        <f t="shared" si="20"/>
        <v>适中</v>
      </c>
      <c r="AI57" s="64">
        <f>VLOOKUP($AH$1&amp;AH57,【1】定价因子!E:F,2,0)</f>
        <v>1</v>
      </c>
      <c r="AJ57" s="64" t="str">
        <f>VLOOKUP(H57,'【3-1】大区填-采光基本要素'!A:H,8,0)</f>
        <v>1</v>
      </c>
      <c r="AK57" s="64">
        <f>VLOOKUP($AJ$1&amp;AJ57,【1】定价因子!E:F,2,0)</f>
        <v>0.91</v>
      </c>
      <c r="AL57" s="65">
        <f t="shared" si="21"/>
        <v>1507.541579908</v>
      </c>
      <c r="AM57" s="13">
        <v>1450</v>
      </c>
      <c r="AN57" s="66">
        <f t="shared" si="22"/>
        <v>-0.0381691494781268</v>
      </c>
      <c r="AO57" s="67">
        <f>SUMIFS(户型资产表!M:M,户型资产表!I:I,"*租赁*",户型资产表!E:E,I57)</f>
        <v>234.23</v>
      </c>
      <c r="AP57" s="68">
        <f t="shared" si="23"/>
        <v>1215.77</v>
      </c>
    </row>
    <row r="58" ht="14.15" spans="1:42">
      <c r="A58" s="59" t="str">
        <f>'【2】运营中心填-基本信息&amp;审核标准'!$E$2</f>
        <v>东福围西街30栋</v>
      </c>
      <c r="B58" s="13">
        <f t="shared" si="11"/>
        <v>6</v>
      </c>
      <c r="C58" s="13">
        <f t="shared" si="1"/>
        <v>14</v>
      </c>
      <c r="D58" s="13">
        <f t="shared" si="2"/>
        <v>42</v>
      </c>
      <c r="E58" s="13"/>
      <c r="F58" s="13">
        <f t="shared" si="3"/>
        <v>14</v>
      </c>
      <c r="G58" s="13"/>
      <c r="H58" s="60">
        <v>612</v>
      </c>
      <c r="I58" s="61" t="s">
        <v>524</v>
      </c>
      <c r="J58" s="61" t="s">
        <v>40</v>
      </c>
      <c r="K58" s="13" t="str" cm="1">
        <f t="array" ref="K58">IFERROR(INDEX($J$2:$J$75,MATCH(0,IF(ISBLANK($J$2:$J$75),1,COUNTIF($K$1:K57,$J$2:$J$75)),0)),"")</f>
        <v/>
      </c>
      <c r="L58" s="62">
        <f>VLOOKUP(J58,'【3】大区填-楼栋基准格局定价'!B:H,7,0)</f>
        <v>1579.858</v>
      </c>
      <c r="M58" s="63" t="str">
        <f t="shared" si="17"/>
        <v>适中</v>
      </c>
      <c r="N58" s="63">
        <v>16.48</v>
      </c>
      <c r="O58" s="64">
        <f>VLOOKUP($M$1&amp;M58,【1】定价因子!E:F,2,0)</f>
        <v>1</v>
      </c>
      <c r="P58" s="64" t="str">
        <f>IF(COUNTIFS(户型资产表!E:E,I58,户型资产表!H:H,"阳台门")&gt;0,"有","无")</f>
        <v>无</v>
      </c>
      <c r="Q58" s="64">
        <f>VLOOKUP($P$1&amp;P58,【1】定价因子!E:F,2,0)</f>
        <v>1</v>
      </c>
      <c r="R58" s="64" t="str">
        <f>IF('【2】运营中心填-基本信息&amp;审核标准'!$D$4="是","无",IF(INT(H58/100)&gt;9,"9F",INT(H58/100)&amp;"F"))</f>
        <v>6F</v>
      </c>
      <c r="S58" s="64">
        <f>VLOOKUP(R58,【1】定价因子!D:F,3,0)</f>
        <v>0.98</v>
      </c>
      <c r="T58" s="64" t="str">
        <f>IF('【2】运营中心填-基本信息&amp;审核标准'!$D$4="否","无",IF(INT(H58/100)=1,"1F",IF(AND(INT(H58/100)&gt;=2,INT(H58/100)&lt;=3),"2-3F",IF(INT(H58/100)=4,"4F",IF(AND(INT(H58/100)&gt;=5,INT(H58/100)&lt;=6),"5-6F",IF(AND(INT(H58/100)&gt;=7,INT(H58/100)&lt;=8),"7-8F",IF(AND(INT(H58/100)&gt;=9,INT(H58/100)&lt;=10),"9-10F",IF(AND(INT(H58/100)&gt;=11,INT(H58/100)&lt;=12),"11-12F",IF(INT(H58/100)&gt;=13,"13以上F","")))))))))</f>
        <v>无</v>
      </c>
      <c r="U58" s="64">
        <f>VLOOKUP($T$1&amp;T58,【1】定价因子!E:F,2,0)</f>
        <v>1</v>
      </c>
      <c r="V58" s="64" t="str">
        <f>IF(COUNTIFS(户型资产表!E:E,I58,户型资产表!H:H,"操作台")&gt;0,"有","无")</f>
        <v>有</v>
      </c>
      <c r="W58" s="64" t="str">
        <f>IF(COUNTIFS(户型资产表!E:E,I58,户型资产表!H:H,"书桌")&gt;0,"有","无")</f>
        <v>有</v>
      </c>
      <c r="X58" s="64" t="str" cm="1">
        <f t="array" ref="X58">IF(SUMPRODUCT((户型资产表!E:E=I58)*((户型资产表!I:I="沙发01单人")+(户型资产表!I:I="单人沙发02")+(户型资产表!I:I="租赁-单人沙发02")+(户型资产表!I:I="租赁-沙发01单人")))&gt;0,"有","无")</f>
        <v>无</v>
      </c>
      <c r="Y58" s="64" t="str" cm="1">
        <f t="array" ref="Y58">IF(SUMPRODUCT((户型资产表!E:E=I58)*((户型资产表!I:I="沙发02两人")+(户型资产表!I:I="双人沙发01")+(户型资产表!I:I="租赁-沙发02两人")+(户型资产表!I:I="租赁-双人沙发01")))&gt;0,"有","无")</f>
        <v>无</v>
      </c>
      <c r="Z58" s="64" t="str">
        <f>IF(COUNTIFS(户型资产表!E:E,I58,户型资产表!H:H,"餐桌")&gt;0,"有","无")</f>
        <v>无</v>
      </c>
      <c r="AA58" s="64" t="str">
        <f>IF(COUNTIFS(户型资产表!E:E,I58,户型资产表!H:H,"吸油烟机")&gt;0,"有","无")</f>
        <v>无</v>
      </c>
      <c r="AB58" s="64" t="str">
        <f>IF(COUNTIFS(户型资产表!E:E,I58,户型资产表!H:H,"冰箱")&gt;0,"有","无")</f>
        <v>无</v>
      </c>
      <c r="AC58" s="64" t="str">
        <f>IF(COUNTIFS(户型资产表!E:E,I58,户型资产表!H:H,"电视柜")&gt;0,"有","无")</f>
        <v>无</v>
      </c>
      <c r="AD58" s="63" t="str">
        <f t="shared" si="18"/>
        <v>适中</v>
      </c>
      <c r="AE58" s="64">
        <f>VLOOKUP($AD$1&amp;AD58,【1】定价因子!E:F,2,0)</f>
        <v>1</v>
      </c>
      <c r="AF58" s="63" t="str">
        <f t="shared" si="19"/>
        <v>适中</v>
      </c>
      <c r="AG58" s="64">
        <f>VLOOKUP($AF$1&amp;AF58,【1】定价因子!E:F,2,0)</f>
        <v>1</v>
      </c>
      <c r="AH58" s="63" t="str">
        <f t="shared" si="20"/>
        <v>适中</v>
      </c>
      <c r="AI58" s="64">
        <f>VLOOKUP($AH$1&amp;AH58,【1】定价因子!E:F,2,0)</f>
        <v>1</v>
      </c>
      <c r="AJ58" s="64" t="str">
        <f>VLOOKUP(H58,'【3-1】大区填-采光基本要素'!A:H,8,0)</f>
        <v>1</v>
      </c>
      <c r="AK58" s="64">
        <f>VLOOKUP($AJ$1&amp;AJ58,【1】定价因子!E:F,2,0)</f>
        <v>0.91</v>
      </c>
      <c r="AL58" s="65">
        <f t="shared" si="21"/>
        <v>1408.9173644</v>
      </c>
      <c r="AM58" s="13">
        <v>1360</v>
      </c>
      <c r="AN58" s="66">
        <f t="shared" si="22"/>
        <v>-0.0347198250486691</v>
      </c>
      <c r="AO58" s="67">
        <f>SUMIFS(户型资产表!M:M,户型资产表!I:I,"*租赁*",户型资产表!E:E,I58)</f>
        <v>232.39</v>
      </c>
      <c r="AP58" s="68">
        <f t="shared" si="23"/>
        <v>1127.61</v>
      </c>
    </row>
    <row r="59" s="35" customFormat="1" ht="14.15" spans="1:42">
      <c r="A59" s="69" t="str">
        <f>'【2】运营中心填-基本信息&amp;审核标准'!$E$2</f>
        <v>东福围西街30栋</v>
      </c>
      <c r="B59" s="13">
        <f t="shared" si="11"/>
        <v>6</v>
      </c>
      <c r="C59" s="13">
        <f t="shared" si="1"/>
        <v>14</v>
      </c>
      <c r="D59" s="13">
        <f t="shared" si="2"/>
        <v>42</v>
      </c>
      <c r="E59" s="13"/>
      <c r="F59" s="13">
        <f t="shared" si="3"/>
        <v>14</v>
      </c>
      <c r="G59" s="13"/>
      <c r="H59" s="70">
        <v>613</v>
      </c>
      <c r="I59" s="71" t="s">
        <v>516</v>
      </c>
      <c r="J59" s="71" t="s">
        <v>43</v>
      </c>
      <c r="K59" s="13" t="str" cm="1">
        <f t="array" ref="K59">IFERROR(INDEX($J$2:$J$75,MATCH(0,IF(ISBLANK($J$2:$J$75),1,COUNTIF($K$1:K58,$J$2:$J$75)),0)),"")</f>
        <v/>
      </c>
      <c r="L59" s="72">
        <f>VLOOKUP(J59,'【3】大区填-楼栋基准格局定价'!B:H,7,0)</f>
        <v>2354.45</v>
      </c>
      <c r="M59" s="73" t="str">
        <f t="shared" si="17"/>
        <v>较宽敞</v>
      </c>
      <c r="N59" s="73">
        <v>26.07</v>
      </c>
      <c r="O59" s="64">
        <f>VLOOKUP($M$1&amp;M59,【1】定价因子!E:F,2,0)</f>
        <v>1.06</v>
      </c>
      <c r="P59" s="64" t="str">
        <f>IF(COUNTIFS(户型资产表!E:E,I59,户型资产表!H:H,"阳台门")&gt;0,"有","无")</f>
        <v>有</v>
      </c>
      <c r="Q59" s="64">
        <f>VLOOKUP($P$1&amp;P59,【1】定价因子!E:F,2,0)</f>
        <v>1.07</v>
      </c>
      <c r="R59" s="64" t="str">
        <f>IF('【2】运营中心填-基本信息&amp;审核标准'!$D$4="是","无",IF(INT(H59/100)&gt;9,"9F",INT(H59/100)&amp;"F"))</f>
        <v>6F</v>
      </c>
      <c r="S59" s="64">
        <f>VLOOKUP(R59,【1】定价因子!D:F,3,0)</f>
        <v>0.98</v>
      </c>
      <c r="T59" s="64" t="str">
        <f>IF('【2】运营中心填-基本信息&amp;审核标准'!$D$4="否","无",IF(INT(H59/100)=1,"1F",IF(AND(INT(H59/100)&gt;=2,INT(H59/100)&lt;=3),"2-3F",IF(INT(H59/100)=4,"4F",IF(AND(INT(H59/100)&gt;=5,INT(H59/100)&lt;=6),"5-6F",IF(AND(INT(H59/100)&gt;=7,INT(H59/100)&lt;=8),"7-8F",IF(AND(INT(H59/100)&gt;=9,INT(H59/100)&lt;=10),"9-10F",IF(AND(INT(H59/100)&gt;=11,INT(H59/100)&lt;=12),"11-12F",IF(INT(H59/100)&gt;=13,"13以上F","")))))))))</f>
        <v>无</v>
      </c>
      <c r="U59" s="64">
        <f>VLOOKUP($T$1&amp;T59,【1】定价因子!E:F,2,0)</f>
        <v>1</v>
      </c>
      <c r="V59" s="64" t="str">
        <f>IF(COUNTIFS(户型资产表!E:E,I59,户型资产表!H:H,"操作台")&gt;0,"有","无")</f>
        <v>有</v>
      </c>
      <c r="W59" s="64" t="str">
        <f>IF(COUNTIFS(户型资产表!E:E,I59,户型资产表!H:H,"书桌")&gt;0,"有","无")</f>
        <v>无</v>
      </c>
      <c r="X59" s="64" t="str" cm="1">
        <f t="array" ref="X59">IF(SUMPRODUCT((户型资产表!E:E=I59)*((户型资产表!I:I="沙发01单人")+(户型资产表!I:I="单人沙发02")+(户型资产表!I:I="租赁-单人沙发02")+(户型资产表!I:I="租赁-沙发01单人")))&gt;0,"有","无")</f>
        <v>无</v>
      </c>
      <c r="Y59" s="64" t="str" cm="1">
        <f t="array" ref="Y59">IF(SUMPRODUCT((户型资产表!E:E=I59)*((户型资产表!I:I="沙发02两人")+(户型资产表!I:I="双人沙发01")+(户型资产表!I:I="租赁-沙发02两人")+(户型资产表!I:I="租赁-双人沙发01")))&gt;0,"有","无")</f>
        <v>有</v>
      </c>
      <c r="Z59" s="64" t="str">
        <f>IF(COUNTIFS(户型资产表!E:E,I59,户型资产表!H:H,"餐桌")&gt;0,"有","无")</f>
        <v>有</v>
      </c>
      <c r="AA59" s="64" t="str">
        <f>IF(COUNTIFS(户型资产表!E:E,I59,户型资产表!H:H,"吸油烟机")&gt;0,"有","无")</f>
        <v>无</v>
      </c>
      <c r="AB59" s="64" t="str">
        <f>IF(COUNTIFS(户型资产表!E:E,I59,户型资产表!H:H,"冰箱")&gt;0,"有","无")</f>
        <v>无</v>
      </c>
      <c r="AC59" s="64" t="str">
        <f>IF(COUNTIFS(户型资产表!E:E,I59,户型资产表!H:H,"电视柜")&gt;0,"有","无")</f>
        <v>无</v>
      </c>
      <c r="AD59" s="63" t="str">
        <f t="shared" si="18"/>
        <v>适中</v>
      </c>
      <c r="AE59" s="64">
        <f>VLOOKUP($AD$1&amp;AD59,【1】定价因子!E:F,2,0)</f>
        <v>1</v>
      </c>
      <c r="AF59" s="63" t="str">
        <f t="shared" si="19"/>
        <v>适中</v>
      </c>
      <c r="AG59" s="64">
        <f>VLOOKUP($AF$1&amp;AF59,【1】定价因子!E:F,2,0)</f>
        <v>1</v>
      </c>
      <c r="AH59" s="63" t="str">
        <f t="shared" si="20"/>
        <v>适中</v>
      </c>
      <c r="AI59" s="64">
        <f>VLOOKUP($AH$1&amp;AH59,【1】定价因子!E:F,2,0)</f>
        <v>1</v>
      </c>
      <c r="AJ59" s="69" t="str">
        <f>VLOOKUP(H59,'【3-1】大区填-采光基本要素'!A:H,8,0)</f>
        <v>1</v>
      </c>
      <c r="AK59" s="64">
        <f>VLOOKUP($AJ$1&amp;AJ59,【1】定价因子!E:F,2,0)</f>
        <v>0.91</v>
      </c>
      <c r="AL59" s="74">
        <f t="shared" si="21"/>
        <v>2381.478050042</v>
      </c>
      <c r="AM59" s="69">
        <v>2000</v>
      </c>
      <c r="AN59" s="75">
        <f t="shared" si="22"/>
        <v>-0.160185415118679</v>
      </c>
      <c r="AO59" s="73">
        <f>SUMIFS(户型资产表!M:M,户型资产表!I:I,"*租赁*",户型资产表!E:E,I59)</f>
        <v>287.38</v>
      </c>
      <c r="AP59" s="76">
        <f t="shared" si="23"/>
        <v>1712.62</v>
      </c>
    </row>
    <row r="60" s="35" customFormat="1" ht="14.15" spans="1:42">
      <c r="A60" s="69" t="str">
        <f>'【2】运营中心填-基本信息&amp;审核标准'!$E$2</f>
        <v>东福围西街30栋</v>
      </c>
      <c r="B60" s="13">
        <f t="shared" si="11"/>
        <v>6</v>
      </c>
      <c r="C60" s="13">
        <f t="shared" si="1"/>
        <v>14</v>
      </c>
      <c r="D60" s="13">
        <f t="shared" si="2"/>
        <v>42</v>
      </c>
      <c r="E60" s="13"/>
      <c r="F60" s="13">
        <f t="shared" si="3"/>
        <v>14</v>
      </c>
      <c r="G60" s="13"/>
      <c r="H60" s="70">
        <v>614</v>
      </c>
      <c r="I60" s="71" t="s">
        <v>515</v>
      </c>
      <c r="J60" s="71" t="s">
        <v>43</v>
      </c>
      <c r="K60" s="13" t="str" cm="1">
        <f t="array" ref="K60">IFERROR(INDEX($J$2:$J$75,MATCH(0,IF(ISBLANK($J$2:$J$75),1,COUNTIF($K$1:K59,$J$2:$J$75)),0)),"")</f>
        <v/>
      </c>
      <c r="L60" s="72">
        <f>VLOOKUP(J60,'【3】大区填-楼栋基准格局定价'!B:H,7,0)</f>
        <v>2354.45</v>
      </c>
      <c r="M60" s="73" t="str">
        <f t="shared" si="17"/>
        <v>很狭小</v>
      </c>
      <c r="N60" s="73">
        <v>19.55</v>
      </c>
      <c r="O60" s="64">
        <f>VLOOKUP($M$1&amp;M60,【1】定价因子!E:F,2,0)</f>
        <v>0.9</v>
      </c>
      <c r="P60" s="64" t="str">
        <f>IF(COUNTIFS(户型资产表!E:E,I60,户型资产表!H:H,"阳台门")&gt;0,"有","无")</f>
        <v>无</v>
      </c>
      <c r="Q60" s="64">
        <f>VLOOKUP($P$1&amp;P60,【1】定价因子!E:F,2,0)</f>
        <v>1</v>
      </c>
      <c r="R60" s="64" t="str">
        <f>IF('【2】运营中心填-基本信息&amp;审核标准'!$D$4="是","无",IF(INT(H60/100)&gt;9,"9F",INT(H60/100)&amp;"F"))</f>
        <v>6F</v>
      </c>
      <c r="S60" s="64">
        <f>VLOOKUP(R60,【1】定价因子!D:F,3,0)</f>
        <v>0.98</v>
      </c>
      <c r="T60" s="64" t="str">
        <f>IF('【2】运营中心填-基本信息&amp;审核标准'!$D$4="否","无",IF(INT(H60/100)=1,"1F",IF(AND(INT(H60/100)&gt;=2,INT(H60/100)&lt;=3),"2-3F",IF(INT(H60/100)=4,"4F",IF(AND(INT(H60/100)&gt;=5,INT(H60/100)&lt;=6),"5-6F",IF(AND(INT(H60/100)&gt;=7,INT(H60/100)&lt;=8),"7-8F",IF(AND(INT(H60/100)&gt;=9,INT(H60/100)&lt;=10),"9-10F",IF(AND(INT(H60/100)&gt;=11,INT(H60/100)&lt;=12),"11-12F",IF(INT(H60/100)&gt;=13,"13以上F","")))))))))</f>
        <v>无</v>
      </c>
      <c r="U60" s="64">
        <f>VLOOKUP($T$1&amp;T60,【1】定价因子!E:F,2,0)</f>
        <v>1</v>
      </c>
      <c r="V60" s="64" t="str">
        <f>IF(COUNTIFS(户型资产表!E:E,I60,户型资产表!H:H,"操作台")&gt;0,"有","无")</f>
        <v>有</v>
      </c>
      <c r="W60" s="64" t="str">
        <f>IF(COUNTIFS(户型资产表!E:E,I60,户型资产表!H:H,"书桌")&gt;0,"有","无")</f>
        <v>无</v>
      </c>
      <c r="X60" s="64" t="str" cm="1">
        <f t="array" ref="X60">IF(SUMPRODUCT((户型资产表!E:E=I60)*((户型资产表!I:I="沙发01单人")+(户型资产表!I:I="单人沙发02")+(户型资产表!I:I="租赁-单人沙发02")+(户型资产表!I:I="租赁-沙发01单人")))&gt;0,"有","无")</f>
        <v>无</v>
      </c>
      <c r="Y60" s="64" t="str" cm="1">
        <f t="array" ref="Y60">IF(SUMPRODUCT((户型资产表!E:E=I60)*((户型资产表!I:I="沙发02两人")+(户型资产表!I:I="双人沙发01")+(户型资产表!I:I="租赁-沙发02两人")+(户型资产表!I:I="租赁-双人沙发01")))&gt;0,"有","无")</f>
        <v>有</v>
      </c>
      <c r="Z60" s="64" t="str">
        <f>IF(COUNTIFS(户型资产表!E:E,I60,户型资产表!H:H,"餐桌")&gt;0,"有","无")</f>
        <v>有</v>
      </c>
      <c r="AA60" s="64" t="str">
        <f>IF(COUNTIFS(户型资产表!E:E,I60,户型资产表!H:H,"吸油烟机")&gt;0,"有","无")</f>
        <v>无</v>
      </c>
      <c r="AB60" s="64" t="str">
        <f>IF(COUNTIFS(户型资产表!E:E,I60,户型资产表!H:H,"冰箱")&gt;0,"有","无")</f>
        <v>无</v>
      </c>
      <c r="AC60" s="64" t="str">
        <f>IF(COUNTIFS(户型资产表!E:E,I60,户型资产表!H:H,"电视柜")&gt;0,"有","无")</f>
        <v>无</v>
      </c>
      <c r="AD60" s="63" t="str">
        <f t="shared" si="18"/>
        <v>适中</v>
      </c>
      <c r="AE60" s="64">
        <f>VLOOKUP($AD$1&amp;AD60,【1】定价因子!E:F,2,0)</f>
        <v>1</v>
      </c>
      <c r="AF60" s="63" t="str">
        <f t="shared" si="19"/>
        <v>适中</v>
      </c>
      <c r="AG60" s="64">
        <f>VLOOKUP($AF$1&amp;AF60,【1】定价因子!E:F,2,0)</f>
        <v>1</v>
      </c>
      <c r="AH60" s="63" t="str">
        <f t="shared" si="20"/>
        <v>适中</v>
      </c>
      <c r="AI60" s="64">
        <f>VLOOKUP($AH$1&amp;AH60,【1】定价因子!E:F,2,0)</f>
        <v>1</v>
      </c>
      <c r="AJ60" s="69" t="str">
        <f>VLOOKUP(H60,'【3-1】大区填-采光基本要素'!A:H,8,0)</f>
        <v>1</v>
      </c>
      <c r="AK60" s="64">
        <f>VLOOKUP($AJ$1&amp;AJ60,【1】定价因子!E:F,2,0)</f>
        <v>0.91</v>
      </c>
      <c r="AL60" s="74">
        <f t="shared" si="21"/>
        <v>1889.728659</v>
      </c>
      <c r="AM60" s="69">
        <v>1700</v>
      </c>
      <c r="AN60" s="75">
        <f t="shared" si="22"/>
        <v>-0.100399947948294</v>
      </c>
      <c r="AO60" s="73">
        <f>SUMIFS(户型资产表!M:M,户型资产表!I:I,"*租赁*",户型资产表!E:E,I60)</f>
        <v>276.06</v>
      </c>
      <c r="AP60" s="76">
        <f t="shared" si="23"/>
        <v>1423.94</v>
      </c>
    </row>
    <row r="61" s="35" customFormat="1" ht="14.15" spans="1:42">
      <c r="A61" s="69" t="str">
        <f>'【2】运营中心填-基本信息&amp;审核标准'!$E$2</f>
        <v>东福围西街30栋</v>
      </c>
      <c r="B61" s="13">
        <f t="shared" si="11"/>
        <v>7</v>
      </c>
      <c r="C61" s="13">
        <f t="shared" si="1"/>
        <v>15</v>
      </c>
      <c r="D61" s="13">
        <f t="shared" si="2"/>
        <v>15</v>
      </c>
      <c r="E61" s="13"/>
      <c r="F61" s="13" t="str">
        <f t="shared" si="3"/>
        <v/>
      </c>
      <c r="G61" s="13"/>
      <c r="H61" s="70">
        <v>701</v>
      </c>
      <c r="I61" s="71" t="s">
        <v>515</v>
      </c>
      <c r="J61" s="71" t="s">
        <v>43</v>
      </c>
      <c r="K61" s="13" t="str" cm="1">
        <f t="array" ref="K61">IFERROR(INDEX($J$2:$J$75,MATCH(0,IF(ISBLANK($J$2:$J$75),1,COUNTIF($K$1:K60,$J$2:$J$75)),0)),"")</f>
        <v/>
      </c>
      <c r="L61" s="72">
        <f>VLOOKUP(J61,'【3】大区填-楼栋基准格局定价'!B:H,7,0)</f>
        <v>2354.45</v>
      </c>
      <c r="M61" s="73" t="str">
        <f t="shared" si="17"/>
        <v>很狭小</v>
      </c>
      <c r="N61" s="73">
        <v>19.52</v>
      </c>
      <c r="O61" s="64">
        <f>VLOOKUP($M$1&amp;M61,【1】定价因子!E:F,2,0)</f>
        <v>0.9</v>
      </c>
      <c r="P61" s="64" t="str">
        <f>IF(COUNTIFS(户型资产表!E:E,I61,户型资产表!H:H,"阳台门")&gt;0,"有","无")</f>
        <v>无</v>
      </c>
      <c r="Q61" s="64">
        <f>VLOOKUP($P$1&amp;P61,【1】定价因子!E:F,2,0)</f>
        <v>1</v>
      </c>
      <c r="R61" s="64" t="str">
        <f>IF('【2】运营中心填-基本信息&amp;审核标准'!$D$4="是","无",IF(INT(H61/100)&gt;9,"9F",INT(H61/100)&amp;"F"))</f>
        <v>7F</v>
      </c>
      <c r="S61" s="64">
        <f>VLOOKUP(R61,【1】定价因子!D:F,3,0)</f>
        <v>0.96</v>
      </c>
      <c r="T61" s="64" t="str">
        <f>IF('【2】运营中心填-基本信息&amp;审核标准'!$D$4="否","无",IF(INT(H61/100)=1,"1F",IF(AND(INT(H61/100)&gt;=2,INT(H61/100)&lt;=3),"2-3F",IF(INT(H61/100)=4,"4F",IF(AND(INT(H61/100)&gt;=5,INT(H61/100)&lt;=6),"5-6F",IF(AND(INT(H61/100)&gt;=7,INT(H61/100)&lt;=8),"7-8F",IF(AND(INT(H61/100)&gt;=9,INT(H61/100)&lt;=10),"9-10F",IF(AND(INT(H61/100)&gt;=11,INT(H61/100)&lt;=12),"11-12F",IF(INT(H61/100)&gt;=13,"13以上F","")))))))))</f>
        <v>无</v>
      </c>
      <c r="U61" s="64">
        <f>VLOOKUP($T$1&amp;T61,【1】定价因子!E:F,2,0)</f>
        <v>1</v>
      </c>
      <c r="V61" s="64" t="str">
        <f>IF(COUNTIFS(户型资产表!E:E,I61,户型资产表!H:H,"操作台")&gt;0,"有","无")</f>
        <v>有</v>
      </c>
      <c r="W61" s="64" t="str">
        <f>IF(COUNTIFS(户型资产表!E:E,I61,户型资产表!H:H,"书桌")&gt;0,"有","无")</f>
        <v>无</v>
      </c>
      <c r="X61" s="64" t="str" cm="1">
        <f t="array" ref="X61">IF(SUMPRODUCT((户型资产表!E:E=I61)*((户型资产表!I:I="沙发01单人")+(户型资产表!I:I="单人沙发02")+(户型资产表!I:I="租赁-单人沙发02")+(户型资产表!I:I="租赁-沙发01单人")))&gt;0,"有","无")</f>
        <v>无</v>
      </c>
      <c r="Y61" s="64" t="str" cm="1">
        <f t="array" ref="Y61">IF(SUMPRODUCT((户型资产表!E:E=I61)*((户型资产表!I:I="沙发02两人")+(户型资产表!I:I="双人沙发01")+(户型资产表!I:I="租赁-沙发02两人")+(户型资产表!I:I="租赁-双人沙发01")))&gt;0,"有","无")</f>
        <v>有</v>
      </c>
      <c r="Z61" s="64" t="str">
        <f>IF(COUNTIFS(户型资产表!E:E,I61,户型资产表!H:H,"餐桌")&gt;0,"有","无")</f>
        <v>有</v>
      </c>
      <c r="AA61" s="64" t="str">
        <f>IF(COUNTIFS(户型资产表!E:E,I61,户型资产表!H:H,"吸油烟机")&gt;0,"有","无")</f>
        <v>无</v>
      </c>
      <c r="AB61" s="64" t="str">
        <f>IF(COUNTIFS(户型资产表!E:E,I61,户型资产表!H:H,"冰箱")&gt;0,"有","无")</f>
        <v>无</v>
      </c>
      <c r="AC61" s="64" t="str">
        <f>IF(COUNTIFS(户型资产表!E:E,I61,户型资产表!H:H,"电视柜")&gt;0,"有","无")</f>
        <v>无</v>
      </c>
      <c r="AD61" s="63" t="str">
        <f t="shared" si="18"/>
        <v>适中</v>
      </c>
      <c r="AE61" s="64">
        <f>VLOOKUP($AD$1&amp;AD61,【1】定价因子!E:F,2,0)</f>
        <v>1</v>
      </c>
      <c r="AF61" s="63" t="str">
        <f t="shared" si="19"/>
        <v>适中</v>
      </c>
      <c r="AG61" s="64">
        <f>VLOOKUP($AF$1&amp;AF61,【1】定价因子!E:F,2,0)</f>
        <v>1</v>
      </c>
      <c r="AH61" s="63" t="str">
        <f t="shared" si="20"/>
        <v>适中</v>
      </c>
      <c r="AI61" s="64">
        <f>VLOOKUP($AH$1&amp;AH61,【1】定价因子!E:F,2,0)</f>
        <v>1</v>
      </c>
      <c r="AJ61" s="69" t="str">
        <f>VLOOKUP(H61,'【3-1】大区填-采光基本要素'!A:H,8,0)</f>
        <v>1</v>
      </c>
      <c r="AK61" s="64">
        <f>VLOOKUP($AJ$1&amp;AJ61,【1】定价因子!E:F,2,0)</f>
        <v>0.91</v>
      </c>
      <c r="AL61" s="74">
        <f t="shared" si="21"/>
        <v>1851.162768</v>
      </c>
      <c r="AM61" s="69">
        <v>1660</v>
      </c>
      <c r="AN61" s="75">
        <f t="shared" si="22"/>
        <v>-0.103266320663165</v>
      </c>
      <c r="AO61" s="73">
        <f>SUMIFS(户型资产表!M:M,户型资产表!I:I,"*租赁*",户型资产表!E:E,I61)</f>
        <v>276.06</v>
      </c>
      <c r="AP61" s="76">
        <f t="shared" si="23"/>
        <v>1383.94</v>
      </c>
    </row>
    <row r="62" s="35" customFormat="1" ht="14.15" spans="1:42">
      <c r="A62" s="69" t="str">
        <f>'【2】运营中心填-基本信息&amp;审核标准'!$E$2</f>
        <v>东福围西街30栋</v>
      </c>
      <c r="B62" s="13">
        <f t="shared" si="11"/>
        <v>7</v>
      </c>
      <c r="C62" s="13">
        <f t="shared" si="1"/>
        <v>15</v>
      </c>
      <c r="D62" s="13">
        <f t="shared" si="2"/>
        <v>15</v>
      </c>
      <c r="E62" s="13"/>
      <c r="F62" s="13" t="str">
        <f t="shared" si="3"/>
        <v/>
      </c>
      <c r="G62" s="13"/>
      <c r="H62" s="70">
        <v>702</v>
      </c>
      <c r="I62" s="71" t="s">
        <v>516</v>
      </c>
      <c r="J62" s="71" t="s">
        <v>43</v>
      </c>
      <c r="K62" s="13" t="str" cm="1">
        <f t="array" ref="K62">IFERROR(INDEX($J$2:$J$75,MATCH(0,IF(ISBLANK($J$2:$J$75),1,COUNTIF($K$1:K61,$J$2:$J$75)),0)),"")</f>
        <v/>
      </c>
      <c r="L62" s="72">
        <f>VLOOKUP(J62,'【3】大区填-楼栋基准格局定价'!B:H,7,0)</f>
        <v>2354.45</v>
      </c>
      <c r="M62" s="73" t="str">
        <f t="shared" si="17"/>
        <v>适中</v>
      </c>
      <c r="N62" s="73">
        <v>24.96</v>
      </c>
      <c r="O62" s="64">
        <f>VLOOKUP($M$1&amp;M62,【1】定价因子!E:F,2,0)</f>
        <v>1</v>
      </c>
      <c r="P62" s="64" t="str">
        <f>IF(COUNTIFS(户型资产表!E:E,I62,户型资产表!H:H,"阳台门")&gt;0,"有","无")</f>
        <v>有</v>
      </c>
      <c r="Q62" s="64">
        <f>VLOOKUP($P$1&amp;P62,【1】定价因子!E:F,2,0)</f>
        <v>1.07</v>
      </c>
      <c r="R62" s="64" t="str">
        <f>IF('【2】运营中心填-基本信息&amp;审核标准'!$D$4="是","无",IF(INT(H62/100)&gt;9,"9F",INT(H62/100)&amp;"F"))</f>
        <v>7F</v>
      </c>
      <c r="S62" s="64">
        <f>VLOOKUP(R62,【1】定价因子!D:F,3,0)</f>
        <v>0.96</v>
      </c>
      <c r="T62" s="64" t="str">
        <f>IF('【2】运营中心填-基本信息&amp;审核标准'!$D$4="否","无",IF(INT(H62/100)=1,"1F",IF(AND(INT(H62/100)&gt;=2,INT(H62/100)&lt;=3),"2-3F",IF(INT(H62/100)=4,"4F",IF(AND(INT(H62/100)&gt;=5,INT(H62/100)&lt;=6),"5-6F",IF(AND(INT(H62/100)&gt;=7,INT(H62/100)&lt;=8),"7-8F",IF(AND(INT(H62/100)&gt;=9,INT(H62/100)&lt;=10),"9-10F",IF(AND(INT(H62/100)&gt;=11,INT(H62/100)&lt;=12),"11-12F",IF(INT(H62/100)&gt;=13,"13以上F","")))))))))</f>
        <v>无</v>
      </c>
      <c r="U62" s="64">
        <f>VLOOKUP($T$1&amp;T62,【1】定价因子!E:F,2,0)</f>
        <v>1</v>
      </c>
      <c r="V62" s="64" t="str">
        <f>IF(COUNTIFS(户型资产表!E:E,I62,户型资产表!H:H,"操作台")&gt;0,"有","无")</f>
        <v>有</v>
      </c>
      <c r="W62" s="64" t="str">
        <f>IF(COUNTIFS(户型资产表!E:E,I62,户型资产表!H:H,"书桌")&gt;0,"有","无")</f>
        <v>无</v>
      </c>
      <c r="X62" s="64" t="str" cm="1">
        <f t="array" ref="X62">IF(SUMPRODUCT((户型资产表!E:E=I62)*((户型资产表!I:I="沙发01单人")+(户型资产表!I:I="单人沙发02")+(户型资产表!I:I="租赁-单人沙发02")+(户型资产表!I:I="租赁-沙发01单人")))&gt;0,"有","无")</f>
        <v>无</v>
      </c>
      <c r="Y62" s="64" t="str" cm="1">
        <f t="array" ref="Y62">IF(SUMPRODUCT((户型资产表!E:E=I62)*((户型资产表!I:I="沙发02两人")+(户型资产表!I:I="双人沙发01")+(户型资产表!I:I="租赁-沙发02两人")+(户型资产表!I:I="租赁-双人沙发01")))&gt;0,"有","无")</f>
        <v>有</v>
      </c>
      <c r="Z62" s="64" t="str">
        <f>IF(COUNTIFS(户型资产表!E:E,I62,户型资产表!H:H,"餐桌")&gt;0,"有","无")</f>
        <v>有</v>
      </c>
      <c r="AA62" s="64" t="str">
        <f>IF(COUNTIFS(户型资产表!E:E,I62,户型资产表!H:H,"吸油烟机")&gt;0,"有","无")</f>
        <v>无</v>
      </c>
      <c r="AB62" s="64" t="str">
        <f>IF(COUNTIFS(户型资产表!E:E,I62,户型资产表!H:H,"冰箱")&gt;0,"有","无")</f>
        <v>无</v>
      </c>
      <c r="AC62" s="64" t="str">
        <f>IF(COUNTIFS(户型资产表!E:E,I62,户型资产表!H:H,"电视柜")&gt;0,"有","无")</f>
        <v>无</v>
      </c>
      <c r="AD62" s="63" t="str">
        <f t="shared" si="18"/>
        <v>适中</v>
      </c>
      <c r="AE62" s="64">
        <f>VLOOKUP($AD$1&amp;AD62,【1】定价因子!E:F,2,0)</f>
        <v>1</v>
      </c>
      <c r="AF62" s="63" t="str">
        <f t="shared" si="19"/>
        <v>适中</v>
      </c>
      <c r="AG62" s="64">
        <f>VLOOKUP($AF$1&amp;AF62,【1】定价因子!E:F,2,0)</f>
        <v>1</v>
      </c>
      <c r="AH62" s="63" t="str">
        <f t="shared" si="20"/>
        <v>适中</v>
      </c>
      <c r="AI62" s="64">
        <f>VLOOKUP($AH$1&amp;AH62,【1】定价因子!E:F,2,0)</f>
        <v>1</v>
      </c>
      <c r="AJ62" s="69" t="str">
        <f>VLOOKUP(H62,'【3-1】大区填-采光基本要素'!A:H,8,0)</f>
        <v>1</v>
      </c>
      <c r="AK62" s="64">
        <f>VLOOKUP($AJ$1&amp;AJ62,【1】定价因子!E:F,2,0)</f>
        <v>0.91</v>
      </c>
      <c r="AL62" s="74">
        <f t="shared" si="21"/>
        <v>2200.8268464</v>
      </c>
      <c r="AM62" s="69">
        <v>1960</v>
      </c>
      <c r="AN62" s="75">
        <f t="shared" si="22"/>
        <v>-0.109425621917477</v>
      </c>
      <c r="AO62" s="73">
        <f>SUMIFS(户型资产表!M:M,户型资产表!I:I,"*租赁*",户型资产表!E:E,I62)</f>
        <v>287.38</v>
      </c>
      <c r="AP62" s="76">
        <f t="shared" si="23"/>
        <v>1672.62</v>
      </c>
    </row>
    <row r="63" ht="14.15" spans="1:42">
      <c r="A63" s="59" t="str">
        <f>'【2】运营中心填-基本信息&amp;审核标准'!$E$2</f>
        <v>东福围西街30栋</v>
      </c>
      <c r="B63" s="13">
        <f t="shared" si="11"/>
        <v>7</v>
      </c>
      <c r="C63" s="13">
        <f t="shared" si="1"/>
        <v>15</v>
      </c>
      <c r="D63" s="13">
        <f t="shared" si="2"/>
        <v>15</v>
      </c>
      <c r="E63" s="13"/>
      <c r="F63" s="13" t="str">
        <f t="shared" si="3"/>
        <v/>
      </c>
      <c r="G63" s="13"/>
      <c r="H63" s="60">
        <v>703</v>
      </c>
      <c r="I63" s="61" t="s">
        <v>517</v>
      </c>
      <c r="J63" s="61" t="s">
        <v>40</v>
      </c>
      <c r="K63" s="13" t="str" cm="1">
        <f t="array" ref="K63">IFERROR(INDEX($J$2:$J$75,MATCH(0,IF(ISBLANK($J$2:$J$75),1,COUNTIF($K$1:K62,$J$2:$J$75)),0)),"")</f>
        <v/>
      </c>
      <c r="L63" s="62">
        <f>VLOOKUP(J63,'【3】大区填-楼栋基准格局定价'!B:H,7,0)</f>
        <v>1579.858</v>
      </c>
      <c r="M63" s="63" t="str">
        <f t="shared" si="17"/>
        <v>适中</v>
      </c>
      <c r="N63" s="63">
        <v>15.5</v>
      </c>
      <c r="O63" s="64">
        <f>VLOOKUP($M$1&amp;M63,【1】定价因子!E:F,2,0)</f>
        <v>1</v>
      </c>
      <c r="P63" s="64" t="str">
        <f>IF(COUNTIFS(户型资产表!E:E,I63,户型资产表!H:H,"阳台门")&gt;0,"有","无")</f>
        <v>无</v>
      </c>
      <c r="Q63" s="64">
        <f>VLOOKUP($P$1&amp;P63,【1】定价因子!E:F,2,0)</f>
        <v>1</v>
      </c>
      <c r="R63" s="64" t="str">
        <f>IF('【2】运营中心填-基本信息&amp;审核标准'!$D$4="是","无",IF(INT(H63/100)&gt;9,"9F",INT(H63/100)&amp;"F"))</f>
        <v>7F</v>
      </c>
      <c r="S63" s="64">
        <f>VLOOKUP(R63,【1】定价因子!D:F,3,0)</f>
        <v>0.96</v>
      </c>
      <c r="T63" s="64" t="str">
        <f>IF('【2】运营中心填-基本信息&amp;审核标准'!$D$4="否","无",IF(INT(H63/100)=1,"1F",IF(AND(INT(H63/100)&gt;=2,INT(H63/100)&lt;=3),"2-3F",IF(INT(H63/100)=4,"4F",IF(AND(INT(H63/100)&gt;=5,INT(H63/100)&lt;=6),"5-6F",IF(AND(INT(H63/100)&gt;=7,INT(H63/100)&lt;=8),"7-8F",IF(AND(INT(H63/100)&gt;=9,INT(H63/100)&lt;=10),"9-10F",IF(AND(INT(H63/100)&gt;=11,INT(H63/100)&lt;=12),"11-12F",IF(INT(H63/100)&gt;=13,"13以上F","")))))))))</f>
        <v>无</v>
      </c>
      <c r="U63" s="64">
        <f>VLOOKUP($T$1&amp;T63,【1】定价因子!E:F,2,0)</f>
        <v>1</v>
      </c>
      <c r="V63" s="64" t="str">
        <f>IF(COUNTIFS(户型资产表!E:E,I63,户型资产表!H:H,"操作台")&gt;0,"有","无")</f>
        <v>有</v>
      </c>
      <c r="W63" s="64" t="str">
        <f>IF(COUNTIFS(户型资产表!E:E,I63,户型资产表!H:H,"书桌")&gt;0,"有","无")</f>
        <v>有</v>
      </c>
      <c r="X63" s="64" t="str" cm="1">
        <f t="array" ref="X63">IF(SUMPRODUCT((户型资产表!E:E=I63)*((户型资产表!I:I="沙发01单人")+(户型资产表!I:I="单人沙发02")+(户型资产表!I:I="租赁-单人沙发02")+(户型资产表!I:I="租赁-沙发01单人")))&gt;0,"有","无")</f>
        <v>无</v>
      </c>
      <c r="Y63" s="64" t="str" cm="1">
        <f t="array" ref="Y63">IF(SUMPRODUCT((户型资产表!E:E=I63)*((户型资产表!I:I="沙发02两人")+(户型资产表!I:I="双人沙发01")+(户型资产表!I:I="租赁-沙发02两人")+(户型资产表!I:I="租赁-双人沙发01")))&gt;0,"有","无")</f>
        <v>无</v>
      </c>
      <c r="Z63" s="64" t="str">
        <f>IF(COUNTIFS(户型资产表!E:E,I63,户型资产表!H:H,"餐桌")&gt;0,"有","无")</f>
        <v>无</v>
      </c>
      <c r="AA63" s="64" t="str">
        <f>IF(COUNTIFS(户型资产表!E:E,I63,户型资产表!H:H,"吸油烟机")&gt;0,"有","无")</f>
        <v>无</v>
      </c>
      <c r="AB63" s="64" t="str">
        <f>IF(COUNTIFS(户型资产表!E:E,I63,户型资产表!H:H,"冰箱")&gt;0,"有","无")</f>
        <v>无</v>
      </c>
      <c r="AC63" s="64" t="str">
        <f>IF(COUNTIFS(户型资产表!E:E,I63,户型资产表!H:H,"电视柜")&gt;0,"有","无")</f>
        <v>无</v>
      </c>
      <c r="AD63" s="63" t="str">
        <f t="shared" si="18"/>
        <v>适中</v>
      </c>
      <c r="AE63" s="64">
        <f>VLOOKUP($AD$1&amp;AD63,【1】定价因子!E:F,2,0)</f>
        <v>1</v>
      </c>
      <c r="AF63" s="63" t="str">
        <f t="shared" si="19"/>
        <v>适中</v>
      </c>
      <c r="AG63" s="64">
        <f>VLOOKUP($AF$1&amp;AF63,【1】定价因子!E:F,2,0)</f>
        <v>1</v>
      </c>
      <c r="AH63" s="63" t="str">
        <f t="shared" si="20"/>
        <v>适中</v>
      </c>
      <c r="AI63" s="64">
        <f>VLOOKUP($AH$1&amp;AH63,【1】定价因子!E:F,2,0)</f>
        <v>1</v>
      </c>
      <c r="AJ63" s="64" t="str">
        <f>VLOOKUP(H63,'【3-1】大区填-采光基本要素'!A:H,8,0)</f>
        <v>1</v>
      </c>
      <c r="AK63" s="64">
        <f>VLOOKUP($AJ$1&amp;AJ63,【1】定价因子!E:F,2,0)</f>
        <v>0.91</v>
      </c>
      <c r="AL63" s="65">
        <f t="shared" si="21"/>
        <v>1380.1639488</v>
      </c>
      <c r="AM63" s="13">
        <v>1330</v>
      </c>
      <c r="AN63" s="66">
        <f t="shared" si="22"/>
        <v>-0.0363463694611178</v>
      </c>
      <c r="AO63" s="67">
        <f>SUMIFS(户型资产表!M:M,户型资产表!I:I,"*租赁*",户型资产表!E:E,I63)</f>
        <v>232.39</v>
      </c>
      <c r="AP63" s="68">
        <f t="shared" si="23"/>
        <v>1097.61</v>
      </c>
    </row>
    <row r="64" ht="14.15" spans="1:42">
      <c r="A64" s="59" t="str">
        <f>'【2】运营中心填-基本信息&amp;审核标准'!$E$2</f>
        <v>东福围西街30栋</v>
      </c>
      <c r="B64" s="13">
        <f t="shared" si="11"/>
        <v>7</v>
      </c>
      <c r="C64" s="13">
        <f t="shared" si="1"/>
        <v>15</v>
      </c>
      <c r="D64" s="13">
        <f t="shared" si="2"/>
        <v>15</v>
      </c>
      <c r="E64" s="13"/>
      <c r="F64" s="13" t="str">
        <f t="shared" si="3"/>
        <v/>
      </c>
      <c r="G64" s="13"/>
      <c r="H64" s="60">
        <v>704</v>
      </c>
      <c r="I64" s="61" t="s">
        <v>525</v>
      </c>
      <c r="J64" s="61" t="s">
        <v>40</v>
      </c>
      <c r="K64" s="13" t="str" cm="1">
        <f t="array" ref="K64">IFERROR(INDEX($J$2:$J$75,MATCH(0,IF(ISBLANK($J$2:$J$75),1,COUNTIF($K$1:K63,$J$2:$J$75)),0)),"")</f>
        <v/>
      </c>
      <c r="L64" s="62">
        <f>VLOOKUP(J64,'【3】大区填-楼栋基准格局定价'!B:H,7,0)</f>
        <v>1579.858</v>
      </c>
      <c r="M64" s="63" t="str">
        <f t="shared" si="17"/>
        <v>适中</v>
      </c>
      <c r="N64" s="63">
        <v>13.58</v>
      </c>
      <c r="O64" s="64">
        <f>VLOOKUP($M$1&amp;M64,【1】定价因子!E:F,2,0)</f>
        <v>1</v>
      </c>
      <c r="P64" s="64" t="str">
        <f>IF(COUNTIFS(户型资产表!E:E,I64,户型资产表!H:H,"阳台门")&gt;0,"有","无")</f>
        <v>无</v>
      </c>
      <c r="Q64" s="64">
        <f>VLOOKUP($P$1&amp;P64,【1】定价因子!E:F,2,0)</f>
        <v>1</v>
      </c>
      <c r="R64" s="64" t="str">
        <f>IF('【2】运营中心填-基本信息&amp;审核标准'!$D$4="是","无",IF(INT(H64/100)&gt;9,"9F",INT(H64/100)&amp;"F"))</f>
        <v>7F</v>
      </c>
      <c r="S64" s="64">
        <f>VLOOKUP(R64,【1】定价因子!D:F,3,0)</f>
        <v>0.96</v>
      </c>
      <c r="T64" s="64" t="str">
        <f>IF('【2】运营中心填-基本信息&amp;审核标准'!$D$4="否","无",IF(INT(H64/100)=1,"1F",IF(AND(INT(H64/100)&gt;=2,INT(H64/100)&lt;=3),"2-3F",IF(INT(H64/100)=4,"4F",IF(AND(INT(H64/100)&gt;=5,INT(H64/100)&lt;=6),"5-6F",IF(AND(INT(H64/100)&gt;=7,INT(H64/100)&lt;=8),"7-8F",IF(AND(INT(H64/100)&gt;=9,INT(H64/100)&lt;=10),"9-10F",IF(AND(INT(H64/100)&gt;=11,INT(H64/100)&lt;=12),"11-12F",IF(INT(H64/100)&gt;=13,"13以上F","")))))))))</f>
        <v>无</v>
      </c>
      <c r="U64" s="64">
        <f>VLOOKUP($T$1&amp;T64,【1】定价因子!E:F,2,0)</f>
        <v>1</v>
      </c>
      <c r="V64" s="64" t="str">
        <f>IF(COUNTIFS(户型资产表!E:E,I64,户型资产表!H:H,"操作台")&gt;0,"有","无")</f>
        <v>有</v>
      </c>
      <c r="W64" s="64" t="str">
        <f>IF(COUNTIFS(户型资产表!E:E,I64,户型资产表!H:H,"书桌")&gt;0,"有","无")</f>
        <v>有</v>
      </c>
      <c r="X64" s="64" t="str" cm="1">
        <f t="array" ref="X64">IF(SUMPRODUCT((户型资产表!E:E=I64)*((户型资产表!I:I="沙发01单人")+(户型资产表!I:I="单人沙发02")+(户型资产表!I:I="租赁-单人沙发02")+(户型资产表!I:I="租赁-沙发01单人")))&gt;0,"有","无")</f>
        <v>无</v>
      </c>
      <c r="Y64" s="64" t="str" cm="1">
        <f t="array" ref="Y64">IF(SUMPRODUCT((户型资产表!E:E=I64)*((户型资产表!I:I="沙发02两人")+(户型资产表!I:I="双人沙发01")+(户型资产表!I:I="租赁-沙发02两人")+(户型资产表!I:I="租赁-双人沙发01")))&gt;0,"有","无")</f>
        <v>无</v>
      </c>
      <c r="Z64" s="64" t="str">
        <f>IF(COUNTIFS(户型资产表!E:E,I64,户型资产表!H:H,"餐桌")&gt;0,"有","无")</f>
        <v>无</v>
      </c>
      <c r="AA64" s="64" t="str">
        <f>IF(COUNTIFS(户型资产表!E:E,I64,户型资产表!H:H,"吸油烟机")&gt;0,"有","无")</f>
        <v>无</v>
      </c>
      <c r="AB64" s="64" t="str">
        <f>IF(COUNTIFS(户型资产表!E:E,I64,户型资产表!H:H,"冰箱")&gt;0,"有","无")</f>
        <v>无</v>
      </c>
      <c r="AC64" s="64" t="str">
        <f>IF(COUNTIFS(户型资产表!E:E,I64,户型资产表!H:H,"电视柜")&gt;0,"有","无")</f>
        <v>无</v>
      </c>
      <c r="AD64" s="63" t="str">
        <f t="shared" si="18"/>
        <v>适中</v>
      </c>
      <c r="AE64" s="64">
        <f>VLOOKUP($AD$1&amp;AD64,【1】定价因子!E:F,2,0)</f>
        <v>1</v>
      </c>
      <c r="AF64" s="63" t="str">
        <f t="shared" si="19"/>
        <v>适中</v>
      </c>
      <c r="AG64" s="64">
        <f>VLOOKUP($AF$1&amp;AF64,【1】定价因子!E:F,2,0)</f>
        <v>1</v>
      </c>
      <c r="AH64" s="63" t="str">
        <f t="shared" si="20"/>
        <v>适中</v>
      </c>
      <c r="AI64" s="64">
        <f>VLOOKUP($AH$1&amp;AH64,【1】定价因子!E:F,2,0)</f>
        <v>1</v>
      </c>
      <c r="AJ64" s="64" t="str">
        <f>VLOOKUP(H64,'【3-1】大区填-采光基本要素'!A:H,8,0)</f>
        <v>1</v>
      </c>
      <c r="AK64" s="64">
        <f>VLOOKUP($AJ$1&amp;AJ64,【1】定价因子!E:F,2,0)</f>
        <v>0.91</v>
      </c>
      <c r="AL64" s="65">
        <f t="shared" si="21"/>
        <v>1380.1639488</v>
      </c>
      <c r="AM64" s="13">
        <v>1330</v>
      </c>
      <c r="AN64" s="66">
        <f t="shared" si="22"/>
        <v>-0.0363463694611178</v>
      </c>
      <c r="AO64" s="67">
        <f>SUMIFS(户型资产表!M:M,户型资产表!I:I,"*租赁*",户型资产表!E:E,I64)</f>
        <v>224.54</v>
      </c>
      <c r="AP64" s="68">
        <f t="shared" si="23"/>
        <v>1105.46</v>
      </c>
    </row>
    <row r="65" ht="14.15" spans="1:42">
      <c r="A65" s="59" t="str">
        <f>'【2】运营中心填-基本信息&amp;审核标准'!$E$2</f>
        <v>东福围西街30栋</v>
      </c>
      <c r="B65" s="13">
        <f t="shared" si="11"/>
        <v>7</v>
      </c>
      <c r="C65" s="13">
        <f t="shared" si="1"/>
        <v>15</v>
      </c>
      <c r="D65" s="13">
        <f t="shared" si="2"/>
        <v>15</v>
      </c>
      <c r="E65" s="13"/>
      <c r="F65" s="13" t="str">
        <f t="shared" si="3"/>
        <v/>
      </c>
      <c r="G65" s="13"/>
      <c r="H65" s="60">
        <v>705</v>
      </c>
      <c r="I65" s="61" t="s">
        <v>525</v>
      </c>
      <c r="J65" s="61" t="s">
        <v>40</v>
      </c>
      <c r="K65" s="13" t="str" cm="1">
        <f t="array" ref="K65">IFERROR(INDEX($J$2:$J$75,MATCH(0,IF(ISBLANK($J$2:$J$75),1,COUNTIF($K$1:K64,$J$2:$J$75)),0)),"")</f>
        <v/>
      </c>
      <c r="L65" s="62">
        <f>VLOOKUP(J65,'【3】大区填-楼栋基准格局定价'!B:H,7,0)</f>
        <v>1579.858</v>
      </c>
      <c r="M65" s="63" t="str">
        <f t="shared" si="17"/>
        <v>适中</v>
      </c>
      <c r="N65" s="63">
        <v>13.58</v>
      </c>
      <c r="O65" s="64">
        <f>VLOOKUP($M$1&amp;M65,【1】定价因子!E:F,2,0)</f>
        <v>1</v>
      </c>
      <c r="P65" s="64" t="str">
        <f>IF(COUNTIFS(户型资产表!E:E,I65,户型资产表!H:H,"阳台门")&gt;0,"有","无")</f>
        <v>无</v>
      </c>
      <c r="Q65" s="64">
        <f>VLOOKUP($P$1&amp;P65,【1】定价因子!E:F,2,0)</f>
        <v>1</v>
      </c>
      <c r="R65" s="64" t="str">
        <f>IF('【2】运营中心填-基本信息&amp;审核标准'!$D$4="是","无",IF(INT(H65/100)&gt;9,"9F",INT(H65/100)&amp;"F"))</f>
        <v>7F</v>
      </c>
      <c r="S65" s="64">
        <f>VLOOKUP(R65,【1】定价因子!D:F,3,0)</f>
        <v>0.96</v>
      </c>
      <c r="T65" s="64" t="str">
        <f>IF('【2】运营中心填-基本信息&amp;审核标准'!$D$4="否","无",IF(INT(H65/100)=1,"1F",IF(AND(INT(H65/100)&gt;=2,INT(H65/100)&lt;=3),"2-3F",IF(INT(H65/100)=4,"4F",IF(AND(INT(H65/100)&gt;=5,INT(H65/100)&lt;=6),"5-6F",IF(AND(INT(H65/100)&gt;=7,INT(H65/100)&lt;=8),"7-8F",IF(AND(INT(H65/100)&gt;=9,INT(H65/100)&lt;=10),"9-10F",IF(AND(INT(H65/100)&gt;=11,INT(H65/100)&lt;=12),"11-12F",IF(INT(H65/100)&gt;=13,"13以上F","")))))))))</f>
        <v>无</v>
      </c>
      <c r="U65" s="64">
        <f>VLOOKUP($T$1&amp;T65,【1】定价因子!E:F,2,0)</f>
        <v>1</v>
      </c>
      <c r="V65" s="64" t="str">
        <f>IF(COUNTIFS(户型资产表!E:E,I65,户型资产表!H:H,"操作台")&gt;0,"有","无")</f>
        <v>有</v>
      </c>
      <c r="W65" s="64" t="str">
        <f>IF(COUNTIFS(户型资产表!E:E,I65,户型资产表!H:H,"书桌")&gt;0,"有","无")</f>
        <v>有</v>
      </c>
      <c r="X65" s="64" t="str" cm="1">
        <f t="array" ref="X65">IF(SUMPRODUCT((户型资产表!E:E=I65)*((户型资产表!I:I="沙发01单人")+(户型资产表!I:I="单人沙发02")+(户型资产表!I:I="租赁-单人沙发02")+(户型资产表!I:I="租赁-沙发01单人")))&gt;0,"有","无")</f>
        <v>无</v>
      </c>
      <c r="Y65" s="64" t="str" cm="1">
        <f t="array" ref="Y65">IF(SUMPRODUCT((户型资产表!E:E=I65)*((户型资产表!I:I="沙发02两人")+(户型资产表!I:I="双人沙发01")+(户型资产表!I:I="租赁-沙发02两人")+(户型资产表!I:I="租赁-双人沙发01")))&gt;0,"有","无")</f>
        <v>无</v>
      </c>
      <c r="Z65" s="64" t="str">
        <f>IF(COUNTIFS(户型资产表!E:E,I65,户型资产表!H:H,"餐桌")&gt;0,"有","无")</f>
        <v>无</v>
      </c>
      <c r="AA65" s="64" t="str">
        <f>IF(COUNTIFS(户型资产表!E:E,I65,户型资产表!H:H,"吸油烟机")&gt;0,"有","无")</f>
        <v>无</v>
      </c>
      <c r="AB65" s="64" t="str">
        <f>IF(COUNTIFS(户型资产表!E:E,I65,户型资产表!H:H,"冰箱")&gt;0,"有","无")</f>
        <v>无</v>
      </c>
      <c r="AC65" s="64" t="str">
        <f>IF(COUNTIFS(户型资产表!E:E,I65,户型资产表!H:H,"电视柜")&gt;0,"有","无")</f>
        <v>无</v>
      </c>
      <c r="AD65" s="63" t="str">
        <f t="shared" si="18"/>
        <v>适中</v>
      </c>
      <c r="AE65" s="64">
        <f>VLOOKUP($AD$1&amp;AD65,【1】定价因子!E:F,2,0)</f>
        <v>1</v>
      </c>
      <c r="AF65" s="63" t="str">
        <f t="shared" si="19"/>
        <v>适中</v>
      </c>
      <c r="AG65" s="64">
        <f>VLOOKUP($AF$1&amp;AF65,【1】定价因子!E:F,2,0)</f>
        <v>1</v>
      </c>
      <c r="AH65" s="63" t="str">
        <f t="shared" si="20"/>
        <v>适中</v>
      </c>
      <c r="AI65" s="64">
        <f>VLOOKUP($AH$1&amp;AH65,【1】定价因子!E:F,2,0)</f>
        <v>1</v>
      </c>
      <c r="AJ65" s="64" t="str">
        <f>VLOOKUP(H65,'【3-1】大区填-采光基本要素'!A:H,8,0)</f>
        <v>3</v>
      </c>
      <c r="AK65" s="64">
        <f>VLOOKUP($AJ$1&amp;AJ65,【1】定价因子!E:F,2,0)</f>
        <v>1</v>
      </c>
      <c r="AL65" s="65">
        <f t="shared" si="21"/>
        <v>1516.66368</v>
      </c>
      <c r="AM65" s="13">
        <v>1460</v>
      </c>
      <c r="AN65" s="66">
        <f t="shared" si="22"/>
        <v>-0.0373607417037903</v>
      </c>
      <c r="AO65" s="67">
        <f>SUMIFS(户型资产表!M:M,户型资产表!I:I,"*租赁*",户型资产表!E:E,I65)</f>
        <v>224.54</v>
      </c>
      <c r="AP65" s="68">
        <f t="shared" si="23"/>
        <v>1235.46</v>
      </c>
    </row>
    <row r="66" ht="14.15" spans="1:42">
      <c r="A66" s="59" t="str">
        <f>'【2】运营中心填-基本信息&amp;审核标准'!$E$2</f>
        <v>东福围西街30栋</v>
      </c>
      <c r="B66" s="13">
        <f t="shared" si="11"/>
        <v>7</v>
      </c>
      <c r="C66" s="13">
        <f t="shared" si="1"/>
        <v>15</v>
      </c>
      <c r="D66" s="13">
        <f t="shared" si="2"/>
        <v>15</v>
      </c>
      <c r="E66" s="13"/>
      <c r="F66" s="13" t="str">
        <f t="shared" si="3"/>
        <v/>
      </c>
      <c r="G66" s="13"/>
      <c r="H66" s="60">
        <v>706</v>
      </c>
      <c r="I66" s="61" t="s">
        <v>526</v>
      </c>
      <c r="J66" s="61" t="s">
        <v>40</v>
      </c>
      <c r="K66" s="13" t="str" cm="1">
        <f t="array" ref="K66">IFERROR(INDEX($J$2:$J$75,MATCH(0,IF(ISBLANK($J$2:$J$75),1,COUNTIF($K$1:K65,$J$2:$J$75)),0)),"")</f>
        <v/>
      </c>
      <c r="L66" s="62">
        <f>VLOOKUP(J66,'【3】大区填-楼栋基准格局定价'!B:H,7,0)</f>
        <v>1579.858</v>
      </c>
      <c r="M66" s="63" t="str">
        <f t="shared" si="17"/>
        <v>适中</v>
      </c>
      <c r="N66" s="63">
        <v>16.33</v>
      </c>
      <c r="O66" s="64">
        <f>VLOOKUP($M$1&amp;M66,【1】定价因子!E:F,2,0)</f>
        <v>1</v>
      </c>
      <c r="P66" s="64" t="str">
        <f>IF(COUNTIFS(户型资产表!E:E,I66,户型资产表!H:H,"阳台门")&gt;0,"有","无")</f>
        <v>无</v>
      </c>
      <c r="Q66" s="64">
        <f>VLOOKUP($P$1&amp;P66,【1】定价因子!E:F,2,0)</f>
        <v>1</v>
      </c>
      <c r="R66" s="64" t="str">
        <f>IF('【2】运营中心填-基本信息&amp;审核标准'!$D$4="是","无",IF(INT(H66/100)&gt;9,"9F",INT(H66/100)&amp;"F"))</f>
        <v>7F</v>
      </c>
      <c r="S66" s="64">
        <f>VLOOKUP(R66,【1】定价因子!D:F,3,0)</f>
        <v>0.96</v>
      </c>
      <c r="T66" s="64" t="str">
        <f>IF('【2】运营中心填-基本信息&amp;审核标准'!$D$4="否","无",IF(INT(H66/100)=1,"1F",IF(AND(INT(H66/100)&gt;=2,INT(H66/100)&lt;=3),"2-3F",IF(INT(H66/100)=4,"4F",IF(AND(INT(H66/100)&gt;=5,INT(H66/100)&lt;=6),"5-6F",IF(AND(INT(H66/100)&gt;=7,INT(H66/100)&lt;=8),"7-8F",IF(AND(INT(H66/100)&gt;=9,INT(H66/100)&lt;=10),"9-10F",IF(AND(INT(H66/100)&gt;=11,INT(H66/100)&lt;=12),"11-12F",IF(INT(H66/100)&gt;=13,"13以上F","")))))))))</f>
        <v>无</v>
      </c>
      <c r="U66" s="64">
        <f>VLOOKUP($T$1&amp;T66,【1】定价因子!E:F,2,0)</f>
        <v>1</v>
      </c>
      <c r="V66" s="64" t="str">
        <f>IF(COUNTIFS(户型资产表!E:E,I66,户型资产表!H:H,"操作台")&gt;0,"有","无")</f>
        <v>有</v>
      </c>
      <c r="W66" s="64" t="str">
        <f>IF(COUNTIFS(户型资产表!E:E,I66,户型资产表!H:H,"书桌")&gt;0,"有","无")</f>
        <v>有</v>
      </c>
      <c r="X66" s="64" t="str" cm="1">
        <f t="array" ref="X66">IF(SUMPRODUCT((户型资产表!E:E=I66)*((户型资产表!I:I="沙发01单人")+(户型资产表!I:I="单人沙发02")+(户型资产表!I:I="租赁-单人沙发02")+(户型资产表!I:I="租赁-沙发01单人")))&gt;0,"有","无")</f>
        <v>无</v>
      </c>
      <c r="Y66" s="64" t="str" cm="1">
        <f t="array" ref="Y66">IF(SUMPRODUCT((户型资产表!E:E=I66)*((户型资产表!I:I="沙发02两人")+(户型资产表!I:I="双人沙发01")+(户型资产表!I:I="租赁-沙发02两人")+(户型资产表!I:I="租赁-双人沙发01")))&gt;0,"有","无")</f>
        <v>无</v>
      </c>
      <c r="Z66" s="64" t="str">
        <f>IF(COUNTIFS(户型资产表!E:E,I66,户型资产表!H:H,"餐桌")&gt;0,"有","无")</f>
        <v>无</v>
      </c>
      <c r="AA66" s="64" t="str">
        <f>IF(COUNTIFS(户型资产表!E:E,I66,户型资产表!H:H,"吸油烟机")&gt;0,"有","无")</f>
        <v>无</v>
      </c>
      <c r="AB66" s="64" t="str">
        <f>IF(COUNTIFS(户型资产表!E:E,I66,户型资产表!H:H,"冰箱")&gt;0,"有","无")</f>
        <v>无</v>
      </c>
      <c r="AC66" s="64" t="str">
        <f>IF(COUNTIFS(户型资产表!E:E,I66,户型资产表!H:H,"电视柜")&gt;0,"有","无")</f>
        <v>无</v>
      </c>
      <c r="AD66" s="63" t="str">
        <f t="shared" si="18"/>
        <v>适中</v>
      </c>
      <c r="AE66" s="64">
        <f>VLOOKUP($AD$1&amp;AD66,【1】定价因子!E:F,2,0)</f>
        <v>1</v>
      </c>
      <c r="AF66" s="63" t="str">
        <f t="shared" si="19"/>
        <v>适中</v>
      </c>
      <c r="AG66" s="64">
        <f>VLOOKUP($AF$1&amp;AF66,【1】定价因子!E:F,2,0)</f>
        <v>1</v>
      </c>
      <c r="AH66" s="63" t="str">
        <f t="shared" si="20"/>
        <v>适中</v>
      </c>
      <c r="AI66" s="64">
        <f>VLOOKUP($AH$1&amp;AH66,【1】定价因子!E:F,2,0)</f>
        <v>1</v>
      </c>
      <c r="AJ66" s="64" t="str">
        <f>VLOOKUP(H66,'【3-1】大区填-采光基本要素'!A:H,8,0)</f>
        <v>3</v>
      </c>
      <c r="AK66" s="64">
        <f>VLOOKUP($AJ$1&amp;AJ66,【1】定价因子!E:F,2,0)</f>
        <v>1</v>
      </c>
      <c r="AL66" s="65">
        <f t="shared" si="21"/>
        <v>1516.66368</v>
      </c>
      <c r="AM66" s="13">
        <v>1460</v>
      </c>
      <c r="AN66" s="66">
        <f t="shared" si="22"/>
        <v>-0.0373607417037903</v>
      </c>
      <c r="AO66" s="67">
        <f>SUMIFS(户型资产表!M:M,户型资产表!I:I,"*租赁*",户型资产表!E:E,I66)</f>
        <v>224.54</v>
      </c>
      <c r="AP66" s="68">
        <f t="shared" si="23"/>
        <v>1235.46</v>
      </c>
    </row>
    <row r="67" ht="14.15" spans="1:42">
      <c r="A67" s="59" t="str">
        <f>'【2】运营中心填-基本信息&amp;审核标准'!$E$2</f>
        <v>东福围西街30栋</v>
      </c>
      <c r="B67" s="13">
        <f t="shared" si="11"/>
        <v>7</v>
      </c>
      <c r="C67" s="13">
        <f t="shared" ref="C67:C116" si="24">COUNTIF($B$2:$B$75,B67)</f>
        <v>15</v>
      </c>
      <c r="D67" s="13">
        <f t="shared" ref="D67:D116" si="25">COUNTIF(C$2:C$75,C67)</f>
        <v>15</v>
      </c>
      <c r="E67" s="13"/>
      <c r="F67" s="13" t="str">
        <f t="shared" ref="F67:F116" si="26">IF(D67=$E$2,C67,"")</f>
        <v/>
      </c>
      <c r="G67" s="13"/>
      <c r="H67" s="60">
        <v>707</v>
      </c>
      <c r="I67" s="61" t="s">
        <v>527</v>
      </c>
      <c r="J67" s="61" t="s">
        <v>40</v>
      </c>
      <c r="K67" s="13" t="str" cm="1">
        <f t="array" ref="K67">IFERROR(INDEX($J$2:$J$75,MATCH(0,IF(ISBLANK($J$2:$J$75),1,COUNTIF($K$1:K66,$J$2:$J$75)),0)),"")</f>
        <v/>
      </c>
      <c r="L67" s="62">
        <f>VLOOKUP(J67,'【3】大区填-楼栋基准格局定价'!B:H,7,0)</f>
        <v>1579.858</v>
      </c>
      <c r="M67" s="63" t="str">
        <f t="shared" si="17"/>
        <v>很宽敞</v>
      </c>
      <c r="N67" s="63">
        <v>21.32</v>
      </c>
      <c r="O67" s="64">
        <f>VLOOKUP($M$1&amp;M67,【1】定价因子!E:F,2,0)</f>
        <v>1.1</v>
      </c>
      <c r="P67" s="64" t="str">
        <f>IF(COUNTIFS(户型资产表!E:E,I67,户型资产表!H:H,"阳台门")&gt;0,"有","无")</f>
        <v>有</v>
      </c>
      <c r="Q67" s="64">
        <f>VLOOKUP($P$1&amp;P67,【1】定价因子!E:F,2,0)</f>
        <v>1.07</v>
      </c>
      <c r="R67" s="64" t="str">
        <f>IF('【2】运营中心填-基本信息&amp;审核标准'!$D$4="是","无",IF(INT(H67/100)&gt;9,"9F",INT(H67/100)&amp;"F"))</f>
        <v>7F</v>
      </c>
      <c r="S67" s="64">
        <f>VLOOKUP(R67,【1】定价因子!D:F,3,0)</f>
        <v>0.96</v>
      </c>
      <c r="T67" s="64" t="str">
        <f>IF('【2】运营中心填-基本信息&amp;审核标准'!$D$4="否","无",IF(INT(H67/100)=1,"1F",IF(AND(INT(H67/100)&gt;=2,INT(H67/100)&lt;=3),"2-3F",IF(INT(H67/100)=4,"4F",IF(AND(INT(H67/100)&gt;=5,INT(H67/100)&lt;=6),"5-6F",IF(AND(INT(H67/100)&gt;=7,INT(H67/100)&lt;=8),"7-8F",IF(AND(INT(H67/100)&gt;=9,INT(H67/100)&lt;=10),"9-10F",IF(AND(INT(H67/100)&gt;=11,INT(H67/100)&lt;=12),"11-12F",IF(INT(H67/100)&gt;=13,"13以上F","")))))))))</f>
        <v>无</v>
      </c>
      <c r="U67" s="64">
        <f>VLOOKUP($T$1&amp;T67,【1】定价因子!E:F,2,0)</f>
        <v>1</v>
      </c>
      <c r="V67" s="64" t="str">
        <f>IF(COUNTIFS(户型资产表!E:E,I67,户型资产表!H:H,"操作台")&gt;0,"有","无")</f>
        <v>有</v>
      </c>
      <c r="W67" s="64" t="str">
        <f>IF(COUNTIFS(户型资产表!E:E,I67,户型资产表!H:H,"书桌")&gt;0,"有","无")</f>
        <v>有</v>
      </c>
      <c r="X67" s="64" t="str" cm="1">
        <f t="array" ref="X67">IF(SUMPRODUCT((户型资产表!E:E=I67)*((户型资产表!I:I="沙发01单人")+(户型资产表!I:I="单人沙发02")+(户型资产表!I:I="租赁-单人沙发02")+(户型资产表!I:I="租赁-沙发01单人")))&gt;0,"有","无")</f>
        <v>无</v>
      </c>
      <c r="Y67" s="64" t="str" cm="1">
        <f t="array" ref="Y67">IF(SUMPRODUCT((户型资产表!E:E=I67)*((户型资产表!I:I="沙发02两人")+(户型资产表!I:I="双人沙发01")+(户型资产表!I:I="租赁-沙发02两人")+(户型资产表!I:I="租赁-双人沙发01")))&gt;0,"有","无")</f>
        <v>无</v>
      </c>
      <c r="Z67" s="64" t="str">
        <f>IF(COUNTIFS(户型资产表!E:E,I67,户型资产表!H:H,"餐桌")&gt;0,"有","无")</f>
        <v>无</v>
      </c>
      <c r="AA67" s="64" t="str">
        <f>IF(COUNTIFS(户型资产表!E:E,I67,户型资产表!H:H,"吸油烟机")&gt;0,"有","无")</f>
        <v>无</v>
      </c>
      <c r="AB67" s="64" t="str">
        <f>IF(COUNTIFS(户型资产表!E:E,I67,户型资产表!H:H,"冰箱")&gt;0,"有","无")</f>
        <v>无</v>
      </c>
      <c r="AC67" s="64" t="str">
        <f>IF(COUNTIFS(户型资产表!E:E,I67,户型资产表!H:H,"电视柜")&gt;0,"有","无")</f>
        <v>无</v>
      </c>
      <c r="AD67" s="63" t="str">
        <f t="shared" si="18"/>
        <v>适中</v>
      </c>
      <c r="AE67" s="64">
        <f>VLOOKUP($AD$1&amp;AD67,【1】定价因子!E:F,2,0)</f>
        <v>1</v>
      </c>
      <c r="AF67" s="63" t="str">
        <f t="shared" si="19"/>
        <v>适中</v>
      </c>
      <c r="AG67" s="64">
        <f>VLOOKUP($AF$1&amp;AF67,【1】定价因子!E:F,2,0)</f>
        <v>1</v>
      </c>
      <c r="AH67" s="63" t="str">
        <f t="shared" si="20"/>
        <v>适中</v>
      </c>
      <c r="AI67" s="64">
        <f>VLOOKUP($AH$1&amp;AH67,【1】定价因子!E:F,2,0)</f>
        <v>1</v>
      </c>
      <c r="AJ67" s="64" t="str">
        <f>VLOOKUP(H67,'【3-1】大区填-采光基本要素'!A:H,8,0)</f>
        <v>3</v>
      </c>
      <c r="AK67" s="64">
        <f>VLOOKUP($AJ$1&amp;AJ67,【1】定价因子!E:F,2,0)</f>
        <v>1</v>
      </c>
      <c r="AL67" s="65">
        <f t="shared" si="21"/>
        <v>1785.11315136</v>
      </c>
      <c r="AM67" s="13">
        <v>1700</v>
      </c>
      <c r="AN67" s="66">
        <f t="shared" si="22"/>
        <v>-0.0476794153329474</v>
      </c>
      <c r="AO67" s="67">
        <f>SUMIFS(户型资产表!M:M,户型资产表!I:I,"*租赁*",户型资产表!E:E,I67)</f>
        <v>222.69</v>
      </c>
      <c r="AP67" s="68">
        <f t="shared" ref="AP67:AP98" si="27">AM67-AO67</f>
        <v>1477.31</v>
      </c>
    </row>
    <row r="68" s="35" customFormat="1" ht="14.15" spans="1:42">
      <c r="A68" s="69" t="str">
        <f>'【2】运营中心填-基本信息&amp;审核标准'!$E$2</f>
        <v>东福围西街30栋</v>
      </c>
      <c r="B68" s="13">
        <f t="shared" si="11"/>
        <v>7</v>
      </c>
      <c r="C68" s="13">
        <f t="shared" si="24"/>
        <v>15</v>
      </c>
      <c r="D68" s="13">
        <f t="shared" si="25"/>
        <v>15</v>
      </c>
      <c r="E68" s="13"/>
      <c r="F68" s="13" t="str">
        <f t="shared" si="26"/>
        <v/>
      </c>
      <c r="G68" s="13"/>
      <c r="H68" s="70">
        <v>708</v>
      </c>
      <c r="I68" s="71" t="s">
        <v>521</v>
      </c>
      <c r="J68" s="71" t="s">
        <v>43</v>
      </c>
      <c r="K68" s="13" t="str" cm="1">
        <f t="array" ref="K68">IFERROR(INDEX($J$2:$J$75,MATCH(0,IF(ISBLANK($J$2:$J$75),1,COUNTIF($K$1:K67,$J$2:$J$75)),0)),"")</f>
        <v/>
      </c>
      <c r="L68" s="72">
        <f>VLOOKUP(J68,'【3】大区填-楼栋基准格局定价'!B:H,7,0)</f>
        <v>2354.45</v>
      </c>
      <c r="M68" s="73" t="str">
        <f t="shared" si="17"/>
        <v>适中</v>
      </c>
      <c r="N68" s="73">
        <v>24.9</v>
      </c>
      <c r="O68" s="64">
        <f>VLOOKUP($M$1&amp;M68,【1】定价因子!E:F,2,0)</f>
        <v>1</v>
      </c>
      <c r="P68" s="64" t="str">
        <f>IF(COUNTIFS(户型资产表!E:E,I68,户型资产表!H:H,"阳台门")&gt;0,"有","无")</f>
        <v>无</v>
      </c>
      <c r="Q68" s="64">
        <f>VLOOKUP($P$1&amp;P68,【1】定价因子!E:F,2,0)</f>
        <v>1</v>
      </c>
      <c r="R68" s="64" t="str">
        <f>IF('【2】运营中心填-基本信息&amp;审核标准'!$D$4="是","无",IF(INT(H68/100)&gt;9,"9F",INT(H68/100)&amp;"F"))</f>
        <v>7F</v>
      </c>
      <c r="S68" s="64">
        <f>VLOOKUP(R68,【1】定价因子!D:F,3,0)</f>
        <v>0.96</v>
      </c>
      <c r="T68" s="64" t="str">
        <f>IF('【2】运营中心填-基本信息&amp;审核标准'!$D$4="否","无",IF(INT(H68/100)=1,"1F",IF(AND(INT(H68/100)&gt;=2,INT(H68/100)&lt;=3),"2-3F",IF(INT(H68/100)=4,"4F",IF(AND(INT(H68/100)&gt;=5,INT(H68/100)&lt;=6),"5-6F",IF(AND(INT(H68/100)&gt;=7,INT(H68/100)&lt;=8),"7-8F",IF(AND(INT(H68/100)&gt;=9,INT(H68/100)&lt;=10),"9-10F",IF(AND(INT(H68/100)&gt;=11,INT(H68/100)&lt;=12),"11-12F",IF(INT(H68/100)&gt;=13,"13以上F","")))))))))</f>
        <v>无</v>
      </c>
      <c r="U68" s="64">
        <f>VLOOKUP($T$1&amp;T68,【1】定价因子!E:F,2,0)</f>
        <v>1</v>
      </c>
      <c r="V68" s="64" t="str">
        <f>IF(COUNTIFS(户型资产表!E:E,I68,户型资产表!H:H,"操作台")&gt;0,"有","无")</f>
        <v>有</v>
      </c>
      <c r="W68" s="64" t="str">
        <f>IF(COUNTIFS(户型资产表!E:E,I68,户型资产表!H:H,"书桌")&gt;0,"有","无")</f>
        <v>有</v>
      </c>
      <c r="X68" s="64" t="str" cm="1">
        <f t="array" ref="X68">IF(SUMPRODUCT((户型资产表!E:E=I68)*((户型资产表!I:I="沙发01单人")+(户型资产表!I:I="单人沙发02")+(户型资产表!I:I="租赁-单人沙发02")+(户型资产表!I:I="租赁-沙发01单人")))&gt;0,"有","无")</f>
        <v>无</v>
      </c>
      <c r="Y68" s="64" t="str" cm="1">
        <f t="array" ref="Y68">IF(SUMPRODUCT((户型资产表!E:E=I68)*((户型资产表!I:I="沙发02两人")+(户型资产表!I:I="双人沙发01")+(户型资产表!I:I="租赁-沙发02两人")+(户型资产表!I:I="租赁-双人沙发01")))&gt;0,"有","无")</f>
        <v>有</v>
      </c>
      <c r="Z68" s="64" t="str">
        <f>IF(COUNTIFS(户型资产表!E:E,I68,户型资产表!H:H,"餐桌")&gt;0,"有","无")</f>
        <v>有</v>
      </c>
      <c r="AA68" s="64" t="str">
        <f>IF(COUNTIFS(户型资产表!E:E,I68,户型资产表!H:H,"吸油烟机")&gt;0,"有","无")</f>
        <v>无</v>
      </c>
      <c r="AB68" s="64" t="str">
        <f>IF(COUNTIFS(户型资产表!E:E,I68,户型资产表!H:H,"冰箱")&gt;0,"有","无")</f>
        <v>无</v>
      </c>
      <c r="AC68" s="64" t="str">
        <f>IF(COUNTIFS(户型资产表!E:E,I68,户型资产表!H:H,"电视柜")&gt;0,"有","无")</f>
        <v>无</v>
      </c>
      <c r="AD68" s="63" t="str">
        <f t="shared" si="18"/>
        <v>适中</v>
      </c>
      <c r="AE68" s="64">
        <f>VLOOKUP($AD$1&amp;AD68,【1】定价因子!E:F,2,0)</f>
        <v>1</v>
      </c>
      <c r="AF68" s="63" t="str">
        <f t="shared" si="19"/>
        <v>充配（书桌）</v>
      </c>
      <c r="AG68" s="64">
        <f>VLOOKUP($AF$1&amp;AF68,【1】定价因子!E:F,2,0)</f>
        <v>1.02</v>
      </c>
      <c r="AH68" s="63" t="str">
        <f t="shared" si="20"/>
        <v>适中</v>
      </c>
      <c r="AI68" s="64">
        <f>VLOOKUP($AH$1&amp;AH68,【1】定价因子!E:F,2,0)</f>
        <v>1</v>
      </c>
      <c r="AJ68" s="69" t="str">
        <f>VLOOKUP(H68,'【3-1】大区填-采光基本要素'!A:H,8,0)</f>
        <v>2</v>
      </c>
      <c r="AK68" s="64">
        <f>VLOOKUP($AJ$1&amp;AJ68,【1】定价因子!E:F,2,0)</f>
        <v>0.96</v>
      </c>
      <c r="AL68" s="74">
        <f t="shared" si="21"/>
        <v>2213.2583424</v>
      </c>
      <c r="AM68" s="69">
        <v>1990</v>
      </c>
      <c r="AN68" s="75">
        <f t="shared" si="22"/>
        <v>-0.100873150740236</v>
      </c>
      <c r="AO68" s="73">
        <f>SUMIFS(户型资产表!M:M,户型资产表!I:I,"*租赁*",户型资产表!E:E,I68)</f>
        <v>303.93</v>
      </c>
      <c r="AP68" s="76">
        <f t="shared" si="27"/>
        <v>1686.07</v>
      </c>
    </row>
    <row r="69" s="35" customFormat="1" ht="14.15" spans="1:42">
      <c r="A69" s="69" t="str">
        <f>'【2】运营中心填-基本信息&amp;审核标准'!$E$2</f>
        <v>东福围西街30栋</v>
      </c>
      <c r="B69" s="13">
        <f t="shared" si="11"/>
        <v>7</v>
      </c>
      <c r="C69" s="13">
        <f t="shared" si="24"/>
        <v>15</v>
      </c>
      <c r="D69" s="13">
        <f t="shared" si="25"/>
        <v>15</v>
      </c>
      <c r="E69" s="13"/>
      <c r="F69" s="13" t="str">
        <f t="shared" si="26"/>
        <v/>
      </c>
      <c r="G69" s="13"/>
      <c r="H69" s="70">
        <v>709</v>
      </c>
      <c r="I69" s="71" t="s">
        <v>521</v>
      </c>
      <c r="J69" s="71" t="s">
        <v>43</v>
      </c>
      <c r="K69" s="13" t="str" cm="1">
        <f t="array" ref="K69">IFERROR(INDEX($J$2:$J$75,MATCH(0,IF(ISBLANK($J$2:$J$75),1,COUNTIF($K$1:K68,$J$2:$J$75)),0)),"")</f>
        <v/>
      </c>
      <c r="L69" s="72">
        <f>VLOOKUP(J69,'【3】大区填-楼栋基准格局定价'!B:H,7,0)</f>
        <v>2354.45</v>
      </c>
      <c r="M69" s="73" t="str">
        <f t="shared" si="17"/>
        <v>适中</v>
      </c>
      <c r="N69" s="73">
        <v>25.11</v>
      </c>
      <c r="O69" s="64">
        <f>VLOOKUP($M$1&amp;M69,【1】定价因子!E:F,2,0)</f>
        <v>1</v>
      </c>
      <c r="P69" s="64" t="str">
        <f>IF(COUNTIFS(户型资产表!E:E,I69,户型资产表!H:H,"阳台门")&gt;0,"有","无")</f>
        <v>无</v>
      </c>
      <c r="Q69" s="64">
        <f>VLOOKUP($P$1&amp;P69,【1】定价因子!E:F,2,0)</f>
        <v>1</v>
      </c>
      <c r="R69" s="64" t="str">
        <f>IF('【2】运营中心填-基本信息&amp;审核标准'!$D$4="是","无",IF(INT(H69/100)&gt;9,"9F",INT(H69/100)&amp;"F"))</f>
        <v>7F</v>
      </c>
      <c r="S69" s="64">
        <f>VLOOKUP(R69,【1】定价因子!D:F,3,0)</f>
        <v>0.96</v>
      </c>
      <c r="T69" s="64" t="str">
        <f>IF('【2】运营中心填-基本信息&amp;审核标准'!$D$4="否","无",IF(INT(H69/100)=1,"1F",IF(AND(INT(H69/100)&gt;=2,INT(H69/100)&lt;=3),"2-3F",IF(INT(H69/100)=4,"4F",IF(AND(INT(H69/100)&gt;=5,INT(H69/100)&lt;=6),"5-6F",IF(AND(INT(H69/100)&gt;=7,INT(H69/100)&lt;=8),"7-8F",IF(AND(INT(H69/100)&gt;=9,INT(H69/100)&lt;=10),"9-10F",IF(AND(INT(H69/100)&gt;=11,INT(H69/100)&lt;=12),"11-12F",IF(INT(H69/100)&gt;=13,"13以上F","")))))))))</f>
        <v>无</v>
      </c>
      <c r="U69" s="64">
        <f>VLOOKUP($T$1&amp;T69,【1】定价因子!E:F,2,0)</f>
        <v>1</v>
      </c>
      <c r="V69" s="64" t="str">
        <f>IF(COUNTIFS(户型资产表!E:E,I69,户型资产表!H:H,"操作台")&gt;0,"有","无")</f>
        <v>有</v>
      </c>
      <c r="W69" s="64" t="str">
        <f>IF(COUNTIFS(户型资产表!E:E,I69,户型资产表!H:H,"书桌")&gt;0,"有","无")</f>
        <v>有</v>
      </c>
      <c r="X69" s="64" t="str" cm="1">
        <f t="array" ref="X69">IF(SUMPRODUCT((户型资产表!E:E=I69)*((户型资产表!I:I="沙发01单人")+(户型资产表!I:I="单人沙发02")+(户型资产表!I:I="租赁-单人沙发02")+(户型资产表!I:I="租赁-沙发01单人")))&gt;0,"有","无")</f>
        <v>无</v>
      </c>
      <c r="Y69" s="64" t="str" cm="1">
        <f t="array" ref="Y69">IF(SUMPRODUCT((户型资产表!E:E=I69)*((户型资产表!I:I="沙发02两人")+(户型资产表!I:I="双人沙发01")+(户型资产表!I:I="租赁-沙发02两人")+(户型资产表!I:I="租赁-双人沙发01")))&gt;0,"有","无")</f>
        <v>有</v>
      </c>
      <c r="Z69" s="64" t="str">
        <f>IF(COUNTIFS(户型资产表!E:E,I69,户型资产表!H:H,"餐桌")&gt;0,"有","无")</f>
        <v>有</v>
      </c>
      <c r="AA69" s="64" t="str">
        <f>IF(COUNTIFS(户型资产表!E:E,I69,户型资产表!H:H,"吸油烟机")&gt;0,"有","无")</f>
        <v>无</v>
      </c>
      <c r="AB69" s="64" t="str">
        <f>IF(COUNTIFS(户型资产表!E:E,I69,户型资产表!H:H,"冰箱")&gt;0,"有","无")</f>
        <v>无</v>
      </c>
      <c r="AC69" s="64" t="str">
        <f>IF(COUNTIFS(户型资产表!E:E,I69,户型资产表!H:H,"电视柜")&gt;0,"有","无")</f>
        <v>无</v>
      </c>
      <c r="AD69" s="63" t="str">
        <f t="shared" si="18"/>
        <v>适中</v>
      </c>
      <c r="AE69" s="64">
        <f>VLOOKUP($AD$1&amp;AD69,【1】定价因子!E:F,2,0)</f>
        <v>1</v>
      </c>
      <c r="AF69" s="63" t="str">
        <f t="shared" si="19"/>
        <v>充配（书桌）</v>
      </c>
      <c r="AG69" s="64">
        <f>VLOOKUP($AF$1&amp;AF69,【1】定价因子!E:F,2,0)</f>
        <v>1.02</v>
      </c>
      <c r="AH69" s="63" t="str">
        <f t="shared" si="20"/>
        <v>适中</v>
      </c>
      <c r="AI69" s="64">
        <f>VLOOKUP($AH$1&amp;AH69,【1】定价因子!E:F,2,0)</f>
        <v>1</v>
      </c>
      <c r="AJ69" s="69" t="str">
        <f>VLOOKUP(H69,'【3-1】大区填-采光基本要素'!A:H,8,0)</f>
        <v>2</v>
      </c>
      <c r="AK69" s="64">
        <f>VLOOKUP($AJ$1&amp;AJ69,【1】定价因子!E:F,2,0)</f>
        <v>0.96</v>
      </c>
      <c r="AL69" s="74">
        <f t="shared" si="21"/>
        <v>2213.2583424</v>
      </c>
      <c r="AM69" s="69">
        <v>1990</v>
      </c>
      <c r="AN69" s="75">
        <f t="shared" si="22"/>
        <v>-0.100873150740236</v>
      </c>
      <c r="AO69" s="73">
        <f>SUMIFS(户型资产表!M:M,户型资产表!I:I,"*租赁*",户型资产表!E:E,I69)</f>
        <v>303.93</v>
      </c>
      <c r="AP69" s="76">
        <f t="shared" si="27"/>
        <v>1686.07</v>
      </c>
    </row>
    <row r="70" ht="14.15" spans="1:42">
      <c r="A70" s="59" t="str">
        <f>'【2】运营中心填-基本信息&amp;审核标准'!$E$2</f>
        <v>东福围西街30栋</v>
      </c>
      <c r="B70" s="13">
        <f t="shared" si="11"/>
        <v>7</v>
      </c>
      <c r="C70" s="13">
        <f t="shared" si="24"/>
        <v>15</v>
      </c>
      <c r="D70" s="13">
        <f t="shared" si="25"/>
        <v>15</v>
      </c>
      <c r="E70" s="13"/>
      <c r="F70" s="13" t="str">
        <f t="shared" si="26"/>
        <v/>
      </c>
      <c r="G70" s="13"/>
      <c r="H70" s="60">
        <v>710</v>
      </c>
      <c r="I70" s="61" t="s">
        <v>520</v>
      </c>
      <c r="J70" s="61" t="s">
        <v>40</v>
      </c>
      <c r="K70" s="13" t="str" cm="1">
        <f t="array" ref="K70">IFERROR(INDEX($J$2:$J$75,MATCH(0,IF(ISBLANK($J$2:$J$75),1,COUNTIF($K$1:K69,$J$2:$J$75)),0)),"")</f>
        <v/>
      </c>
      <c r="L70" s="62">
        <f>VLOOKUP(J70,'【3】大区填-楼栋基准格局定价'!B:H,7,0)</f>
        <v>1579.858</v>
      </c>
      <c r="M70" s="63" t="str">
        <f t="shared" si="17"/>
        <v>很宽敞</v>
      </c>
      <c r="N70" s="63">
        <v>20.7</v>
      </c>
      <c r="O70" s="64">
        <f>VLOOKUP($M$1&amp;M70,【1】定价因子!E:F,2,0)</f>
        <v>1.1</v>
      </c>
      <c r="P70" s="64" t="str">
        <f>IF(COUNTIFS(户型资产表!E:E,I70,户型资产表!H:H,"阳台门")&gt;0,"有","无")</f>
        <v>有</v>
      </c>
      <c r="Q70" s="64">
        <f>VLOOKUP($P$1&amp;P70,【1】定价因子!E:F,2,0)</f>
        <v>1.07</v>
      </c>
      <c r="R70" s="64" t="str">
        <f>IF('【2】运营中心填-基本信息&amp;审核标准'!$D$4="是","无",IF(INT(H70/100)&gt;9,"9F",INT(H70/100)&amp;"F"))</f>
        <v>7F</v>
      </c>
      <c r="S70" s="64">
        <f>VLOOKUP(R70,【1】定价因子!D:F,3,0)</f>
        <v>0.96</v>
      </c>
      <c r="T70" s="64" t="str">
        <f>IF('【2】运营中心填-基本信息&amp;审核标准'!$D$4="否","无",IF(INT(H70/100)=1,"1F",IF(AND(INT(H70/100)&gt;=2,INT(H70/100)&lt;=3),"2-3F",IF(INT(H70/100)=4,"4F",IF(AND(INT(H70/100)&gt;=5,INT(H70/100)&lt;=6),"5-6F",IF(AND(INT(H70/100)&gt;=7,INT(H70/100)&lt;=8),"7-8F",IF(AND(INT(H70/100)&gt;=9,INT(H70/100)&lt;=10),"9-10F",IF(AND(INT(H70/100)&gt;=11,INT(H70/100)&lt;=12),"11-12F",IF(INT(H70/100)&gt;=13,"13以上F","")))))))))</f>
        <v>无</v>
      </c>
      <c r="U70" s="64">
        <f>VLOOKUP($T$1&amp;T70,【1】定价因子!E:F,2,0)</f>
        <v>1</v>
      </c>
      <c r="V70" s="64" t="str">
        <f>IF(COUNTIFS(户型资产表!E:E,I70,户型资产表!H:H,"操作台")&gt;0,"有","无")</f>
        <v>有</v>
      </c>
      <c r="W70" s="64" t="str">
        <f>IF(COUNTIFS(户型资产表!E:E,I70,户型资产表!H:H,"书桌")&gt;0,"有","无")</f>
        <v>有</v>
      </c>
      <c r="X70" s="64" t="str" cm="1">
        <f t="array" ref="X70">IF(SUMPRODUCT((户型资产表!E:E=I70)*((户型资产表!I:I="沙发01单人")+(户型资产表!I:I="单人沙发02")+(户型资产表!I:I="租赁-单人沙发02")+(户型资产表!I:I="租赁-沙发01单人")))&gt;0,"有","无")</f>
        <v>无</v>
      </c>
      <c r="Y70" s="64" t="str" cm="1">
        <f t="array" ref="Y70">IF(SUMPRODUCT((户型资产表!E:E=I70)*((户型资产表!I:I="沙发02两人")+(户型资产表!I:I="双人沙发01")+(户型资产表!I:I="租赁-沙发02两人")+(户型资产表!I:I="租赁-双人沙发01")))&gt;0,"有","无")</f>
        <v>无</v>
      </c>
      <c r="Z70" s="64" t="str">
        <f>IF(COUNTIFS(户型资产表!E:E,I70,户型资产表!H:H,"餐桌")&gt;0,"有","无")</f>
        <v>无</v>
      </c>
      <c r="AA70" s="64" t="str">
        <f>IF(COUNTIFS(户型资产表!E:E,I70,户型资产表!H:H,"吸油烟机")&gt;0,"有","无")</f>
        <v>无</v>
      </c>
      <c r="AB70" s="64" t="str">
        <f>IF(COUNTIFS(户型资产表!E:E,I70,户型资产表!H:H,"冰箱")&gt;0,"有","无")</f>
        <v>无</v>
      </c>
      <c r="AC70" s="64" t="str">
        <f>IF(COUNTIFS(户型资产表!E:E,I70,户型资产表!H:H,"电视柜")&gt;0,"有","无")</f>
        <v>无</v>
      </c>
      <c r="AD70" s="63" t="str">
        <f t="shared" si="18"/>
        <v>适中</v>
      </c>
      <c r="AE70" s="64">
        <f>VLOOKUP($AD$1&amp;AD70,【1】定价因子!E:F,2,0)</f>
        <v>1</v>
      </c>
      <c r="AF70" s="63" t="str">
        <f t="shared" si="19"/>
        <v>适中</v>
      </c>
      <c r="AG70" s="64">
        <f>VLOOKUP($AF$1&amp;AF70,【1】定价因子!E:F,2,0)</f>
        <v>1</v>
      </c>
      <c r="AH70" s="63" t="str">
        <f t="shared" si="20"/>
        <v>适中</v>
      </c>
      <c r="AI70" s="64">
        <f>VLOOKUP($AH$1&amp;AH70,【1】定价因子!E:F,2,0)</f>
        <v>1</v>
      </c>
      <c r="AJ70" s="64" t="str">
        <f>VLOOKUP(H70,'【3-1】大区填-采光基本要素'!A:H,8,0)</f>
        <v>3</v>
      </c>
      <c r="AK70" s="64">
        <f>VLOOKUP($AJ$1&amp;AJ70,【1】定价因子!E:F,2,0)</f>
        <v>1</v>
      </c>
      <c r="AL70" s="65">
        <f t="shared" si="21"/>
        <v>1785.11315136</v>
      </c>
      <c r="AM70" s="13">
        <v>1700</v>
      </c>
      <c r="AN70" s="66">
        <f t="shared" si="22"/>
        <v>-0.0476794153329474</v>
      </c>
      <c r="AO70" s="67">
        <f>SUMIFS(户型资产表!M:M,户型资产表!I:I,"*租赁*",户型资产表!E:E,I70)</f>
        <v>214.84</v>
      </c>
      <c r="AP70" s="68">
        <f t="shared" si="27"/>
        <v>1485.16</v>
      </c>
    </row>
    <row r="71" s="35" customFormat="1" ht="14.15" spans="1:42">
      <c r="A71" s="69" t="str">
        <f>'【2】运营中心填-基本信息&amp;审核标准'!$E$2</f>
        <v>东福围西街30栋</v>
      </c>
      <c r="B71" s="13">
        <f t="shared" si="11"/>
        <v>7</v>
      </c>
      <c r="C71" s="13">
        <f t="shared" si="24"/>
        <v>15</v>
      </c>
      <c r="D71" s="13">
        <f t="shared" si="25"/>
        <v>15</v>
      </c>
      <c r="E71" s="13"/>
      <c r="F71" s="13" t="str">
        <f t="shared" si="26"/>
        <v/>
      </c>
      <c r="G71" s="13"/>
      <c r="H71" s="70">
        <v>711</v>
      </c>
      <c r="I71" s="71" t="s">
        <v>522</v>
      </c>
      <c r="J71" s="71" t="s">
        <v>43</v>
      </c>
      <c r="K71" s="13" t="str" cm="1">
        <f t="array" ref="K71">IFERROR(INDEX($J$2:$J$75,MATCH(0,IF(ISBLANK($J$2:$J$75),1,COUNTIF($K$1:K70,$J$2:$J$75)),0)),"")</f>
        <v/>
      </c>
      <c r="L71" s="72">
        <f>VLOOKUP(J71,'【3】大区填-楼栋基准格局定价'!B:H,7,0)</f>
        <v>2354.45</v>
      </c>
      <c r="M71" s="73" t="str">
        <f t="shared" si="17"/>
        <v>较宽敞</v>
      </c>
      <c r="N71" s="73">
        <v>27.55</v>
      </c>
      <c r="O71" s="64">
        <f>VLOOKUP($M$1&amp;M71,【1】定价因子!E:F,2,0)</f>
        <v>1.06</v>
      </c>
      <c r="P71" s="64" t="str">
        <f>IF(COUNTIFS(户型资产表!E:E,I71,户型资产表!H:H,"阳台门")&gt;0,"有","无")</f>
        <v>有</v>
      </c>
      <c r="Q71" s="64">
        <f>VLOOKUP($P$1&amp;P71,【1】定价因子!E:F,2,0)</f>
        <v>1.07</v>
      </c>
      <c r="R71" s="64" t="str">
        <f>IF('【2】运营中心填-基本信息&amp;审核标准'!$D$4="是","无",IF(INT(H71/100)&gt;9,"9F",INT(H71/100)&amp;"F"))</f>
        <v>7F</v>
      </c>
      <c r="S71" s="64">
        <f>VLOOKUP(R71,【1】定价因子!D:F,3,0)</f>
        <v>0.96</v>
      </c>
      <c r="T71" s="64" t="str">
        <f>IF('【2】运营中心填-基本信息&amp;审核标准'!$D$4="否","无",IF(INT(H71/100)=1,"1F",IF(AND(INT(H71/100)&gt;=2,INT(H71/100)&lt;=3),"2-3F",IF(INT(H71/100)=4,"4F",IF(AND(INT(H71/100)&gt;=5,INT(H71/100)&lt;=6),"5-6F",IF(AND(INT(H71/100)&gt;=7,INT(H71/100)&lt;=8),"7-8F",IF(AND(INT(H71/100)&gt;=9,INT(H71/100)&lt;=10),"9-10F",IF(AND(INT(H71/100)&gt;=11,INT(H71/100)&lt;=12),"11-12F",IF(INT(H71/100)&gt;=13,"13以上F","")))))))))</f>
        <v>无</v>
      </c>
      <c r="U71" s="64">
        <f>VLOOKUP($T$1&amp;T71,【1】定价因子!E:F,2,0)</f>
        <v>1</v>
      </c>
      <c r="V71" s="64" t="str">
        <f>IF(COUNTIFS(户型资产表!E:E,I71,户型资产表!H:H,"操作台")&gt;0,"有","无")</f>
        <v>有</v>
      </c>
      <c r="W71" s="64" t="str">
        <f>IF(COUNTIFS(户型资产表!E:E,I71,户型资产表!H:H,"书桌")&gt;0,"有","无")</f>
        <v>无</v>
      </c>
      <c r="X71" s="64" t="str" cm="1">
        <f t="array" ref="X71">IF(SUMPRODUCT((户型资产表!E:E=I71)*((户型资产表!I:I="沙发01单人")+(户型资产表!I:I="单人沙发02")+(户型资产表!I:I="租赁-单人沙发02")+(户型资产表!I:I="租赁-沙发01单人")))&gt;0,"有","无")</f>
        <v>无</v>
      </c>
      <c r="Y71" s="64" t="str" cm="1">
        <f t="array" ref="Y71">IF(SUMPRODUCT((户型资产表!E:E=I71)*((户型资产表!I:I="沙发02两人")+(户型资产表!I:I="双人沙发01")+(户型资产表!I:I="租赁-沙发02两人")+(户型资产表!I:I="租赁-双人沙发01")))&gt;0,"有","无")</f>
        <v>有</v>
      </c>
      <c r="Z71" s="64" t="str">
        <f>IF(COUNTIFS(户型资产表!E:E,I71,户型资产表!H:H,"餐桌")&gt;0,"有","无")</f>
        <v>有</v>
      </c>
      <c r="AA71" s="64" t="str">
        <f>IF(COUNTIFS(户型资产表!E:E,I71,户型资产表!H:H,"吸油烟机")&gt;0,"有","无")</f>
        <v>无</v>
      </c>
      <c r="AB71" s="64" t="str">
        <f>IF(COUNTIFS(户型资产表!E:E,I71,户型资产表!H:H,"冰箱")&gt;0,"有","无")</f>
        <v>无</v>
      </c>
      <c r="AC71" s="64" t="str">
        <f>IF(COUNTIFS(户型资产表!E:E,I71,户型资产表!H:H,"电视柜")&gt;0,"有","无")</f>
        <v>无</v>
      </c>
      <c r="AD71" s="63" t="str">
        <f t="shared" si="18"/>
        <v>适中</v>
      </c>
      <c r="AE71" s="64">
        <f>VLOOKUP($AD$1&amp;AD71,【1】定价因子!E:F,2,0)</f>
        <v>1</v>
      </c>
      <c r="AF71" s="63" t="str">
        <f t="shared" si="19"/>
        <v>适中</v>
      </c>
      <c r="AG71" s="64">
        <f>VLOOKUP($AF$1&amp;AF71,【1】定价因子!E:F,2,0)</f>
        <v>1</v>
      </c>
      <c r="AH71" s="63" t="str">
        <f t="shared" si="20"/>
        <v>适中</v>
      </c>
      <c r="AI71" s="64">
        <f>VLOOKUP($AH$1&amp;AH71,【1】定价因子!E:F,2,0)</f>
        <v>1</v>
      </c>
      <c r="AJ71" s="69" t="str">
        <f>VLOOKUP(H71,'【3-1】大区填-采光基本要素'!A:H,8,0)</f>
        <v>1</v>
      </c>
      <c r="AK71" s="64">
        <f>VLOOKUP($AJ$1&amp;AJ71,【1】定价因子!E:F,2,0)</f>
        <v>0.91</v>
      </c>
      <c r="AL71" s="74">
        <f t="shared" si="21"/>
        <v>2332.876457184</v>
      </c>
      <c r="AM71" s="69">
        <v>1960</v>
      </c>
      <c r="AN71" s="75">
        <f t="shared" si="22"/>
        <v>-0.159835492374979</v>
      </c>
      <c r="AO71" s="73">
        <f>SUMIFS(户型资产表!M:M,户型资产表!I:I,"*租赁*",户型资产表!E:E,I71)</f>
        <v>266.9</v>
      </c>
      <c r="AP71" s="76">
        <f t="shared" si="27"/>
        <v>1693.1</v>
      </c>
    </row>
    <row r="72" ht="14.15" spans="1:42">
      <c r="A72" s="59" t="str">
        <f>'【2】运营中心填-基本信息&amp;审核标准'!$E$2</f>
        <v>东福围西街30栋</v>
      </c>
      <c r="B72" s="13">
        <f t="shared" si="11"/>
        <v>7</v>
      </c>
      <c r="C72" s="13">
        <f t="shared" si="24"/>
        <v>15</v>
      </c>
      <c r="D72" s="13">
        <f t="shared" si="25"/>
        <v>15</v>
      </c>
      <c r="E72" s="13"/>
      <c r="F72" s="13" t="str">
        <f t="shared" si="26"/>
        <v/>
      </c>
      <c r="G72" s="13"/>
      <c r="H72" s="60">
        <v>712</v>
      </c>
      <c r="I72" s="61" t="s">
        <v>523</v>
      </c>
      <c r="J72" s="61" t="s">
        <v>40</v>
      </c>
      <c r="K72" s="13" t="str" cm="1">
        <f t="array" ref="K72">IFERROR(INDEX($J$2:$J$75,MATCH(0,IF(ISBLANK($J$2:$J$75),1,COUNTIF($K$1:K71,$J$2:$J$75)),0)),"")</f>
        <v/>
      </c>
      <c r="L72" s="62">
        <f>VLOOKUP(J72,'【3】大区填-楼栋基准格局定价'!B:H,7,0)</f>
        <v>1579.858</v>
      </c>
      <c r="M72" s="63" t="str">
        <f t="shared" si="17"/>
        <v>适中</v>
      </c>
      <c r="N72" s="63">
        <v>16.79</v>
      </c>
      <c r="O72" s="64">
        <f>VLOOKUP($M$1&amp;M72,【1】定价因子!E:F,2,0)</f>
        <v>1</v>
      </c>
      <c r="P72" s="64" t="str">
        <f>IF(COUNTIFS(户型资产表!E:E,I72,户型资产表!H:H,"阳台门")&gt;0,"有","无")</f>
        <v>有</v>
      </c>
      <c r="Q72" s="64">
        <f>VLOOKUP($P$1&amp;P72,【1】定价因子!E:F,2,0)</f>
        <v>1.07</v>
      </c>
      <c r="R72" s="64" t="str">
        <f>IF('【2】运营中心填-基本信息&amp;审核标准'!$D$4="是","无",IF(INT(H72/100)&gt;9,"9F",INT(H72/100)&amp;"F"))</f>
        <v>7F</v>
      </c>
      <c r="S72" s="64">
        <f>VLOOKUP(R72,【1】定价因子!D:F,3,0)</f>
        <v>0.96</v>
      </c>
      <c r="T72" s="64" t="str">
        <f>IF('【2】运营中心填-基本信息&amp;审核标准'!$D$4="否","无",IF(INT(H72/100)=1,"1F",IF(AND(INT(H72/100)&gt;=2,INT(H72/100)&lt;=3),"2-3F",IF(INT(H72/100)=4,"4F",IF(AND(INT(H72/100)&gt;=5,INT(H72/100)&lt;=6),"5-6F",IF(AND(INT(H72/100)&gt;=7,INT(H72/100)&lt;=8),"7-8F",IF(AND(INT(H72/100)&gt;=9,INT(H72/100)&lt;=10),"9-10F",IF(AND(INT(H72/100)&gt;=11,INT(H72/100)&lt;=12),"11-12F",IF(INT(H72/100)&gt;=13,"13以上F","")))))))))</f>
        <v>无</v>
      </c>
      <c r="U72" s="64">
        <f>VLOOKUP($T$1&amp;T72,【1】定价因子!E:F,2,0)</f>
        <v>1</v>
      </c>
      <c r="V72" s="64" t="str">
        <f>IF(COUNTIFS(户型资产表!E:E,I72,户型资产表!H:H,"操作台")&gt;0,"有","无")</f>
        <v>有</v>
      </c>
      <c r="W72" s="64" t="str">
        <f>IF(COUNTIFS(户型资产表!E:E,I72,户型资产表!H:H,"书桌")&gt;0,"有","无")</f>
        <v>有</v>
      </c>
      <c r="X72" s="64" t="str" cm="1">
        <f t="array" ref="X72">IF(SUMPRODUCT((户型资产表!E:E=I72)*((户型资产表!I:I="沙发01单人")+(户型资产表!I:I="单人沙发02")+(户型资产表!I:I="租赁-单人沙发02")+(户型资产表!I:I="租赁-沙发01单人")))&gt;0,"有","无")</f>
        <v>无</v>
      </c>
      <c r="Y72" s="64" t="str" cm="1">
        <f t="array" ref="Y72">IF(SUMPRODUCT((户型资产表!E:E=I72)*((户型资产表!I:I="沙发02两人")+(户型资产表!I:I="双人沙发01")+(户型资产表!I:I="租赁-沙发02两人")+(户型资产表!I:I="租赁-双人沙发01")))&gt;0,"有","无")</f>
        <v>无</v>
      </c>
      <c r="Z72" s="64" t="str">
        <f>IF(COUNTIFS(户型资产表!E:E,I72,户型资产表!H:H,"餐桌")&gt;0,"有","无")</f>
        <v>无</v>
      </c>
      <c r="AA72" s="64" t="str">
        <f>IF(COUNTIFS(户型资产表!E:E,I72,户型资产表!H:H,"吸油烟机")&gt;0,"有","无")</f>
        <v>无</v>
      </c>
      <c r="AB72" s="64" t="str">
        <f>IF(COUNTIFS(户型资产表!E:E,I72,户型资产表!H:H,"冰箱")&gt;0,"有","无")</f>
        <v>无</v>
      </c>
      <c r="AC72" s="64" t="str">
        <f>IF(COUNTIFS(户型资产表!E:E,I72,户型资产表!H:H,"电视柜")&gt;0,"有","无")</f>
        <v>无</v>
      </c>
      <c r="AD72" s="63" t="str">
        <f t="shared" si="18"/>
        <v>适中</v>
      </c>
      <c r="AE72" s="64">
        <f>VLOOKUP($AD$1&amp;AD72,【1】定价因子!E:F,2,0)</f>
        <v>1</v>
      </c>
      <c r="AF72" s="63" t="str">
        <f t="shared" si="19"/>
        <v>适中</v>
      </c>
      <c r="AG72" s="64">
        <f>VLOOKUP($AF$1&amp;AF72,【1】定价因子!E:F,2,0)</f>
        <v>1</v>
      </c>
      <c r="AH72" s="63" t="str">
        <f t="shared" si="20"/>
        <v>适中</v>
      </c>
      <c r="AI72" s="64">
        <f>VLOOKUP($AH$1&amp;AH72,【1】定价因子!E:F,2,0)</f>
        <v>1</v>
      </c>
      <c r="AJ72" s="64" t="str">
        <f>VLOOKUP(H72,'【3-1】大区填-采光基本要素'!A:H,8,0)</f>
        <v>3</v>
      </c>
      <c r="AK72" s="64">
        <f>VLOOKUP($AJ$1&amp;AJ72,【1】定价因子!E:F,2,0)</f>
        <v>1</v>
      </c>
      <c r="AL72" s="65">
        <f t="shared" si="21"/>
        <v>1622.8301376</v>
      </c>
      <c r="AM72" s="13">
        <v>1550</v>
      </c>
      <c r="AN72" s="66">
        <f t="shared" si="22"/>
        <v>-0.0448784724368678</v>
      </c>
      <c r="AO72" s="67">
        <f>SUMIFS(户型资产表!M:M,户型资产表!I:I,"*租赁*",户型资产表!E:E,I72)</f>
        <v>234.23</v>
      </c>
      <c r="AP72" s="68">
        <f t="shared" si="27"/>
        <v>1315.77</v>
      </c>
    </row>
    <row r="73" ht="14.15" spans="1:42">
      <c r="A73" s="59" t="str">
        <f>'【2】运营中心填-基本信息&amp;审核标准'!$E$2</f>
        <v>东福围西街30栋</v>
      </c>
      <c r="B73" s="13">
        <f t="shared" si="11"/>
        <v>7</v>
      </c>
      <c r="C73" s="13">
        <f t="shared" si="24"/>
        <v>15</v>
      </c>
      <c r="D73" s="13">
        <f t="shared" si="25"/>
        <v>15</v>
      </c>
      <c r="E73" s="13"/>
      <c r="F73" s="13" t="str">
        <f t="shared" si="26"/>
        <v/>
      </c>
      <c r="G73" s="13"/>
      <c r="H73" s="60">
        <v>713</v>
      </c>
      <c r="I73" s="61" t="s">
        <v>524</v>
      </c>
      <c r="J73" s="61" t="s">
        <v>40</v>
      </c>
      <c r="K73" s="13" t="str" cm="1">
        <f t="array" ref="K73">IFERROR(INDEX($J$2:$J$75,MATCH(0,IF(ISBLANK($J$2:$J$75),1,COUNTIF($K$1:K72,$J$2:$J$75)),0)),"")</f>
        <v/>
      </c>
      <c r="L73" s="62">
        <f>VLOOKUP(J73,'【3】大区填-楼栋基准格局定价'!B:H,7,0)</f>
        <v>1579.858</v>
      </c>
      <c r="M73" s="63" t="str">
        <f t="shared" si="17"/>
        <v>适中</v>
      </c>
      <c r="N73" s="63">
        <v>16.48</v>
      </c>
      <c r="O73" s="64">
        <f>VLOOKUP($M$1&amp;M73,【1】定价因子!E:F,2,0)</f>
        <v>1</v>
      </c>
      <c r="P73" s="64" t="str">
        <f>IF(COUNTIFS(户型资产表!E:E,I73,户型资产表!H:H,"阳台门")&gt;0,"有","无")</f>
        <v>无</v>
      </c>
      <c r="Q73" s="64">
        <f>VLOOKUP($P$1&amp;P73,【1】定价因子!E:F,2,0)</f>
        <v>1</v>
      </c>
      <c r="R73" s="64" t="str">
        <f>IF('【2】运营中心填-基本信息&amp;审核标准'!$D$4="是","无",IF(INT(H73/100)&gt;9,"9F",INT(H73/100)&amp;"F"))</f>
        <v>7F</v>
      </c>
      <c r="S73" s="64">
        <f>VLOOKUP(R73,【1】定价因子!D:F,3,0)</f>
        <v>0.96</v>
      </c>
      <c r="T73" s="64" t="str">
        <f>IF('【2】运营中心填-基本信息&amp;审核标准'!$D$4="否","无",IF(INT(H73/100)=1,"1F",IF(AND(INT(H73/100)&gt;=2,INT(H73/100)&lt;=3),"2-3F",IF(INT(H73/100)=4,"4F",IF(AND(INT(H73/100)&gt;=5,INT(H73/100)&lt;=6),"5-6F",IF(AND(INT(H73/100)&gt;=7,INT(H73/100)&lt;=8),"7-8F",IF(AND(INT(H73/100)&gt;=9,INT(H73/100)&lt;=10),"9-10F",IF(AND(INT(H73/100)&gt;=11,INT(H73/100)&lt;=12),"11-12F",IF(INT(H73/100)&gt;=13,"13以上F","")))))))))</f>
        <v>无</v>
      </c>
      <c r="U73" s="64">
        <f>VLOOKUP($T$1&amp;T73,【1】定价因子!E:F,2,0)</f>
        <v>1</v>
      </c>
      <c r="V73" s="64" t="str">
        <f>IF(COUNTIFS(户型资产表!E:E,I73,户型资产表!H:H,"操作台")&gt;0,"有","无")</f>
        <v>有</v>
      </c>
      <c r="W73" s="64" t="str">
        <f>IF(COUNTIFS(户型资产表!E:E,I73,户型资产表!H:H,"书桌")&gt;0,"有","无")</f>
        <v>有</v>
      </c>
      <c r="X73" s="64" t="str" cm="1">
        <f t="array" ref="X73">IF(SUMPRODUCT((户型资产表!E:E=I73)*((户型资产表!I:I="沙发01单人")+(户型资产表!I:I="单人沙发02")+(户型资产表!I:I="租赁-单人沙发02")+(户型资产表!I:I="租赁-沙发01单人")))&gt;0,"有","无")</f>
        <v>无</v>
      </c>
      <c r="Y73" s="64" t="str" cm="1">
        <f t="array" ref="Y73">IF(SUMPRODUCT((户型资产表!E:E=I73)*((户型资产表!I:I="沙发02两人")+(户型资产表!I:I="双人沙发01")+(户型资产表!I:I="租赁-沙发02两人")+(户型资产表!I:I="租赁-双人沙发01")))&gt;0,"有","无")</f>
        <v>无</v>
      </c>
      <c r="Z73" s="64" t="str">
        <f>IF(COUNTIFS(户型资产表!E:E,I73,户型资产表!H:H,"餐桌")&gt;0,"有","无")</f>
        <v>无</v>
      </c>
      <c r="AA73" s="64" t="str">
        <f>IF(COUNTIFS(户型资产表!E:E,I73,户型资产表!H:H,"吸油烟机")&gt;0,"有","无")</f>
        <v>无</v>
      </c>
      <c r="AB73" s="64" t="str">
        <f>IF(COUNTIFS(户型资产表!E:E,I73,户型资产表!H:H,"冰箱")&gt;0,"有","无")</f>
        <v>无</v>
      </c>
      <c r="AC73" s="64" t="str">
        <f>IF(COUNTIFS(户型资产表!E:E,I73,户型资产表!H:H,"电视柜")&gt;0,"有","无")</f>
        <v>无</v>
      </c>
      <c r="AD73" s="63" t="str">
        <f t="shared" si="18"/>
        <v>适中</v>
      </c>
      <c r="AE73" s="64">
        <f>VLOOKUP($AD$1&amp;AD73,【1】定价因子!E:F,2,0)</f>
        <v>1</v>
      </c>
      <c r="AF73" s="63" t="str">
        <f t="shared" si="19"/>
        <v>适中</v>
      </c>
      <c r="AG73" s="64">
        <f>VLOOKUP($AF$1&amp;AF73,【1】定价因子!E:F,2,0)</f>
        <v>1</v>
      </c>
      <c r="AH73" s="63" t="str">
        <f t="shared" si="20"/>
        <v>适中</v>
      </c>
      <c r="AI73" s="64">
        <f>VLOOKUP($AH$1&amp;AH73,【1】定价因子!E:F,2,0)</f>
        <v>1</v>
      </c>
      <c r="AJ73" s="64" t="str">
        <f>VLOOKUP(H73,'【3-1】大区填-采光基本要素'!A:H,8,0)</f>
        <v>3</v>
      </c>
      <c r="AK73" s="64">
        <f>VLOOKUP($AJ$1&amp;AJ73,【1】定价因子!E:F,2,0)</f>
        <v>1</v>
      </c>
      <c r="AL73" s="65">
        <f t="shared" si="21"/>
        <v>1516.66368</v>
      </c>
      <c r="AM73" s="13">
        <v>1460</v>
      </c>
      <c r="AN73" s="66">
        <f t="shared" si="22"/>
        <v>-0.0373607417037903</v>
      </c>
      <c r="AO73" s="67">
        <f>SUMIFS(户型资产表!M:M,户型资产表!I:I,"*租赁*",户型资产表!E:E,I73)</f>
        <v>232.39</v>
      </c>
      <c r="AP73" s="68">
        <f t="shared" si="27"/>
        <v>1227.61</v>
      </c>
    </row>
    <row r="74" s="35" customFormat="1" ht="14.15" spans="1:42">
      <c r="A74" s="69" t="str">
        <f>'【2】运营中心填-基本信息&amp;审核标准'!$E$2</f>
        <v>东福围西街30栋</v>
      </c>
      <c r="B74" s="13">
        <f t="shared" si="11"/>
        <v>7</v>
      </c>
      <c r="C74" s="13">
        <f t="shared" si="24"/>
        <v>15</v>
      </c>
      <c r="D74" s="13">
        <f t="shared" si="25"/>
        <v>15</v>
      </c>
      <c r="E74" s="13"/>
      <c r="F74" s="13" t="str">
        <f t="shared" si="26"/>
        <v/>
      </c>
      <c r="G74" s="13"/>
      <c r="H74" s="70">
        <v>714</v>
      </c>
      <c r="I74" s="71" t="s">
        <v>516</v>
      </c>
      <c r="J74" s="71" t="s">
        <v>43</v>
      </c>
      <c r="K74" s="13" t="str" cm="1">
        <f t="array" ref="K74">IFERROR(INDEX($J$2:$J$75,MATCH(0,IF(ISBLANK($J$2:$J$75),1,COUNTIF($K$1:K73,$J$2:$J$75)),0)),"")</f>
        <v/>
      </c>
      <c r="L74" s="72">
        <f>VLOOKUP(J74,'【3】大区填-楼栋基准格局定价'!B:H,7,0)</f>
        <v>2354.45</v>
      </c>
      <c r="M74" s="73" t="str">
        <f t="shared" si="17"/>
        <v>较宽敞</v>
      </c>
      <c r="N74" s="73">
        <v>26.07</v>
      </c>
      <c r="O74" s="64">
        <f>VLOOKUP($M$1&amp;M74,【1】定价因子!E:F,2,0)</f>
        <v>1.06</v>
      </c>
      <c r="P74" s="64" t="str">
        <f>IF(COUNTIFS(户型资产表!E:E,I74,户型资产表!H:H,"阳台门")&gt;0,"有","无")</f>
        <v>有</v>
      </c>
      <c r="Q74" s="64">
        <f>VLOOKUP($P$1&amp;P74,【1】定价因子!E:F,2,0)</f>
        <v>1.07</v>
      </c>
      <c r="R74" s="64" t="str">
        <f>IF('【2】运营中心填-基本信息&amp;审核标准'!$D$4="是","无",IF(INT(H74/100)&gt;9,"9F",INT(H74/100)&amp;"F"))</f>
        <v>7F</v>
      </c>
      <c r="S74" s="64">
        <f>VLOOKUP(R74,【1】定价因子!D:F,3,0)</f>
        <v>0.96</v>
      </c>
      <c r="T74" s="64" t="str">
        <f>IF('【2】运营中心填-基本信息&amp;审核标准'!$D$4="否","无",IF(INT(H74/100)=1,"1F",IF(AND(INT(H74/100)&gt;=2,INT(H74/100)&lt;=3),"2-3F",IF(INT(H74/100)=4,"4F",IF(AND(INT(H74/100)&gt;=5,INT(H74/100)&lt;=6),"5-6F",IF(AND(INT(H74/100)&gt;=7,INT(H74/100)&lt;=8),"7-8F",IF(AND(INT(H74/100)&gt;=9,INT(H74/100)&lt;=10),"9-10F",IF(AND(INT(H74/100)&gt;=11,INT(H74/100)&lt;=12),"11-12F",IF(INT(H74/100)&gt;=13,"13以上F","")))))))))</f>
        <v>无</v>
      </c>
      <c r="U74" s="64">
        <f>VLOOKUP($T$1&amp;T74,【1】定价因子!E:F,2,0)</f>
        <v>1</v>
      </c>
      <c r="V74" s="64" t="str">
        <f>IF(COUNTIFS(户型资产表!E:E,I74,户型资产表!H:H,"操作台")&gt;0,"有","无")</f>
        <v>有</v>
      </c>
      <c r="W74" s="64" t="str">
        <f>IF(COUNTIFS(户型资产表!E:E,I74,户型资产表!H:H,"书桌")&gt;0,"有","无")</f>
        <v>无</v>
      </c>
      <c r="X74" s="64" t="str" cm="1">
        <f t="array" ref="X74">IF(SUMPRODUCT((户型资产表!E:E=I74)*((户型资产表!I:I="沙发01单人")+(户型资产表!I:I="单人沙发02")+(户型资产表!I:I="租赁-单人沙发02")+(户型资产表!I:I="租赁-沙发01单人")))&gt;0,"有","无")</f>
        <v>无</v>
      </c>
      <c r="Y74" s="64" t="str" cm="1">
        <f t="array" ref="Y74">IF(SUMPRODUCT((户型资产表!E:E=I74)*((户型资产表!I:I="沙发02两人")+(户型资产表!I:I="双人沙发01")+(户型资产表!I:I="租赁-沙发02两人")+(户型资产表!I:I="租赁-双人沙发01")))&gt;0,"有","无")</f>
        <v>有</v>
      </c>
      <c r="Z74" s="64" t="str">
        <f>IF(COUNTIFS(户型资产表!E:E,I74,户型资产表!H:H,"餐桌")&gt;0,"有","无")</f>
        <v>有</v>
      </c>
      <c r="AA74" s="64" t="str">
        <f>IF(COUNTIFS(户型资产表!E:E,I74,户型资产表!H:H,"吸油烟机")&gt;0,"有","无")</f>
        <v>无</v>
      </c>
      <c r="AB74" s="64" t="str">
        <f>IF(COUNTIFS(户型资产表!E:E,I74,户型资产表!H:H,"冰箱")&gt;0,"有","无")</f>
        <v>无</v>
      </c>
      <c r="AC74" s="64" t="str">
        <f>IF(COUNTIFS(户型资产表!E:E,I74,户型资产表!H:H,"电视柜")&gt;0,"有","无")</f>
        <v>无</v>
      </c>
      <c r="AD74" s="63" t="str">
        <f t="shared" si="18"/>
        <v>适中</v>
      </c>
      <c r="AE74" s="64">
        <f>VLOOKUP($AD$1&amp;AD74,【1】定价因子!E:F,2,0)</f>
        <v>1</v>
      </c>
      <c r="AF74" s="63" t="str">
        <f t="shared" si="19"/>
        <v>适中</v>
      </c>
      <c r="AG74" s="64">
        <f>VLOOKUP($AF$1&amp;AF74,【1】定价因子!E:F,2,0)</f>
        <v>1</v>
      </c>
      <c r="AH74" s="63" t="str">
        <f t="shared" si="20"/>
        <v>适中</v>
      </c>
      <c r="AI74" s="64">
        <f>VLOOKUP($AH$1&amp;AH74,【1】定价因子!E:F,2,0)</f>
        <v>1</v>
      </c>
      <c r="AJ74" s="69" t="str">
        <f>VLOOKUP(H74,'【3-1】大区填-采光基本要素'!A:H,8,0)</f>
        <v>3</v>
      </c>
      <c r="AK74" s="64">
        <f>VLOOKUP($AJ$1&amp;AJ74,【1】定价因子!E:F,2,0)</f>
        <v>1</v>
      </c>
      <c r="AL74" s="74">
        <f t="shared" si="21"/>
        <v>2563.6005024</v>
      </c>
      <c r="AM74" s="69">
        <v>2000</v>
      </c>
      <c r="AN74" s="75">
        <f t="shared" si="22"/>
        <v>-0.219847242919623</v>
      </c>
      <c r="AO74" s="73">
        <f>SUMIFS(户型资产表!M:M,户型资产表!I:I,"*租赁*",户型资产表!E:E,I74)</f>
        <v>287.38</v>
      </c>
      <c r="AP74" s="76">
        <f t="shared" si="27"/>
        <v>1712.62</v>
      </c>
    </row>
    <row r="75" s="35" customFormat="1" ht="14.15" spans="1:42">
      <c r="A75" s="69" t="str">
        <f>'【2】运营中心填-基本信息&amp;审核标准'!$E$2</f>
        <v>东福围西街30栋</v>
      </c>
      <c r="B75" s="13">
        <f t="shared" si="11"/>
        <v>7</v>
      </c>
      <c r="C75" s="13">
        <f t="shared" si="24"/>
        <v>15</v>
      </c>
      <c r="D75" s="13">
        <f t="shared" si="25"/>
        <v>15</v>
      </c>
      <c r="E75" s="13"/>
      <c r="F75" s="13" t="str">
        <f t="shared" si="26"/>
        <v/>
      </c>
      <c r="G75" s="13"/>
      <c r="H75" s="70">
        <v>715</v>
      </c>
      <c r="I75" s="71" t="s">
        <v>515</v>
      </c>
      <c r="J75" s="71" t="s">
        <v>43</v>
      </c>
      <c r="K75" s="13" t="str" cm="1">
        <f t="array" ref="K75">IFERROR(INDEX($J$2:$J$75,MATCH(0,IF(ISBLANK($J$2:$J$75),1,COUNTIF($K$1:K74,$J$2:$J$75)),0)),"")</f>
        <v/>
      </c>
      <c r="L75" s="72">
        <f>VLOOKUP(J75,'【3】大区填-楼栋基准格局定价'!B:H,7,0)</f>
        <v>2354.45</v>
      </c>
      <c r="M75" s="73" t="str">
        <f t="shared" si="17"/>
        <v>很狭小</v>
      </c>
      <c r="N75" s="73">
        <v>19.55</v>
      </c>
      <c r="O75" s="64">
        <f>VLOOKUP($M$1&amp;M75,【1】定价因子!E:F,2,0)</f>
        <v>0.9</v>
      </c>
      <c r="P75" s="64" t="str">
        <f>IF(COUNTIFS(户型资产表!E:E,I75,户型资产表!H:H,"阳台门")&gt;0,"有","无")</f>
        <v>无</v>
      </c>
      <c r="Q75" s="64">
        <f>VLOOKUP($P$1&amp;P75,【1】定价因子!E:F,2,0)</f>
        <v>1</v>
      </c>
      <c r="R75" s="64" t="str">
        <f>IF('【2】运营中心填-基本信息&amp;审核标准'!$D$4="是","无",IF(INT(H75/100)&gt;9,"9F",INT(H75/100)&amp;"F"))</f>
        <v>7F</v>
      </c>
      <c r="S75" s="64">
        <f>VLOOKUP(R75,【1】定价因子!D:F,3,0)</f>
        <v>0.96</v>
      </c>
      <c r="T75" s="64" t="str">
        <f>IF('【2】运营中心填-基本信息&amp;审核标准'!$D$4="否","无",IF(INT(H75/100)=1,"1F",IF(AND(INT(H75/100)&gt;=2,INT(H75/100)&lt;=3),"2-3F",IF(INT(H75/100)=4,"4F",IF(AND(INT(H75/100)&gt;=5,INT(H75/100)&lt;=6),"5-6F",IF(AND(INT(H75/100)&gt;=7,INT(H75/100)&lt;=8),"7-8F",IF(AND(INT(H75/100)&gt;=9,INT(H75/100)&lt;=10),"9-10F",IF(AND(INT(H75/100)&gt;=11,INT(H75/100)&lt;=12),"11-12F",IF(INT(H75/100)&gt;=13,"13以上F","")))))))))</f>
        <v>无</v>
      </c>
      <c r="U75" s="64">
        <f>VLOOKUP($T$1&amp;T75,【1】定价因子!E:F,2,0)</f>
        <v>1</v>
      </c>
      <c r="V75" s="64" t="str">
        <f>IF(COUNTIFS(户型资产表!E:E,I75,户型资产表!H:H,"操作台")&gt;0,"有","无")</f>
        <v>有</v>
      </c>
      <c r="W75" s="64" t="str">
        <f>IF(COUNTIFS(户型资产表!E:E,I75,户型资产表!H:H,"书桌")&gt;0,"有","无")</f>
        <v>无</v>
      </c>
      <c r="X75" s="64" t="str" cm="1">
        <f t="array" ref="X75">IF(SUMPRODUCT((户型资产表!E:E=I75)*((户型资产表!I:I="沙发01单人")+(户型资产表!I:I="单人沙发02")+(户型资产表!I:I="租赁-单人沙发02")+(户型资产表!I:I="租赁-沙发01单人")))&gt;0,"有","无")</f>
        <v>无</v>
      </c>
      <c r="Y75" s="64" t="str" cm="1">
        <f t="array" ref="Y75">IF(SUMPRODUCT((户型资产表!E:E=I75)*((户型资产表!I:I="沙发02两人")+(户型资产表!I:I="双人沙发01")+(户型资产表!I:I="租赁-沙发02两人")+(户型资产表!I:I="租赁-双人沙发01")))&gt;0,"有","无")</f>
        <v>有</v>
      </c>
      <c r="Z75" s="64" t="str">
        <f>IF(COUNTIFS(户型资产表!E:E,I75,户型资产表!H:H,"餐桌")&gt;0,"有","无")</f>
        <v>有</v>
      </c>
      <c r="AA75" s="64" t="str">
        <f>IF(COUNTIFS(户型资产表!E:E,I75,户型资产表!H:H,"吸油烟机")&gt;0,"有","无")</f>
        <v>无</v>
      </c>
      <c r="AB75" s="64" t="str">
        <f>IF(COUNTIFS(户型资产表!E:E,I75,户型资产表!H:H,"冰箱")&gt;0,"有","无")</f>
        <v>无</v>
      </c>
      <c r="AC75" s="64" t="str">
        <f>IF(COUNTIFS(户型资产表!E:E,I75,户型资产表!H:H,"电视柜")&gt;0,"有","无")</f>
        <v>无</v>
      </c>
      <c r="AD75" s="63" t="str">
        <f t="shared" si="18"/>
        <v>适中</v>
      </c>
      <c r="AE75" s="64">
        <f>VLOOKUP($AD$1&amp;AD75,【1】定价因子!E:F,2,0)</f>
        <v>1</v>
      </c>
      <c r="AF75" s="63" t="str">
        <f t="shared" si="19"/>
        <v>适中</v>
      </c>
      <c r="AG75" s="64">
        <f>VLOOKUP($AF$1&amp;AF75,【1】定价因子!E:F,2,0)</f>
        <v>1</v>
      </c>
      <c r="AH75" s="63" t="str">
        <f t="shared" si="20"/>
        <v>适中</v>
      </c>
      <c r="AI75" s="64">
        <f>VLOOKUP($AH$1&amp;AH75,【1】定价因子!E:F,2,0)</f>
        <v>1</v>
      </c>
      <c r="AJ75" s="69" t="str">
        <f>VLOOKUP(H75,'【3-1】大区填-采光基本要素'!A:H,8,0)</f>
        <v>1</v>
      </c>
      <c r="AK75" s="64">
        <f>VLOOKUP($AJ$1&amp;AJ75,【1】定价因子!E:F,2,0)</f>
        <v>0.91</v>
      </c>
      <c r="AL75" s="74">
        <f t="shared" si="21"/>
        <v>1851.162768</v>
      </c>
      <c r="AM75" s="69">
        <v>1660</v>
      </c>
      <c r="AN75" s="75">
        <f t="shared" si="22"/>
        <v>-0.103266320663165</v>
      </c>
      <c r="AO75" s="73">
        <f>SUMIFS(户型资产表!M:M,户型资产表!I:I,"*租赁*",户型资产表!E:E,I75)</f>
        <v>276.06</v>
      </c>
      <c r="AP75" s="76">
        <f t="shared" si="27"/>
        <v>1383.94</v>
      </c>
    </row>
  </sheetData>
  <autoFilter xmlns:etc="http://www.wps.cn/officeDocument/2017/etCustomData" ref="A1:AN75" etc:filterBottomFollowUsedRange="0"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M1188"/>
  <sheetViews>
    <sheetView topLeftCell="A1112" workbookViewId="0">
      <selection activeCell="O1136" sqref="O1136"/>
    </sheetView>
  </sheetViews>
  <sheetFormatPr defaultColWidth="9.08333333333333" defaultRowHeight="14.1"/>
  <sheetData>
    <row r="1" spans="1:13">
      <c r="A1" t="s">
        <v>528</v>
      </c>
      <c r="E1" t="s">
        <v>501</v>
      </c>
      <c r="H1" t="s">
        <v>529</v>
      </c>
      <c r="K1" t="s">
        <v>530</v>
      </c>
    </row>
    <row r="2" ht="14.85" spans="1:13">
      <c r="B2" t="s">
        <v>531</v>
      </c>
    </row>
    <row r="3" ht="17" spans="1:13">
      <c r="B3" t="s">
        <v>25</v>
      </c>
      <c r="C3" t="s">
        <v>532</v>
      </c>
      <c r="D3" t="s">
        <v>533</v>
      </c>
      <c r="E3" t="s">
        <v>534</v>
      </c>
      <c r="F3" t="s">
        <v>535</v>
      </c>
      <c r="G3" t="s">
        <v>536</v>
      </c>
      <c r="H3" t="s">
        <v>537</v>
      </c>
      <c r="I3" t="s">
        <v>538</v>
      </c>
      <c r="J3" s="30" t="s">
        <v>539</v>
      </c>
      <c r="K3" s="31" t="s">
        <v>337</v>
      </c>
      <c r="L3" s="32" t="s">
        <v>540</v>
      </c>
      <c r="M3" t="s">
        <v>541</v>
      </c>
    </row>
    <row r="4" spans="1:13">
      <c r="B4" t="s">
        <v>542</v>
      </c>
      <c r="M4">
        <f>J4*L4</f>
        <v>0</v>
      </c>
    </row>
    <row r="5" spans="1:13">
      <c r="B5">
        <v>1</v>
      </c>
      <c r="C5" s="33" t="s">
        <v>266</v>
      </c>
      <c r="D5" s="33" t="s">
        <v>268</v>
      </c>
      <c r="E5" t="s">
        <v>499</v>
      </c>
      <c r="F5" t="s">
        <v>543</v>
      </c>
      <c r="G5" t="s">
        <v>544</v>
      </c>
      <c r="H5" t="s">
        <v>545</v>
      </c>
      <c r="I5" t="s">
        <v>546</v>
      </c>
      <c r="J5">
        <v>1</v>
      </c>
      <c r="K5" t="s">
        <v>547</v>
      </c>
      <c r="L5">
        <v>920</v>
      </c>
      <c r="M5">
        <f t="shared" ref="M5:M68" si="0">J5*L5</f>
        <v>920</v>
      </c>
    </row>
    <row r="6" spans="1:13">
      <c r="B6">
        <v>2</v>
      </c>
      <c r="C6" s="33" t="s">
        <v>266</v>
      </c>
      <c r="D6" s="33" t="s">
        <v>268</v>
      </c>
      <c r="E6" t="s">
        <v>499</v>
      </c>
      <c r="F6" t="s">
        <v>543</v>
      </c>
      <c r="G6" t="s">
        <v>544</v>
      </c>
      <c r="H6" t="s">
        <v>548</v>
      </c>
      <c r="I6" t="s">
        <v>549</v>
      </c>
      <c r="J6">
        <v>1</v>
      </c>
      <c r="K6" t="s">
        <v>550</v>
      </c>
      <c r="L6">
        <v>380</v>
      </c>
      <c r="M6">
        <f t="shared" si="0"/>
        <v>380</v>
      </c>
    </row>
    <row r="7" spans="1:13">
      <c r="B7">
        <v>3</v>
      </c>
      <c r="C7" s="33" t="s">
        <v>266</v>
      </c>
      <c r="D7" s="33" t="s">
        <v>268</v>
      </c>
      <c r="E7" t="s">
        <v>499</v>
      </c>
      <c r="F7" t="s">
        <v>543</v>
      </c>
      <c r="G7" t="s">
        <v>551</v>
      </c>
      <c r="H7" t="s">
        <v>552</v>
      </c>
      <c r="I7" t="s">
        <v>553</v>
      </c>
      <c r="J7">
        <v>1</v>
      </c>
      <c r="K7" t="s">
        <v>554</v>
      </c>
      <c r="L7">
        <v>14</v>
      </c>
      <c r="M7">
        <f t="shared" si="0"/>
        <v>14</v>
      </c>
    </row>
    <row r="8" spans="1:13">
      <c r="B8">
        <v>4</v>
      </c>
      <c r="C8" s="33" t="s">
        <v>266</v>
      </c>
      <c r="D8" s="33" t="s">
        <v>268</v>
      </c>
      <c r="E8" t="s">
        <v>499</v>
      </c>
      <c r="F8" t="s">
        <v>543</v>
      </c>
      <c r="G8" t="s">
        <v>551</v>
      </c>
      <c r="H8" t="s">
        <v>555</v>
      </c>
      <c r="I8" t="s">
        <v>556</v>
      </c>
      <c r="J8">
        <v>1</v>
      </c>
      <c r="K8" t="s">
        <v>554</v>
      </c>
      <c r="L8">
        <v>33</v>
      </c>
      <c r="M8">
        <f t="shared" si="0"/>
        <v>33</v>
      </c>
    </row>
    <row r="9" spans="1:13">
      <c r="B9">
        <v>5</v>
      </c>
      <c r="C9" s="33" t="s">
        <v>266</v>
      </c>
      <c r="D9" s="33" t="s">
        <v>268</v>
      </c>
      <c r="E9" t="s">
        <v>499</v>
      </c>
      <c r="F9" t="s">
        <v>557</v>
      </c>
      <c r="G9" t="s">
        <v>558</v>
      </c>
      <c r="H9" t="s">
        <v>559</v>
      </c>
      <c r="I9" t="s">
        <v>560</v>
      </c>
      <c r="J9">
        <v>1</v>
      </c>
      <c r="K9" t="s">
        <v>554</v>
      </c>
      <c r="L9">
        <v>0</v>
      </c>
      <c r="M9">
        <f t="shared" si="0"/>
        <v>0</v>
      </c>
    </row>
    <row r="10" spans="1:13">
      <c r="B10">
        <v>6</v>
      </c>
      <c r="C10" s="33" t="s">
        <v>266</v>
      </c>
      <c r="D10" s="33" t="s">
        <v>268</v>
      </c>
      <c r="E10" t="s">
        <v>499</v>
      </c>
      <c r="F10" t="s">
        <v>557</v>
      </c>
      <c r="G10" t="s">
        <v>561</v>
      </c>
      <c r="H10" t="s">
        <v>562</v>
      </c>
      <c r="I10" t="s">
        <v>563</v>
      </c>
      <c r="J10">
        <v>1</v>
      </c>
      <c r="K10" t="s">
        <v>554</v>
      </c>
      <c r="L10">
        <v>13.38</v>
      </c>
      <c r="M10">
        <f t="shared" si="0"/>
        <v>13.38</v>
      </c>
    </row>
    <row r="11" spans="1:13">
      <c r="B11">
        <v>27</v>
      </c>
      <c r="C11" s="33" t="s">
        <v>266</v>
      </c>
      <c r="D11" s="33" t="s">
        <v>268</v>
      </c>
      <c r="E11" t="s">
        <v>499</v>
      </c>
      <c r="F11" t="s">
        <v>557</v>
      </c>
      <c r="G11" t="s">
        <v>561</v>
      </c>
      <c r="H11" t="s">
        <v>564</v>
      </c>
      <c r="I11" t="s">
        <v>565</v>
      </c>
      <c r="J11">
        <v>1</v>
      </c>
      <c r="K11" t="s">
        <v>566</v>
      </c>
      <c r="L11">
        <v>26.93</v>
      </c>
      <c r="M11">
        <f t="shared" si="0"/>
        <v>26.93</v>
      </c>
    </row>
    <row r="12" spans="1:13">
      <c r="B12">
        <v>27</v>
      </c>
      <c r="C12" s="33" t="s">
        <v>266</v>
      </c>
      <c r="D12" s="33" t="s">
        <v>268</v>
      </c>
      <c r="E12" t="s">
        <v>499</v>
      </c>
      <c r="F12" t="s">
        <v>557</v>
      </c>
      <c r="G12" t="s">
        <v>561</v>
      </c>
      <c r="H12" t="s">
        <v>567</v>
      </c>
      <c r="I12" t="s">
        <v>568</v>
      </c>
      <c r="J12">
        <v>1</v>
      </c>
      <c r="K12" t="s">
        <v>566</v>
      </c>
      <c r="L12">
        <v>23.77</v>
      </c>
      <c r="M12">
        <f t="shared" si="0"/>
        <v>23.77</v>
      </c>
    </row>
    <row r="13" spans="1:13">
      <c r="B13">
        <v>27</v>
      </c>
      <c r="C13" s="33" t="s">
        <v>266</v>
      </c>
      <c r="D13" s="33" t="s">
        <v>268</v>
      </c>
      <c r="E13" t="s">
        <v>499</v>
      </c>
      <c r="F13" t="s">
        <v>557</v>
      </c>
      <c r="G13" t="s">
        <v>561</v>
      </c>
      <c r="H13" t="s">
        <v>569</v>
      </c>
      <c r="I13" t="s">
        <v>570</v>
      </c>
      <c r="J13">
        <v>1</v>
      </c>
      <c r="K13" t="s">
        <v>554</v>
      </c>
      <c r="L13">
        <v>47.7</v>
      </c>
      <c r="M13">
        <f t="shared" si="0"/>
        <v>47.7</v>
      </c>
    </row>
    <row r="14" spans="1:13">
      <c r="B14">
        <v>10</v>
      </c>
      <c r="C14" s="33" t="s">
        <v>266</v>
      </c>
      <c r="D14" s="33" t="s">
        <v>268</v>
      </c>
      <c r="E14" t="s">
        <v>499</v>
      </c>
      <c r="F14" t="s">
        <v>557</v>
      </c>
      <c r="G14" t="s">
        <v>571</v>
      </c>
      <c r="H14" t="s">
        <v>572</v>
      </c>
      <c r="I14" t="s">
        <v>573</v>
      </c>
      <c r="J14">
        <v>1</v>
      </c>
      <c r="K14" t="s">
        <v>554</v>
      </c>
      <c r="L14">
        <v>1680</v>
      </c>
      <c r="M14">
        <f t="shared" si="0"/>
        <v>1680</v>
      </c>
    </row>
    <row r="15" spans="1:13">
      <c r="B15">
        <v>11</v>
      </c>
      <c r="C15" s="33" t="s">
        <v>266</v>
      </c>
      <c r="D15" s="33" t="s">
        <v>268</v>
      </c>
      <c r="E15" t="s">
        <v>499</v>
      </c>
      <c r="F15" t="s">
        <v>557</v>
      </c>
      <c r="G15" t="s">
        <v>571</v>
      </c>
      <c r="H15" t="s">
        <v>574</v>
      </c>
      <c r="I15" t="s">
        <v>575</v>
      </c>
      <c r="J15">
        <v>1</v>
      </c>
      <c r="K15" t="s">
        <v>554</v>
      </c>
      <c r="L15">
        <v>10</v>
      </c>
      <c r="M15">
        <f t="shared" si="0"/>
        <v>10</v>
      </c>
    </row>
    <row r="16" spans="1:13">
      <c r="B16">
        <v>12</v>
      </c>
      <c r="C16" s="33" t="s">
        <v>266</v>
      </c>
      <c r="D16" s="33" t="s">
        <v>268</v>
      </c>
      <c r="E16" t="s">
        <v>499</v>
      </c>
      <c r="F16" t="s">
        <v>557</v>
      </c>
      <c r="G16" t="s">
        <v>576</v>
      </c>
      <c r="H16" t="s">
        <v>577</v>
      </c>
      <c r="I16" t="s">
        <v>578</v>
      </c>
      <c r="J16">
        <v>1</v>
      </c>
      <c r="K16" t="s">
        <v>554</v>
      </c>
      <c r="L16">
        <v>93</v>
      </c>
      <c r="M16">
        <f t="shared" si="0"/>
        <v>93</v>
      </c>
    </row>
    <row r="17" spans="2:13">
      <c r="B17">
        <v>13</v>
      </c>
      <c r="C17" s="33" t="s">
        <v>266</v>
      </c>
      <c r="D17" s="33" t="s">
        <v>268</v>
      </c>
      <c r="E17" t="s">
        <v>499</v>
      </c>
      <c r="F17" t="s">
        <v>557</v>
      </c>
      <c r="G17" t="s">
        <v>576</v>
      </c>
      <c r="H17" t="s">
        <v>579</v>
      </c>
      <c r="I17" t="s">
        <v>580</v>
      </c>
      <c r="J17">
        <v>1</v>
      </c>
      <c r="K17" t="s">
        <v>554</v>
      </c>
      <c r="L17">
        <v>56</v>
      </c>
      <c r="M17">
        <f t="shared" si="0"/>
        <v>56</v>
      </c>
    </row>
    <row r="18" spans="2:13">
      <c r="B18">
        <v>14</v>
      </c>
      <c r="C18" s="33" t="s">
        <v>266</v>
      </c>
      <c r="D18" s="33" t="s">
        <v>268</v>
      </c>
      <c r="E18" t="s">
        <v>499</v>
      </c>
      <c r="F18" t="s">
        <v>557</v>
      </c>
      <c r="G18" t="s">
        <v>558</v>
      </c>
      <c r="H18" t="s">
        <v>581</v>
      </c>
      <c r="I18" t="s">
        <v>582</v>
      </c>
      <c r="J18">
        <v>1</v>
      </c>
      <c r="K18" t="s">
        <v>554</v>
      </c>
      <c r="L18">
        <v>84</v>
      </c>
      <c r="M18">
        <f t="shared" si="0"/>
        <v>84</v>
      </c>
    </row>
    <row r="19" spans="2:13">
      <c r="B19">
        <v>15</v>
      </c>
      <c r="C19" s="33" t="s">
        <v>266</v>
      </c>
      <c r="D19" s="33" t="s">
        <v>268</v>
      </c>
      <c r="E19" t="s">
        <v>499</v>
      </c>
      <c r="F19" t="s">
        <v>557</v>
      </c>
      <c r="G19" t="s">
        <v>583</v>
      </c>
      <c r="H19" t="s">
        <v>584</v>
      </c>
      <c r="I19" t="s">
        <v>585</v>
      </c>
      <c r="J19">
        <v>1</v>
      </c>
      <c r="K19" t="s">
        <v>554</v>
      </c>
      <c r="L19">
        <v>165</v>
      </c>
      <c r="M19">
        <f t="shared" si="0"/>
        <v>165</v>
      </c>
    </row>
    <row r="20" spans="2:13">
      <c r="B20">
        <v>16</v>
      </c>
      <c r="C20" s="33" t="s">
        <v>266</v>
      </c>
      <c r="D20" s="33" t="s">
        <v>268</v>
      </c>
      <c r="E20" t="s">
        <v>499</v>
      </c>
      <c r="F20" t="s">
        <v>557</v>
      </c>
      <c r="G20" t="s">
        <v>561</v>
      </c>
      <c r="H20" t="s">
        <v>586</v>
      </c>
      <c r="I20" t="s">
        <v>587</v>
      </c>
      <c r="J20">
        <v>1</v>
      </c>
      <c r="K20" t="s">
        <v>554</v>
      </c>
      <c r="L20">
        <v>43</v>
      </c>
      <c r="M20">
        <f t="shared" si="0"/>
        <v>43</v>
      </c>
    </row>
    <row r="21" spans="2:13">
      <c r="B21">
        <v>17</v>
      </c>
      <c r="C21" s="33" t="s">
        <v>266</v>
      </c>
      <c r="D21" s="33" t="s">
        <v>268</v>
      </c>
      <c r="E21" t="s">
        <v>499</v>
      </c>
      <c r="F21" t="s">
        <v>557</v>
      </c>
      <c r="G21" t="s">
        <v>588</v>
      </c>
      <c r="H21" t="s">
        <v>589</v>
      </c>
      <c r="I21" t="s">
        <v>590</v>
      </c>
      <c r="J21">
        <v>1</v>
      </c>
      <c r="K21" t="s">
        <v>554</v>
      </c>
      <c r="L21">
        <v>425</v>
      </c>
      <c r="M21">
        <f t="shared" si="0"/>
        <v>425</v>
      </c>
    </row>
    <row r="22" spans="2:13">
      <c r="B22">
        <v>18</v>
      </c>
      <c r="C22" s="33" t="s">
        <v>266</v>
      </c>
      <c r="D22" s="33" t="s">
        <v>268</v>
      </c>
      <c r="E22" t="s">
        <v>499</v>
      </c>
      <c r="F22" t="s">
        <v>557</v>
      </c>
      <c r="G22" t="s">
        <v>561</v>
      </c>
      <c r="H22" t="s">
        <v>591</v>
      </c>
      <c r="I22" t="s">
        <v>592</v>
      </c>
      <c r="J22">
        <v>1</v>
      </c>
      <c r="K22" t="s">
        <v>554</v>
      </c>
      <c r="L22">
        <v>77</v>
      </c>
      <c r="M22">
        <f t="shared" si="0"/>
        <v>77</v>
      </c>
    </row>
    <row r="23" spans="2:13">
      <c r="B23">
        <v>33</v>
      </c>
      <c r="C23" s="33" t="s">
        <v>266</v>
      </c>
      <c r="D23" s="33" t="s">
        <v>268</v>
      </c>
      <c r="E23" t="s">
        <v>499</v>
      </c>
      <c r="F23" t="s">
        <v>557</v>
      </c>
      <c r="G23" t="s">
        <v>544</v>
      </c>
      <c r="H23" t="s">
        <v>593</v>
      </c>
      <c r="I23" t="s">
        <v>594</v>
      </c>
      <c r="J23">
        <v>1</v>
      </c>
      <c r="K23" t="s">
        <v>595</v>
      </c>
      <c r="L23">
        <v>415</v>
      </c>
      <c r="M23">
        <f t="shared" si="0"/>
        <v>415</v>
      </c>
    </row>
    <row r="24" spans="2:13">
      <c r="B24">
        <v>33</v>
      </c>
      <c r="C24" s="33" t="s">
        <v>266</v>
      </c>
      <c r="D24" s="33" t="s">
        <v>268</v>
      </c>
      <c r="E24" t="s">
        <v>499</v>
      </c>
      <c r="F24" t="s">
        <v>557</v>
      </c>
      <c r="G24" t="s">
        <v>596</v>
      </c>
      <c r="H24" t="s">
        <v>597</v>
      </c>
      <c r="I24" t="s">
        <v>598</v>
      </c>
      <c r="J24">
        <v>1</v>
      </c>
      <c r="K24" t="s">
        <v>599</v>
      </c>
      <c r="L24">
        <v>53</v>
      </c>
      <c r="M24">
        <f t="shared" si="0"/>
        <v>53</v>
      </c>
    </row>
    <row r="25" spans="2:13">
      <c r="B25">
        <v>19</v>
      </c>
      <c r="C25" s="33" t="s">
        <v>266</v>
      </c>
      <c r="D25" s="33" t="s">
        <v>268</v>
      </c>
      <c r="E25" t="s">
        <v>499</v>
      </c>
      <c r="F25" t="s">
        <v>557</v>
      </c>
      <c r="G25" t="s">
        <v>561</v>
      </c>
      <c r="H25" t="s">
        <v>481</v>
      </c>
      <c r="I25" t="s">
        <v>600</v>
      </c>
      <c r="J25">
        <v>1</v>
      </c>
      <c r="K25" t="s">
        <v>601</v>
      </c>
      <c r="L25">
        <v>44.38</v>
      </c>
      <c r="M25">
        <f t="shared" si="0"/>
        <v>44.38</v>
      </c>
    </row>
    <row r="26" spans="2:13">
      <c r="B26">
        <v>19</v>
      </c>
      <c r="C26" s="33" t="s">
        <v>266</v>
      </c>
      <c r="D26" s="33" t="s">
        <v>268</v>
      </c>
      <c r="E26" t="s">
        <v>499</v>
      </c>
      <c r="F26" t="s">
        <v>557</v>
      </c>
      <c r="G26" t="s">
        <v>571</v>
      </c>
      <c r="H26" t="s">
        <v>602</v>
      </c>
      <c r="I26" t="s">
        <v>603</v>
      </c>
      <c r="J26">
        <v>1</v>
      </c>
      <c r="K26" t="s">
        <v>604</v>
      </c>
      <c r="L26">
        <v>48.27</v>
      </c>
      <c r="M26">
        <f t="shared" si="0"/>
        <v>48.27</v>
      </c>
    </row>
    <row r="27" spans="2:13">
      <c r="B27">
        <v>20</v>
      </c>
      <c r="C27" s="33" t="s">
        <v>266</v>
      </c>
      <c r="D27" s="33" t="s">
        <v>268</v>
      </c>
      <c r="E27" t="s">
        <v>499</v>
      </c>
      <c r="F27" t="s">
        <v>557</v>
      </c>
      <c r="G27" t="s">
        <v>561</v>
      </c>
      <c r="H27" t="s">
        <v>482</v>
      </c>
      <c r="I27" t="s">
        <v>605</v>
      </c>
      <c r="J27">
        <v>1</v>
      </c>
      <c r="K27" t="s">
        <v>566</v>
      </c>
      <c r="L27">
        <v>15.82</v>
      </c>
      <c r="M27">
        <f t="shared" si="0"/>
        <v>15.82</v>
      </c>
    </row>
    <row r="28" spans="2:13">
      <c r="B28">
        <v>24</v>
      </c>
      <c r="C28" s="33" t="s">
        <v>266</v>
      </c>
      <c r="D28" s="33" t="s">
        <v>268</v>
      </c>
      <c r="E28" t="s">
        <v>499</v>
      </c>
      <c r="F28" t="s">
        <v>557</v>
      </c>
      <c r="G28" t="s">
        <v>561</v>
      </c>
      <c r="H28" t="s">
        <v>606</v>
      </c>
      <c r="I28" t="s">
        <v>607</v>
      </c>
      <c r="J28">
        <v>1</v>
      </c>
      <c r="K28" t="s">
        <v>550</v>
      </c>
      <c r="L28">
        <v>4.29</v>
      </c>
      <c r="M28">
        <f t="shared" si="0"/>
        <v>4.29</v>
      </c>
    </row>
    <row r="29" spans="2:13">
      <c r="B29">
        <v>26</v>
      </c>
      <c r="C29" s="33" t="s">
        <v>266</v>
      </c>
      <c r="D29" s="33" t="s">
        <v>268</v>
      </c>
      <c r="E29" t="s">
        <v>499</v>
      </c>
      <c r="F29" t="s">
        <v>557</v>
      </c>
      <c r="G29" t="s">
        <v>561</v>
      </c>
      <c r="H29" t="s">
        <v>608</v>
      </c>
      <c r="I29" t="s">
        <v>609</v>
      </c>
      <c r="J29">
        <v>1</v>
      </c>
      <c r="K29" t="s">
        <v>610</v>
      </c>
      <c r="L29">
        <v>58</v>
      </c>
      <c r="M29">
        <f t="shared" si="0"/>
        <v>58</v>
      </c>
    </row>
    <row r="30" spans="2:13">
      <c r="B30">
        <v>27</v>
      </c>
      <c r="C30" s="33" t="s">
        <v>266</v>
      </c>
      <c r="D30" s="33" t="s">
        <v>268</v>
      </c>
      <c r="E30" t="s">
        <v>499</v>
      </c>
      <c r="F30" t="s">
        <v>611</v>
      </c>
      <c r="G30" t="s">
        <v>544</v>
      </c>
      <c r="H30" t="s">
        <v>612</v>
      </c>
      <c r="I30" t="s">
        <v>613</v>
      </c>
      <c r="J30">
        <v>1</v>
      </c>
      <c r="K30" t="s">
        <v>595</v>
      </c>
      <c r="L30">
        <v>290</v>
      </c>
      <c r="M30">
        <f t="shared" si="0"/>
        <v>290</v>
      </c>
    </row>
    <row r="31" spans="2:13">
      <c r="B31">
        <v>33</v>
      </c>
      <c r="C31" s="33" t="s">
        <v>266</v>
      </c>
      <c r="D31" s="33" t="s">
        <v>268</v>
      </c>
      <c r="E31" t="s">
        <v>499</v>
      </c>
      <c r="F31" t="s">
        <v>611</v>
      </c>
      <c r="G31" t="s">
        <v>571</v>
      </c>
      <c r="H31" t="s">
        <v>614</v>
      </c>
      <c r="I31" t="s">
        <v>615</v>
      </c>
      <c r="J31">
        <v>1</v>
      </c>
      <c r="K31" t="s">
        <v>554</v>
      </c>
      <c r="L31">
        <v>100</v>
      </c>
      <c r="M31">
        <f t="shared" si="0"/>
        <v>100</v>
      </c>
    </row>
    <row r="32" spans="2:13">
      <c r="B32">
        <v>39</v>
      </c>
      <c r="C32" s="33" t="s">
        <v>266</v>
      </c>
      <c r="D32" s="33" t="s">
        <v>268</v>
      </c>
      <c r="E32" t="s">
        <v>499</v>
      </c>
      <c r="F32" t="s">
        <v>611</v>
      </c>
      <c r="G32" t="s">
        <v>561</v>
      </c>
      <c r="H32" t="s">
        <v>616</v>
      </c>
      <c r="I32" t="s">
        <v>617</v>
      </c>
      <c r="J32">
        <v>1</v>
      </c>
      <c r="K32" t="s">
        <v>618</v>
      </c>
      <c r="L32">
        <v>55</v>
      </c>
      <c r="M32">
        <f t="shared" si="0"/>
        <v>55</v>
      </c>
    </row>
    <row r="33" spans="2:13">
      <c r="B33">
        <v>45</v>
      </c>
      <c r="C33" s="33" t="s">
        <v>266</v>
      </c>
      <c r="D33" s="33" t="s">
        <v>268</v>
      </c>
      <c r="E33" t="s">
        <v>499</v>
      </c>
      <c r="F33" t="s">
        <v>611</v>
      </c>
      <c r="G33" t="s">
        <v>576</v>
      </c>
      <c r="H33" t="s">
        <v>619</v>
      </c>
      <c r="I33" t="s">
        <v>620</v>
      </c>
      <c r="J33">
        <v>1</v>
      </c>
      <c r="K33" t="s">
        <v>554</v>
      </c>
      <c r="L33">
        <v>66.26</v>
      </c>
      <c r="M33">
        <f t="shared" si="0"/>
        <v>66.26</v>
      </c>
    </row>
    <row r="34" spans="2:13">
      <c r="B34">
        <v>35</v>
      </c>
      <c r="C34" s="33" t="s">
        <v>266</v>
      </c>
      <c r="D34" s="33" t="s">
        <v>268</v>
      </c>
      <c r="E34" t="s">
        <v>499</v>
      </c>
      <c r="F34" t="s">
        <v>611</v>
      </c>
      <c r="G34" t="s">
        <v>621</v>
      </c>
      <c r="H34" t="s">
        <v>622</v>
      </c>
      <c r="I34" t="s">
        <v>623</v>
      </c>
      <c r="J34">
        <v>1</v>
      </c>
      <c r="K34" t="s">
        <v>554</v>
      </c>
      <c r="L34">
        <v>101</v>
      </c>
      <c r="M34">
        <f t="shared" si="0"/>
        <v>101</v>
      </c>
    </row>
    <row r="35" spans="2:13">
      <c r="B35">
        <v>39</v>
      </c>
      <c r="C35" s="33" t="s">
        <v>266</v>
      </c>
      <c r="D35" s="33" t="s">
        <v>268</v>
      </c>
      <c r="E35" t="s">
        <v>499</v>
      </c>
      <c r="F35" t="s">
        <v>611</v>
      </c>
      <c r="G35" t="s">
        <v>621</v>
      </c>
      <c r="H35" t="s">
        <v>624</v>
      </c>
      <c r="I35" t="s">
        <v>625</v>
      </c>
      <c r="J35">
        <v>1</v>
      </c>
      <c r="K35" t="s">
        <v>554</v>
      </c>
      <c r="L35">
        <v>418</v>
      </c>
      <c r="M35">
        <f t="shared" si="0"/>
        <v>418</v>
      </c>
    </row>
    <row r="36" spans="2:13">
      <c r="B36">
        <v>40</v>
      </c>
      <c r="C36" s="33" t="s">
        <v>266</v>
      </c>
      <c r="D36" s="33" t="s">
        <v>268</v>
      </c>
      <c r="E36" t="s">
        <v>499</v>
      </c>
      <c r="F36" t="s">
        <v>611</v>
      </c>
      <c r="G36" t="s">
        <v>621</v>
      </c>
      <c r="H36" t="s">
        <v>626</v>
      </c>
      <c r="I36" t="s">
        <v>627</v>
      </c>
      <c r="J36">
        <v>1</v>
      </c>
      <c r="K36" t="s">
        <v>554</v>
      </c>
      <c r="L36">
        <v>37</v>
      </c>
      <c r="M36">
        <f t="shared" si="0"/>
        <v>37</v>
      </c>
    </row>
    <row r="37" spans="2:13">
      <c r="B37">
        <v>41</v>
      </c>
      <c r="C37" s="33" t="s">
        <v>266</v>
      </c>
      <c r="D37" s="33" t="s">
        <v>268</v>
      </c>
      <c r="E37" t="s">
        <v>499</v>
      </c>
      <c r="F37" t="s">
        <v>611</v>
      </c>
      <c r="G37" t="s">
        <v>571</v>
      </c>
      <c r="H37" t="s">
        <v>628</v>
      </c>
      <c r="I37" t="s">
        <v>629</v>
      </c>
      <c r="J37">
        <v>1</v>
      </c>
      <c r="K37" t="s">
        <v>604</v>
      </c>
      <c r="L37">
        <v>370</v>
      </c>
      <c r="M37">
        <f t="shared" si="0"/>
        <v>370</v>
      </c>
    </row>
    <row r="38" spans="2:13">
      <c r="B38">
        <v>42</v>
      </c>
      <c r="C38" s="33" t="s">
        <v>266</v>
      </c>
      <c r="D38" s="33" t="s">
        <v>268</v>
      </c>
      <c r="E38" t="s">
        <v>499</v>
      </c>
      <c r="F38" t="s">
        <v>611</v>
      </c>
      <c r="G38" t="s">
        <v>551</v>
      </c>
      <c r="H38" t="s">
        <v>630</v>
      </c>
      <c r="I38" t="s">
        <v>631</v>
      </c>
      <c r="J38">
        <v>1</v>
      </c>
      <c r="K38" t="s">
        <v>566</v>
      </c>
      <c r="L38">
        <v>4.7</v>
      </c>
      <c r="M38">
        <f t="shared" si="0"/>
        <v>4.7</v>
      </c>
    </row>
    <row r="39" spans="2:13">
      <c r="B39">
        <v>43</v>
      </c>
      <c r="C39" s="33" t="s">
        <v>266</v>
      </c>
      <c r="D39" s="33" t="s">
        <v>268</v>
      </c>
      <c r="E39" t="s">
        <v>499</v>
      </c>
      <c r="F39" t="s">
        <v>611</v>
      </c>
      <c r="G39" t="s">
        <v>621</v>
      </c>
      <c r="H39" t="s">
        <v>632</v>
      </c>
      <c r="I39" t="s">
        <v>633</v>
      </c>
      <c r="J39">
        <v>1</v>
      </c>
      <c r="K39" t="s">
        <v>601</v>
      </c>
      <c r="L39">
        <v>370</v>
      </c>
      <c r="M39">
        <f t="shared" si="0"/>
        <v>370</v>
      </c>
    </row>
    <row r="40" spans="2:13">
      <c r="B40">
        <v>44</v>
      </c>
      <c r="C40" s="33" t="s">
        <v>266</v>
      </c>
      <c r="D40" s="33" t="s">
        <v>268</v>
      </c>
      <c r="E40" t="s">
        <v>499</v>
      </c>
      <c r="F40" t="s">
        <v>611</v>
      </c>
      <c r="G40" t="s">
        <v>621</v>
      </c>
      <c r="H40" t="s">
        <v>634</v>
      </c>
      <c r="I40" t="s">
        <v>635</v>
      </c>
      <c r="J40">
        <v>1</v>
      </c>
      <c r="K40" t="s">
        <v>554</v>
      </c>
      <c r="L40">
        <v>39.5</v>
      </c>
      <c r="M40">
        <f t="shared" si="0"/>
        <v>39.5</v>
      </c>
    </row>
    <row r="41" spans="2:13">
      <c r="B41">
        <v>46</v>
      </c>
      <c r="C41" s="33" t="s">
        <v>266</v>
      </c>
      <c r="D41" s="33" t="s">
        <v>268</v>
      </c>
      <c r="E41" t="s">
        <v>499</v>
      </c>
      <c r="F41" t="s">
        <v>611</v>
      </c>
      <c r="G41" t="s">
        <v>583</v>
      </c>
      <c r="H41" t="s">
        <v>636</v>
      </c>
      <c r="I41" t="s">
        <v>637</v>
      </c>
      <c r="J41">
        <v>1</v>
      </c>
      <c r="K41" t="s">
        <v>554</v>
      </c>
      <c r="L41">
        <v>41</v>
      </c>
      <c r="M41">
        <f t="shared" si="0"/>
        <v>41</v>
      </c>
    </row>
    <row r="42" spans="2:13">
      <c r="B42">
        <v>47</v>
      </c>
      <c r="C42" s="33" t="s">
        <v>266</v>
      </c>
      <c r="D42" s="33" t="s">
        <v>268</v>
      </c>
      <c r="E42" t="s">
        <v>499</v>
      </c>
      <c r="F42" t="s">
        <v>611</v>
      </c>
      <c r="G42" t="s">
        <v>621</v>
      </c>
      <c r="H42" t="s">
        <v>638</v>
      </c>
      <c r="I42" t="s">
        <v>639</v>
      </c>
      <c r="J42">
        <v>1</v>
      </c>
      <c r="K42" t="s">
        <v>554</v>
      </c>
      <c r="L42">
        <v>17.2</v>
      </c>
      <c r="M42">
        <f t="shared" si="0"/>
        <v>17.2</v>
      </c>
    </row>
    <row r="43" spans="2:13">
      <c r="B43">
        <v>47</v>
      </c>
      <c r="C43" s="33" t="s">
        <v>266</v>
      </c>
      <c r="D43" s="33" t="s">
        <v>268</v>
      </c>
      <c r="E43" t="s">
        <v>500</v>
      </c>
      <c r="F43" t="s">
        <v>543</v>
      </c>
      <c r="G43" t="s">
        <v>544</v>
      </c>
      <c r="H43" t="s">
        <v>545</v>
      </c>
      <c r="I43" t="s">
        <v>546</v>
      </c>
      <c r="J43">
        <v>1</v>
      </c>
      <c r="K43" t="s">
        <v>547</v>
      </c>
      <c r="L43">
        <v>920</v>
      </c>
      <c r="M43">
        <f t="shared" si="0"/>
        <v>920</v>
      </c>
    </row>
    <row r="44" spans="2:13">
      <c r="B44">
        <v>1</v>
      </c>
      <c r="C44" s="33" t="s">
        <v>266</v>
      </c>
      <c r="D44" s="33" t="s">
        <v>268</v>
      </c>
      <c r="E44" t="s">
        <v>500</v>
      </c>
      <c r="F44" t="s">
        <v>543</v>
      </c>
      <c r="G44" t="s">
        <v>544</v>
      </c>
      <c r="H44" t="s">
        <v>548</v>
      </c>
      <c r="I44" t="s">
        <v>549</v>
      </c>
      <c r="J44">
        <v>1</v>
      </c>
      <c r="K44" t="s">
        <v>550</v>
      </c>
      <c r="L44">
        <v>380</v>
      </c>
      <c r="M44">
        <f t="shared" si="0"/>
        <v>380</v>
      </c>
    </row>
    <row r="45" spans="2:13">
      <c r="B45">
        <v>2</v>
      </c>
      <c r="C45" s="33" t="s">
        <v>266</v>
      </c>
      <c r="D45" s="33" t="s">
        <v>268</v>
      </c>
      <c r="E45" t="s">
        <v>500</v>
      </c>
      <c r="F45" t="s">
        <v>543</v>
      </c>
      <c r="G45" t="s">
        <v>551</v>
      </c>
      <c r="H45" t="s">
        <v>552</v>
      </c>
      <c r="I45" t="s">
        <v>553</v>
      </c>
      <c r="J45">
        <v>1</v>
      </c>
      <c r="K45" t="s">
        <v>554</v>
      </c>
      <c r="L45">
        <v>14</v>
      </c>
      <c r="M45">
        <f t="shared" si="0"/>
        <v>14</v>
      </c>
    </row>
    <row r="46" spans="2:13">
      <c r="B46">
        <v>3</v>
      </c>
      <c r="C46" s="33" t="s">
        <v>266</v>
      </c>
      <c r="D46" s="33" t="s">
        <v>268</v>
      </c>
      <c r="E46" t="s">
        <v>500</v>
      </c>
      <c r="F46" t="s">
        <v>543</v>
      </c>
      <c r="G46" t="s">
        <v>551</v>
      </c>
      <c r="H46" t="s">
        <v>555</v>
      </c>
      <c r="I46" t="s">
        <v>556</v>
      </c>
      <c r="J46">
        <v>1</v>
      </c>
      <c r="K46" t="s">
        <v>554</v>
      </c>
      <c r="L46">
        <v>33</v>
      </c>
      <c r="M46">
        <f t="shared" si="0"/>
        <v>33</v>
      </c>
    </row>
    <row r="47" spans="2:13">
      <c r="B47">
        <v>4</v>
      </c>
      <c r="C47" s="33" t="s">
        <v>266</v>
      </c>
      <c r="D47" s="33" t="s">
        <v>268</v>
      </c>
      <c r="E47" t="s">
        <v>500</v>
      </c>
      <c r="F47" t="s">
        <v>557</v>
      </c>
      <c r="G47" t="s">
        <v>558</v>
      </c>
      <c r="H47" t="s">
        <v>559</v>
      </c>
      <c r="I47" t="s">
        <v>560</v>
      </c>
      <c r="J47">
        <v>1</v>
      </c>
      <c r="K47" t="s">
        <v>554</v>
      </c>
      <c r="L47">
        <v>0</v>
      </c>
      <c r="M47">
        <f t="shared" si="0"/>
        <v>0</v>
      </c>
    </row>
    <row r="48" spans="2:13">
      <c r="B48">
        <v>5</v>
      </c>
      <c r="C48" s="33" t="s">
        <v>266</v>
      </c>
      <c r="D48" s="33" t="s">
        <v>268</v>
      </c>
      <c r="E48" t="s">
        <v>500</v>
      </c>
      <c r="F48" t="s">
        <v>557</v>
      </c>
      <c r="G48" t="s">
        <v>561</v>
      </c>
      <c r="H48" t="s">
        <v>562</v>
      </c>
      <c r="I48" t="s">
        <v>563</v>
      </c>
      <c r="J48">
        <v>1</v>
      </c>
      <c r="K48" t="s">
        <v>554</v>
      </c>
      <c r="L48">
        <v>13.38</v>
      </c>
      <c r="M48">
        <f t="shared" si="0"/>
        <v>13.38</v>
      </c>
    </row>
    <row r="49" spans="2:13">
      <c r="B49">
        <v>6</v>
      </c>
      <c r="C49" s="33" t="s">
        <v>266</v>
      </c>
      <c r="D49" s="33" t="s">
        <v>268</v>
      </c>
      <c r="E49" t="s">
        <v>500</v>
      </c>
      <c r="F49" t="s">
        <v>557</v>
      </c>
      <c r="G49" t="s">
        <v>561</v>
      </c>
      <c r="H49" t="s">
        <v>564</v>
      </c>
      <c r="I49" t="s">
        <v>565</v>
      </c>
      <c r="J49">
        <v>1</v>
      </c>
      <c r="K49" t="s">
        <v>566</v>
      </c>
      <c r="L49">
        <v>26.93</v>
      </c>
      <c r="M49">
        <f t="shared" si="0"/>
        <v>26.93</v>
      </c>
    </row>
    <row r="50" spans="2:13">
      <c r="B50">
        <v>27</v>
      </c>
      <c r="C50" s="33" t="s">
        <v>266</v>
      </c>
      <c r="D50" s="33" t="s">
        <v>268</v>
      </c>
      <c r="E50" t="s">
        <v>500</v>
      </c>
      <c r="F50" t="s">
        <v>557</v>
      </c>
      <c r="G50" t="s">
        <v>561</v>
      </c>
      <c r="H50" t="s">
        <v>567</v>
      </c>
      <c r="I50" t="s">
        <v>568</v>
      </c>
      <c r="J50">
        <v>1</v>
      </c>
      <c r="K50" t="s">
        <v>566</v>
      </c>
      <c r="L50">
        <v>23.77</v>
      </c>
      <c r="M50">
        <f t="shared" si="0"/>
        <v>23.77</v>
      </c>
    </row>
    <row r="51" spans="2:13">
      <c r="B51">
        <v>27</v>
      </c>
      <c r="C51" s="33" t="s">
        <v>266</v>
      </c>
      <c r="D51" s="33" t="s">
        <v>268</v>
      </c>
      <c r="E51" t="s">
        <v>500</v>
      </c>
      <c r="F51" t="s">
        <v>557</v>
      </c>
      <c r="G51" t="s">
        <v>561</v>
      </c>
      <c r="H51" t="s">
        <v>569</v>
      </c>
      <c r="I51" t="s">
        <v>570</v>
      </c>
      <c r="J51">
        <v>1</v>
      </c>
      <c r="K51" t="s">
        <v>554</v>
      </c>
      <c r="L51">
        <v>47.7</v>
      </c>
      <c r="M51">
        <f t="shared" si="0"/>
        <v>47.7</v>
      </c>
    </row>
    <row r="52" spans="2:13">
      <c r="B52">
        <v>27</v>
      </c>
      <c r="C52" s="33" t="s">
        <v>266</v>
      </c>
      <c r="D52" s="33" t="s">
        <v>268</v>
      </c>
      <c r="E52" t="s">
        <v>500</v>
      </c>
      <c r="F52" t="s">
        <v>557</v>
      </c>
      <c r="G52" t="s">
        <v>571</v>
      </c>
      <c r="H52" t="s">
        <v>572</v>
      </c>
      <c r="I52" t="s">
        <v>573</v>
      </c>
      <c r="J52">
        <v>1</v>
      </c>
      <c r="K52" t="s">
        <v>554</v>
      </c>
      <c r="L52">
        <v>1680</v>
      </c>
      <c r="M52">
        <f t="shared" si="0"/>
        <v>1680</v>
      </c>
    </row>
    <row r="53" spans="2:13">
      <c r="B53">
        <v>10</v>
      </c>
      <c r="C53" s="33" t="s">
        <v>266</v>
      </c>
      <c r="D53" s="33" t="s">
        <v>268</v>
      </c>
      <c r="E53" t="s">
        <v>500</v>
      </c>
      <c r="F53" t="s">
        <v>557</v>
      </c>
      <c r="G53" t="s">
        <v>571</v>
      </c>
      <c r="H53" t="s">
        <v>574</v>
      </c>
      <c r="I53" t="s">
        <v>575</v>
      </c>
      <c r="J53">
        <v>1</v>
      </c>
      <c r="K53" t="s">
        <v>554</v>
      </c>
      <c r="L53">
        <v>10</v>
      </c>
      <c r="M53">
        <f t="shared" si="0"/>
        <v>10</v>
      </c>
    </row>
    <row r="54" spans="2:13">
      <c r="B54">
        <v>11</v>
      </c>
      <c r="C54" s="33" t="s">
        <v>266</v>
      </c>
      <c r="D54" s="33" t="s">
        <v>268</v>
      </c>
      <c r="E54" t="s">
        <v>500</v>
      </c>
      <c r="F54" t="s">
        <v>557</v>
      </c>
      <c r="G54" t="s">
        <v>576</v>
      </c>
      <c r="H54" t="s">
        <v>577</v>
      </c>
      <c r="I54" t="s">
        <v>578</v>
      </c>
      <c r="J54">
        <v>1</v>
      </c>
      <c r="K54" t="s">
        <v>554</v>
      </c>
      <c r="L54">
        <v>93</v>
      </c>
      <c r="M54">
        <f t="shared" si="0"/>
        <v>93</v>
      </c>
    </row>
    <row r="55" spans="2:13">
      <c r="B55">
        <v>12</v>
      </c>
      <c r="C55" s="33" t="s">
        <v>266</v>
      </c>
      <c r="D55" s="33" t="s">
        <v>268</v>
      </c>
      <c r="E55" t="s">
        <v>500</v>
      </c>
      <c r="F55" t="s">
        <v>557</v>
      </c>
      <c r="G55" t="s">
        <v>558</v>
      </c>
      <c r="H55" t="s">
        <v>581</v>
      </c>
      <c r="I55" t="s">
        <v>582</v>
      </c>
      <c r="J55">
        <v>1</v>
      </c>
      <c r="K55" t="s">
        <v>554</v>
      </c>
      <c r="L55">
        <v>84</v>
      </c>
      <c r="M55">
        <f t="shared" si="0"/>
        <v>84</v>
      </c>
    </row>
    <row r="56" spans="2:13">
      <c r="B56">
        <v>13</v>
      </c>
      <c r="C56" s="33" t="s">
        <v>266</v>
      </c>
      <c r="D56" s="33" t="s">
        <v>268</v>
      </c>
      <c r="E56" t="s">
        <v>500</v>
      </c>
      <c r="F56" t="s">
        <v>557</v>
      </c>
      <c r="G56" t="s">
        <v>583</v>
      </c>
      <c r="H56" t="s">
        <v>584</v>
      </c>
      <c r="I56" t="s">
        <v>585</v>
      </c>
      <c r="J56">
        <v>1</v>
      </c>
      <c r="K56" t="s">
        <v>554</v>
      </c>
      <c r="L56">
        <v>165</v>
      </c>
      <c r="M56">
        <f t="shared" si="0"/>
        <v>165</v>
      </c>
    </row>
    <row r="57" spans="2:13">
      <c r="B57">
        <v>14</v>
      </c>
      <c r="C57" s="33" t="s">
        <v>266</v>
      </c>
      <c r="D57" s="33" t="s">
        <v>268</v>
      </c>
      <c r="E57" t="s">
        <v>500</v>
      </c>
      <c r="F57" t="s">
        <v>557</v>
      </c>
      <c r="G57" t="s">
        <v>561</v>
      </c>
      <c r="H57" t="s">
        <v>586</v>
      </c>
      <c r="I57" t="s">
        <v>587</v>
      </c>
      <c r="J57">
        <v>1</v>
      </c>
      <c r="K57" t="s">
        <v>554</v>
      </c>
      <c r="L57">
        <v>43</v>
      </c>
      <c r="M57">
        <f t="shared" si="0"/>
        <v>43</v>
      </c>
    </row>
    <row r="58" spans="2:13">
      <c r="B58">
        <v>15</v>
      </c>
      <c r="C58" s="33" t="s">
        <v>266</v>
      </c>
      <c r="D58" s="33" t="s">
        <v>268</v>
      </c>
      <c r="E58" t="s">
        <v>500</v>
      </c>
      <c r="F58" t="s">
        <v>557</v>
      </c>
      <c r="G58" t="s">
        <v>588</v>
      </c>
      <c r="H58" t="s">
        <v>589</v>
      </c>
      <c r="I58" t="s">
        <v>590</v>
      </c>
      <c r="J58">
        <v>1</v>
      </c>
      <c r="K58" t="s">
        <v>554</v>
      </c>
      <c r="L58">
        <v>425</v>
      </c>
      <c r="M58">
        <f t="shared" si="0"/>
        <v>425</v>
      </c>
    </row>
    <row r="59" spans="2:13">
      <c r="B59">
        <v>16</v>
      </c>
      <c r="C59" s="33" t="s">
        <v>266</v>
      </c>
      <c r="D59" s="33" t="s">
        <v>268</v>
      </c>
      <c r="E59" t="s">
        <v>500</v>
      </c>
      <c r="F59" t="s">
        <v>557</v>
      </c>
      <c r="G59" t="s">
        <v>561</v>
      </c>
      <c r="H59" t="s">
        <v>591</v>
      </c>
      <c r="I59" t="s">
        <v>592</v>
      </c>
      <c r="J59">
        <v>1</v>
      </c>
      <c r="K59" t="s">
        <v>554</v>
      </c>
      <c r="L59">
        <v>77</v>
      </c>
      <c r="M59">
        <f t="shared" si="0"/>
        <v>77</v>
      </c>
    </row>
    <row r="60" spans="2:13">
      <c r="B60">
        <v>17</v>
      </c>
      <c r="C60" s="33" t="s">
        <v>266</v>
      </c>
      <c r="D60" s="33" t="s">
        <v>268</v>
      </c>
      <c r="E60" t="s">
        <v>500</v>
      </c>
      <c r="F60" t="s">
        <v>557</v>
      </c>
      <c r="G60" t="s">
        <v>544</v>
      </c>
      <c r="H60" t="s">
        <v>593</v>
      </c>
      <c r="I60" t="s">
        <v>594</v>
      </c>
      <c r="J60">
        <v>1</v>
      </c>
      <c r="K60" t="s">
        <v>595</v>
      </c>
      <c r="L60">
        <v>415</v>
      </c>
      <c r="M60">
        <f t="shared" si="0"/>
        <v>415</v>
      </c>
    </row>
    <row r="61" spans="2:13">
      <c r="B61">
        <v>18</v>
      </c>
      <c r="C61" s="33" t="s">
        <v>266</v>
      </c>
      <c r="D61" s="33" t="s">
        <v>268</v>
      </c>
      <c r="E61" t="s">
        <v>500</v>
      </c>
      <c r="F61" t="s">
        <v>557</v>
      </c>
      <c r="G61" t="s">
        <v>596</v>
      </c>
      <c r="H61" t="s">
        <v>597</v>
      </c>
      <c r="I61" t="s">
        <v>598</v>
      </c>
      <c r="J61">
        <v>1</v>
      </c>
      <c r="K61" t="s">
        <v>599</v>
      </c>
      <c r="L61">
        <v>53</v>
      </c>
      <c r="M61">
        <f t="shared" si="0"/>
        <v>53</v>
      </c>
    </row>
    <row r="62" spans="2:13">
      <c r="B62">
        <v>33</v>
      </c>
      <c r="C62" s="33" t="s">
        <v>266</v>
      </c>
      <c r="D62" s="33" t="s">
        <v>268</v>
      </c>
      <c r="E62" t="s">
        <v>500</v>
      </c>
      <c r="F62" t="s">
        <v>557</v>
      </c>
      <c r="G62" t="s">
        <v>561</v>
      </c>
      <c r="H62" t="s">
        <v>481</v>
      </c>
      <c r="I62" t="s">
        <v>600</v>
      </c>
      <c r="J62">
        <v>1</v>
      </c>
      <c r="K62" t="s">
        <v>601</v>
      </c>
      <c r="L62">
        <v>44.38</v>
      </c>
      <c r="M62">
        <f t="shared" si="0"/>
        <v>44.38</v>
      </c>
    </row>
    <row r="63" spans="2:13">
      <c r="B63">
        <v>19</v>
      </c>
      <c r="C63" s="33" t="s">
        <v>266</v>
      </c>
      <c r="D63" s="33" t="s">
        <v>268</v>
      </c>
      <c r="E63" t="s">
        <v>500</v>
      </c>
      <c r="F63" t="s">
        <v>557</v>
      </c>
      <c r="G63" t="s">
        <v>571</v>
      </c>
      <c r="H63" t="s">
        <v>602</v>
      </c>
      <c r="I63" t="s">
        <v>603</v>
      </c>
      <c r="J63">
        <v>1</v>
      </c>
      <c r="K63" t="s">
        <v>604</v>
      </c>
      <c r="L63">
        <v>48.27</v>
      </c>
      <c r="M63">
        <f t="shared" si="0"/>
        <v>48.27</v>
      </c>
    </row>
    <row r="64" spans="2:13">
      <c r="B64">
        <v>19</v>
      </c>
      <c r="C64" s="33" t="s">
        <v>266</v>
      </c>
      <c r="D64" s="33" t="s">
        <v>268</v>
      </c>
      <c r="E64" t="s">
        <v>500</v>
      </c>
      <c r="F64" t="s">
        <v>557</v>
      </c>
      <c r="G64" t="s">
        <v>561</v>
      </c>
      <c r="H64" t="s">
        <v>482</v>
      </c>
      <c r="I64" t="s">
        <v>605</v>
      </c>
      <c r="J64">
        <v>1</v>
      </c>
      <c r="K64" t="s">
        <v>566</v>
      </c>
      <c r="L64">
        <v>15.82</v>
      </c>
      <c r="M64">
        <f t="shared" si="0"/>
        <v>15.82</v>
      </c>
    </row>
    <row r="65" spans="2:13">
      <c r="B65">
        <v>20</v>
      </c>
      <c r="C65" s="33" t="s">
        <v>266</v>
      </c>
      <c r="D65" s="33" t="s">
        <v>268</v>
      </c>
      <c r="E65" t="s">
        <v>500</v>
      </c>
      <c r="F65" t="s">
        <v>557</v>
      </c>
      <c r="G65" t="s">
        <v>561</v>
      </c>
      <c r="H65" t="s">
        <v>606</v>
      </c>
      <c r="I65" t="s">
        <v>607</v>
      </c>
      <c r="J65">
        <v>1</v>
      </c>
      <c r="K65" t="s">
        <v>550</v>
      </c>
      <c r="L65">
        <v>4.29</v>
      </c>
      <c r="M65">
        <f t="shared" si="0"/>
        <v>4.29</v>
      </c>
    </row>
    <row r="66" spans="2:13">
      <c r="B66">
        <v>24</v>
      </c>
      <c r="C66" s="33" t="s">
        <v>266</v>
      </c>
      <c r="D66" s="33" t="s">
        <v>268</v>
      </c>
      <c r="E66" t="s">
        <v>500</v>
      </c>
      <c r="F66" t="s">
        <v>557</v>
      </c>
      <c r="G66" t="s">
        <v>561</v>
      </c>
      <c r="H66" t="s">
        <v>608</v>
      </c>
      <c r="I66" t="s">
        <v>609</v>
      </c>
      <c r="J66">
        <v>1</v>
      </c>
      <c r="K66" t="s">
        <v>610</v>
      </c>
      <c r="L66">
        <v>58</v>
      </c>
      <c r="M66">
        <f t="shared" si="0"/>
        <v>58</v>
      </c>
    </row>
    <row r="67" spans="2:13">
      <c r="B67">
        <v>26</v>
      </c>
      <c r="C67" s="33" t="s">
        <v>266</v>
      </c>
      <c r="D67" s="33" t="s">
        <v>268</v>
      </c>
      <c r="E67" t="s">
        <v>500</v>
      </c>
      <c r="F67" t="s">
        <v>611</v>
      </c>
      <c r="G67" t="s">
        <v>544</v>
      </c>
      <c r="H67" t="s">
        <v>612</v>
      </c>
      <c r="I67" t="s">
        <v>613</v>
      </c>
      <c r="J67">
        <v>1</v>
      </c>
      <c r="K67" t="s">
        <v>595</v>
      </c>
      <c r="L67">
        <v>290</v>
      </c>
      <c r="M67">
        <f t="shared" si="0"/>
        <v>290</v>
      </c>
    </row>
    <row r="68" spans="2:13">
      <c r="B68">
        <v>27</v>
      </c>
      <c r="C68" s="33" t="s">
        <v>266</v>
      </c>
      <c r="D68" s="33" t="s">
        <v>268</v>
      </c>
      <c r="E68" t="s">
        <v>500</v>
      </c>
      <c r="F68" t="s">
        <v>611</v>
      </c>
      <c r="G68" t="s">
        <v>571</v>
      </c>
      <c r="H68" t="s">
        <v>614</v>
      </c>
      <c r="I68" t="s">
        <v>615</v>
      </c>
      <c r="J68">
        <v>1</v>
      </c>
      <c r="K68" t="s">
        <v>554</v>
      </c>
      <c r="L68">
        <v>100</v>
      </c>
      <c r="M68">
        <f t="shared" si="0"/>
        <v>100</v>
      </c>
    </row>
    <row r="69" spans="2:13">
      <c r="B69">
        <v>33</v>
      </c>
      <c r="C69" s="33" t="s">
        <v>266</v>
      </c>
      <c r="D69" s="33" t="s">
        <v>268</v>
      </c>
      <c r="E69" t="s">
        <v>500</v>
      </c>
      <c r="F69" t="s">
        <v>611</v>
      </c>
      <c r="G69" t="s">
        <v>561</v>
      </c>
      <c r="H69" t="s">
        <v>616</v>
      </c>
      <c r="I69" t="s">
        <v>617</v>
      </c>
      <c r="J69">
        <v>1</v>
      </c>
      <c r="K69" t="s">
        <v>618</v>
      </c>
      <c r="L69">
        <v>55</v>
      </c>
      <c r="M69">
        <f t="shared" ref="M69:M132" si="1">J69*L69</f>
        <v>55</v>
      </c>
    </row>
    <row r="70" spans="2:13">
      <c r="B70">
        <v>39</v>
      </c>
      <c r="C70" s="33" t="s">
        <v>266</v>
      </c>
      <c r="D70" s="33" t="s">
        <v>268</v>
      </c>
      <c r="E70" t="s">
        <v>500</v>
      </c>
      <c r="F70" t="s">
        <v>611</v>
      </c>
      <c r="G70" t="s">
        <v>576</v>
      </c>
      <c r="H70" t="s">
        <v>619</v>
      </c>
      <c r="I70" t="s">
        <v>620</v>
      </c>
      <c r="J70">
        <v>1</v>
      </c>
      <c r="K70" t="s">
        <v>554</v>
      </c>
      <c r="L70">
        <v>66.26</v>
      </c>
      <c r="M70">
        <f t="shared" si="1"/>
        <v>66.26</v>
      </c>
    </row>
    <row r="71" spans="2:13">
      <c r="B71">
        <v>45</v>
      </c>
      <c r="C71" s="33" t="s">
        <v>266</v>
      </c>
      <c r="D71" s="33" t="s">
        <v>268</v>
      </c>
      <c r="E71" t="s">
        <v>500</v>
      </c>
      <c r="F71" t="s">
        <v>611</v>
      </c>
      <c r="G71" t="s">
        <v>621</v>
      </c>
      <c r="H71" t="s">
        <v>622</v>
      </c>
      <c r="I71" t="s">
        <v>623</v>
      </c>
      <c r="J71">
        <v>1</v>
      </c>
      <c r="K71" t="s">
        <v>554</v>
      </c>
      <c r="L71">
        <v>101</v>
      </c>
      <c r="M71">
        <f t="shared" si="1"/>
        <v>101</v>
      </c>
    </row>
    <row r="72" spans="2:13">
      <c r="B72">
        <v>35</v>
      </c>
      <c r="C72" s="33" t="s">
        <v>266</v>
      </c>
      <c r="D72" s="33" t="s">
        <v>268</v>
      </c>
      <c r="E72" t="s">
        <v>500</v>
      </c>
      <c r="F72" t="s">
        <v>611</v>
      </c>
      <c r="G72" t="s">
        <v>621</v>
      </c>
      <c r="H72" t="s">
        <v>624</v>
      </c>
      <c r="I72" t="s">
        <v>625</v>
      </c>
      <c r="J72">
        <v>1</v>
      </c>
      <c r="K72" t="s">
        <v>554</v>
      </c>
      <c r="L72">
        <v>418</v>
      </c>
      <c r="M72">
        <f t="shared" si="1"/>
        <v>418</v>
      </c>
    </row>
    <row r="73" spans="2:13">
      <c r="B73">
        <v>37</v>
      </c>
      <c r="C73" s="33" t="s">
        <v>266</v>
      </c>
      <c r="D73" s="33" t="s">
        <v>268</v>
      </c>
      <c r="E73" t="s">
        <v>500</v>
      </c>
      <c r="F73" t="s">
        <v>611</v>
      </c>
      <c r="G73" t="s">
        <v>621</v>
      </c>
      <c r="H73" t="s">
        <v>626</v>
      </c>
      <c r="I73" t="s">
        <v>627</v>
      </c>
      <c r="J73">
        <v>1</v>
      </c>
      <c r="K73" t="s">
        <v>554</v>
      </c>
      <c r="L73">
        <v>37</v>
      </c>
      <c r="M73">
        <f t="shared" si="1"/>
        <v>37</v>
      </c>
    </row>
    <row r="74" spans="2:13">
      <c r="B74">
        <v>38</v>
      </c>
      <c r="C74" s="33" t="s">
        <v>266</v>
      </c>
      <c r="D74" s="33" t="s">
        <v>268</v>
      </c>
      <c r="E74" t="s">
        <v>500</v>
      </c>
      <c r="F74" t="s">
        <v>611</v>
      </c>
      <c r="G74" t="s">
        <v>571</v>
      </c>
      <c r="H74" t="s">
        <v>628</v>
      </c>
      <c r="I74" t="s">
        <v>629</v>
      </c>
      <c r="J74">
        <v>1</v>
      </c>
      <c r="K74" t="s">
        <v>604</v>
      </c>
      <c r="L74">
        <v>370</v>
      </c>
      <c r="M74">
        <f t="shared" si="1"/>
        <v>370</v>
      </c>
    </row>
    <row r="75" spans="2:13">
      <c r="B75">
        <v>39</v>
      </c>
      <c r="C75" s="33" t="s">
        <v>266</v>
      </c>
      <c r="D75" s="33" t="s">
        <v>268</v>
      </c>
      <c r="E75" t="s">
        <v>500</v>
      </c>
      <c r="F75" t="s">
        <v>611</v>
      </c>
      <c r="G75" t="s">
        <v>551</v>
      </c>
      <c r="H75" t="s">
        <v>630</v>
      </c>
      <c r="I75" t="s">
        <v>631</v>
      </c>
      <c r="J75">
        <v>1</v>
      </c>
      <c r="K75" t="s">
        <v>566</v>
      </c>
      <c r="L75">
        <v>4.7</v>
      </c>
      <c r="M75">
        <f t="shared" si="1"/>
        <v>4.7</v>
      </c>
    </row>
    <row r="76" spans="2:13">
      <c r="B76">
        <v>40</v>
      </c>
      <c r="C76" s="33" t="s">
        <v>266</v>
      </c>
      <c r="D76" s="33" t="s">
        <v>268</v>
      </c>
      <c r="E76" t="s">
        <v>500</v>
      </c>
      <c r="F76" t="s">
        <v>611</v>
      </c>
      <c r="G76" t="s">
        <v>621</v>
      </c>
      <c r="H76" t="s">
        <v>632</v>
      </c>
      <c r="I76" t="s">
        <v>633</v>
      </c>
      <c r="J76">
        <v>1</v>
      </c>
      <c r="K76" t="s">
        <v>601</v>
      </c>
      <c r="L76">
        <v>370</v>
      </c>
      <c r="M76">
        <f t="shared" si="1"/>
        <v>370</v>
      </c>
    </row>
    <row r="77" spans="2:13">
      <c r="B77">
        <v>41</v>
      </c>
      <c r="C77" s="33" t="s">
        <v>266</v>
      </c>
      <c r="D77" s="33" t="s">
        <v>268</v>
      </c>
      <c r="E77" t="s">
        <v>500</v>
      </c>
      <c r="F77" t="s">
        <v>611</v>
      </c>
      <c r="G77" t="s">
        <v>621</v>
      </c>
      <c r="H77" t="s">
        <v>634</v>
      </c>
      <c r="I77" t="s">
        <v>635</v>
      </c>
      <c r="J77">
        <v>1</v>
      </c>
      <c r="K77" t="s">
        <v>554</v>
      </c>
      <c r="L77">
        <v>39.5</v>
      </c>
      <c r="M77">
        <f t="shared" si="1"/>
        <v>39.5</v>
      </c>
    </row>
    <row r="78" spans="2:13">
      <c r="B78">
        <v>42</v>
      </c>
      <c r="C78" s="33" t="s">
        <v>266</v>
      </c>
      <c r="D78" s="33" t="s">
        <v>268</v>
      </c>
      <c r="E78" t="s">
        <v>500</v>
      </c>
      <c r="F78" t="s">
        <v>611</v>
      </c>
      <c r="G78" t="s">
        <v>583</v>
      </c>
      <c r="H78" t="s">
        <v>636</v>
      </c>
      <c r="I78" t="s">
        <v>637</v>
      </c>
      <c r="J78">
        <v>1</v>
      </c>
      <c r="K78" t="s">
        <v>554</v>
      </c>
      <c r="L78">
        <v>41</v>
      </c>
      <c r="M78">
        <f t="shared" si="1"/>
        <v>41</v>
      </c>
    </row>
    <row r="79" spans="2:13">
      <c r="B79">
        <v>43</v>
      </c>
      <c r="C79" s="33" t="s">
        <v>266</v>
      </c>
      <c r="D79" s="33" t="s">
        <v>268</v>
      </c>
      <c r="E79" t="s">
        <v>500</v>
      </c>
      <c r="F79" t="s">
        <v>611</v>
      </c>
      <c r="G79" t="s">
        <v>621</v>
      </c>
      <c r="H79" t="s">
        <v>638</v>
      </c>
      <c r="I79" t="s">
        <v>639</v>
      </c>
      <c r="J79">
        <v>1</v>
      </c>
      <c r="K79" t="s">
        <v>554</v>
      </c>
      <c r="L79">
        <v>17.2</v>
      </c>
      <c r="M79">
        <f t="shared" si="1"/>
        <v>17.2</v>
      </c>
    </row>
    <row r="80" spans="2:13">
      <c r="B80">
        <v>44</v>
      </c>
      <c r="C80" s="33" t="s">
        <v>266</v>
      </c>
      <c r="D80" s="33" t="s">
        <v>268</v>
      </c>
      <c r="E80" t="s">
        <v>501</v>
      </c>
      <c r="F80" t="s">
        <v>543</v>
      </c>
      <c r="G80" t="s">
        <v>544</v>
      </c>
      <c r="H80" t="s">
        <v>545</v>
      </c>
      <c r="I80" t="s">
        <v>546</v>
      </c>
      <c r="J80">
        <v>1</v>
      </c>
      <c r="K80" t="s">
        <v>547</v>
      </c>
      <c r="L80">
        <v>920</v>
      </c>
      <c r="M80">
        <f t="shared" si="1"/>
        <v>920</v>
      </c>
    </row>
    <row r="81" spans="2:13">
      <c r="B81">
        <v>45</v>
      </c>
      <c r="C81" s="33" t="s">
        <v>266</v>
      </c>
      <c r="D81" s="33" t="s">
        <v>268</v>
      </c>
      <c r="E81" t="s">
        <v>501</v>
      </c>
      <c r="F81" t="s">
        <v>543</v>
      </c>
      <c r="G81" t="s">
        <v>544</v>
      </c>
      <c r="H81" t="s">
        <v>548</v>
      </c>
      <c r="I81" t="s">
        <v>549</v>
      </c>
      <c r="J81">
        <v>1</v>
      </c>
      <c r="K81" t="s">
        <v>550</v>
      </c>
      <c r="L81">
        <v>380</v>
      </c>
      <c r="M81">
        <f t="shared" si="1"/>
        <v>380</v>
      </c>
    </row>
    <row r="82" spans="2:13">
      <c r="B82">
        <v>46</v>
      </c>
      <c r="C82" s="33" t="s">
        <v>266</v>
      </c>
      <c r="D82" s="33" t="s">
        <v>268</v>
      </c>
      <c r="E82" t="s">
        <v>501</v>
      </c>
      <c r="F82" t="s">
        <v>543</v>
      </c>
      <c r="G82" t="s">
        <v>551</v>
      </c>
      <c r="H82" t="s">
        <v>552</v>
      </c>
      <c r="I82" t="s">
        <v>553</v>
      </c>
      <c r="J82">
        <v>1</v>
      </c>
      <c r="K82" t="s">
        <v>554</v>
      </c>
      <c r="L82">
        <v>14</v>
      </c>
      <c r="M82">
        <f t="shared" si="1"/>
        <v>14</v>
      </c>
    </row>
    <row r="83" spans="2:13">
      <c r="B83">
        <v>47</v>
      </c>
      <c r="C83" s="33" t="s">
        <v>266</v>
      </c>
      <c r="D83" s="33" t="s">
        <v>268</v>
      </c>
      <c r="E83" t="s">
        <v>501</v>
      </c>
      <c r="F83" t="s">
        <v>543</v>
      </c>
      <c r="G83" t="s">
        <v>551</v>
      </c>
      <c r="H83" t="s">
        <v>555</v>
      </c>
      <c r="I83" t="s">
        <v>556</v>
      </c>
      <c r="J83">
        <v>1</v>
      </c>
      <c r="K83" t="s">
        <v>554</v>
      </c>
      <c r="L83">
        <v>33</v>
      </c>
      <c r="M83">
        <f t="shared" si="1"/>
        <v>33</v>
      </c>
    </row>
    <row r="84" spans="2:13">
      <c r="B84">
        <v>1</v>
      </c>
      <c r="C84" s="33" t="s">
        <v>266</v>
      </c>
      <c r="D84" s="33" t="s">
        <v>268</v>
      </c>
      <c r="E84" t="s">
        <v>501</v>
      </c>
      <c r="F84" t="s">
        <v>557</v>
      </c>
      <c r="G84" t="s">
        <v>558</v>
      </c>
      <c r="H84" t="s">
        <v>559</v>
      </c>
      <c r="I84" t="s">
        <v>560</v>
      </c>
      <c r="J84">
        <v>1</v>
      </c>
      <c r="K84" t="s">
        <v>554</v>
      </c>
      <c r="L84">
        <v>0</v>
      </c>
      <c r="M84">
        <f t="shared" si="1"/>
        <v>0</v>
      </c>
    </row>
    <row r="85" spans="2:13">
      <c r="B85">
        <v>2</v>
      </c>
      <c r="C85" s="33" t="s">
        <v>266</v>
      </c>
      <c r="D85" s="33" t="s">
        <v>268</v>
      </c>
      <c r="E85" t="s">
        <v>501</v>
      </c>
      <c r="F85" t="s">
        <v>557</v>
      </c>
      <c r="G85" t="s">
        <v>561</v>
      </c>
      <c r="H85" t="s">
        <v>562</v>
      </c>
      <c r="I85" t="s">
        <v>563</v>
      </c>
      <c r="J85">
        <v>1</v>
      </c>
      <c r="K85" t="s">
        <v>554</v>
      </c>
      <c r="L85">
        <v>13.38</v>
      </c>
      <c r="M85">
        <f t="shared" si="1"/>
        <v>13.38</v>
      </c>
    </row>
    <row r="86" spans="2:13">
      <c r="B86">
        <v>3</v>
      </c>
      <c r="C86" s="33" t="s">
        <v>266</v>
      </c>
      <c r="D86" s="33" t="s">
        <v>268</v>
      </c>
      <c r="E86" t="s">
        <v>501</v>
      </c>
      <c r="F86" t="s">
        <v>557</v>
      </c>
      <c r="G86" t="s">
        <v>561</v>
      </c>
      <c r="H86" t="s">
        <v>564</v>
      </c>
      <c r="I86" t="s">
        <v>565</v>
      </c>
      <c r="J86">
        <v>1</v>
      </c>
      <c r="K86" t="s">
        <v>566</v>
      </c>
      <c r="L86">
        <v>26.93</v>
      </c>
      <c r="M86">
        <f t="shared" si="1"/>
        <v>26.93</v>
      </c>
    </row>
    <row r="87" spans="2:13">
      <c r="B87">
        <v>4</v>
      </c>
      <c r="C87" s="33" t="s">
        <v>266</v>
      </c>
      <c r="D87" s="33" t="s">
        <v>268</v>
      </c>
      <c r="E87" t="s">
        <v>501</v>
      </c>
      <c r="F87" t="s">
        <v>557</v>
      </c>
      <c r="G87" t="s">
        <v>561</v>
      </c>
      <c r="H87" t="s">
        <v>567</v>
      </c>
      <c r="I87" t="s">
        <v>568</v>
      </c>
      <c r="J87">
        <v>1</v>
      </c>
      <c r="K87" t="s">
        <v>566</v>
      </c>
      <c r="L87">
        <v>23.77</v>
      </c>
      <c r="M87">
        <f t="shared" si="1"/>
        <v>23.77</v>
      </c>
    </row>
    <row r="88" spans="2:13">
      <c r="B88">
        <v>5</v>
      </c>
      <c r="C88" s="33" t="s">
        <v>266</v>
      </c>
      <c r="D88" s="33" t="s">
        <v>268</v>
      </c>
      <c r="E88" t="s">
        <v>501</v>
      </c>
      <c r="F88" t="s">
        <v>557</v>
      </c>
      <c r="G88" t="s">
        <v>561</v>
      </c>
      <c r="H88" t="s">
        <v>569</v>
      </c>
      <c r="I88" t="s">
        <v>570</v>
      </c>
      <c r="J88">
        <v>1</v>
      </c>
      <c r="K88" t="s">
        <v>554</v>
      </c>
      <c r="L88">
        <v>47.7</v>
      </c>
      <c r="M88">
        <f t="shared" si="1"/>
        <v>47.7</v>
      </c>
    </row>
    <row r="89" spans="2:13">
      <c r="B89">
        <v>6</v>
      </c>
      <c r="C89" s="33" t="s">
        <v>266</v>
      </c>
      <c r="D89" s="33" t="s">
        <v>268</v>
      </c>
      <c r="E89" t="s">
        <v>501</v>
      </c>
      <c r="F89" t="s">
        <v>557</v>
      </c>
      <c r="G89" t="s">
        <v>571</v>
      </c>
      <c r="H89" t="s">
        <v>572</v>
      </c>
      <c r="I89" t="s">
        <v>573</v>
      </c>
      <c r="J89">
        <v>1</v>
      </c>
      <c r="K89" t="s">
        <v>554</v>
      </c>
      <c r="L89">
        <v>1680</v>
      </c>
      <c r="M89">
        <f t="shared" si="1"/>
        <v>1680</v>
      </c>
    </row>
    <row r="90" spans="2:13">
      <c r="B90">
        <v>27</v>
      </c>
      <c r="C90" s="33" t="s">
        <v>266</v>
      </c>
      <c r="D90" s="33" t="s">
        <v>268</v>
      </c>
      <c r="E90" t="s">
        <v>501</v>
      </c>
      <c r="F90" t="s">
        <v>557</v>
      </c>
      <c r="G90" t="s">
        <v>571</v>
      </c>
      <c r="H90" t="s">
        <v>574</v>
      </c>
      <c r="I90" t="s">
        <v>575</v>
      </c>
      <c r="J90">
        <v>1</v>
      </c>
      <c r="K90" t="s">
        <v>554</v>
      </c>
      <c r="L90">
        <v>10</v>
      </c>
      <c r="M90">
        <f t="shared" si="1"/>
        <v>10</v>
      </c>
    </row>
    <row r="91" spans="2:13">
      <c r="B91">
        <v>27</v>
      </c>
      <c r="C91" s="33" t="s">
        <v>266</v>
      </c>
      <c r="D91" s="33" t="s">
        <v>268</v>
      </c>
      <c r="E91" t="s">
        <v>501</v>
      </c>
      <c r="F91" t="s">
        <v>557</v>
      </c>
      <c r="G91" t="s">
        <v>576</v>
      </c>
      <c r="H91" t="s">
        <v>577</v>
      </c>
      <c r="I91" t="s">
        <v>578</v>
      </c>
      <c r="J91">
        <v>1</v>
      </c>
      <c r="K91" t="s">
        <v>554</v>
      </c>
      <c r="L91">
        <v>93</v>
      </c>
      <c r="M91">
        <f t="shared" si="1"/>
        <v>93</v>
      </c>
    </row>
    <row r="92" spans="2:13">
      <c r="B92">
        <v>27</v>
      </c>
      <c r="C92" s="33" t="s">
        <v>266</v>
      </c>
      <c r="D92" s="33" t="s">
        <v>268</v>
      </c>
      <c r="E92" t="s">
        <v>501</v>
      </c>
      <c r="F92" t="s">
        <v>557</v>
      </c>
      <c r="G92" t="s">
        <v>576</v>
      </c>
      <c r="H92" t="s">
        <v>579</v>
      </c>
      <c r="I92" t="s">
        <v>580</v>
      </c>
      <c r="J92">
        <v>1</v>
      </c>
      <c r="K92" t="s">
        <v>554</v>
      </c>
      <c r="L92">
        <v>56</v>
      </c>
      <c r="M92">
        <f t="shared" si="1"/>
        <v>56</v>
      </c>
    </row>
    <row r="93" spans="2:13">
      <c r="B93">
        <v>10</v>
      </c>
      <c r="C93" s="33" t="s">
        <v>266</v>
      </c>
      <c r="D93" s="33" t="s">
        <v>268</v>
      </c>
      <c r="E93" t="s">
        <v>501</v>
      </c>
      <c r="F93" t="s">
        <v>557</v>
      </c>
      <c r="G93" t="s">
        <v>558</v>
      </c>
      <c r="H93" t="s">
        <v>581</v>
      </c>
      <c r="I93" t="s">
        <v>582</v>
      </c>
      <c r="J93">
        <v>1</v>
      </c>
      <c r="K93" t="s">
        <v>554</v>
      </c>
      <c r="L93">
        <v>84</v>
      </c>
      <c r="M93">
        <f t="shared" si="1"/>
        <v>84</v>
      </c>
    </row>
    <row r="94" spans="2:13">
      <c r="B94">
        <v>11</v>
      </c>
      <c r="C94" s="33" t="s">
        <v>266</v>
      </c>
      <c r="D94" s="33" t="s">
        <v>268</v>
      </c>
      <c r="E94" t="s">
        <v>501</v>
      </c>
      <c r="F94" t="s">
        <v>557</v>
      </c>
      <c r="G94" t="s">
        <v>583</v>
      </c>
      <c r="H94" t="s">
        <v>584</v>
      </c>
      <c r="I94" t="s">
        <v>585</v>
      </c>
      <c r="J94">
        <v>1</v>
      </c>
      <c r="K94" t="s">
        <v>554</v>
      </c>
      <c r="L94">
        <v>165</v>
      </c>
      <c r="M94">
        <f t="shared" si="1"/>
        <v>165</v>
      </c>
    </row>
    <row r="95" spans="2:13">
      <c r="B95">
        <v>12</v>
      </c>
      <c r="C95" s="33" t="s">
        <v>266</v>
      </c>
      <c r="D95" s="33" t="s">
        <v>268</v>
      </c>
      <c r="E95" t="s">
        <v>501</v>
      </c>
      <c r="F95" t="s">
        <v>557</v>
      </c>
      <c r="G95" t="s">
        <v>561</v>
      </c>
      <c r="H95" t="s">
        <v>586</v>
      </c>
      <c r="I95" t="s">
        <v>587</v>
      </c>
      <c r="J95">
        <v>1</v>
      </c>
      <c r="K95" t="s">
        <v>554</v>
      </c>
      <c r="L95">
        <v>43</v>
      </c>
      <c r="M95">
        <f t="shared" si="1"/>
        <v>43</v>
      </c>
    </row>
    <row r="96" spans="2:13">
      <c r="B96">
        <v>12</v>
      </c>
      <c r="C96" s="33" t="s">
        <v>266</v>
      </c>
      <c r="D96" s="33" t="s">
        <v>268</v>
      </c>
      <c r="E96" t="s">
        <v>501</v>
      </c>
      <c r="F96" t="s">
        <v>557</v>
      </c>
      <c r="G96" t="s">
        <v>588</v>
      </c>
      <c r="H96" t="s">
        <v>589</v>
      </c>
      <c r="I96" t="s">
        <v>590</v>
      </c>
      <c r="J96">
        <v>1</v>
      </c>
      <c r="K96" t="s">
        <v>554</v>
      </c>
      <c r="L96">
        <v>425</v>
      </c>
      <c r="M96">
        <f t="shared" si="1"/>
        <v>425</v>
      </c>
    </row>
    <row r="97" spans="2:13">
      <c r="B97">
        <v>13</v>
      </c>
      <c r="C97" s="33" t="s">
        <v>266</v>
      </c>
      <c r="D97" s="33" t="s">
        <v>268</v>
      </c>
      <c r="E97" t="s">
        <v>501</v>
      </c>
      <c r="F97" t="s">
        <v>557</v>
      </c>
      <c r="G97" t="s">
        <v>561</v>
      </c>
      <c r="H97" t="s">
        <v>591</v>
      </c>
      <c r="I97" t="s">
        <v>592</v>
      </c>
      <c r="J97">
        <v>1</v>
      </c>
      <c r="K97" t="s">
        <v>554</v>
      </c>
      <c r="L97">
        <v>77</v>
      </c>
      <c r="M97">
        <f t="shared" si="1"/>
        <v>77</v>
      </c>
    </row>
    <row r="98" spans="2:13">
      <c r="B98">
        <v>14</v>
      </c>
      <c r="C98" s="33" t="s">
        <v>266</v>
      </c>
      <c r="D98" s="33" t="s">
        <v>268</v>
      </c>
      <c r="E98" t="s">
        <v>501</v>
      </c>
      <c r="F98" t="s">
        <v>557</v>
      </c>
      <c r="G98" t="s">
        <v>544</v>
      </c>
      <c r="H98" t="s">
        <v>593</v>
      </c>
      <c r="I98" t="s">
        <v>594</v>
      </c>
      <c r="J98">
        <v>1</v>
      </c>
      <c r="K98" t="s">
        <v>595</v>
      </c>
      <c r="L98">
        <v>415</v>
      </c>
      <c r="M98">
        <f t="shared" si="1"/>
        <v>415</v>
      </c>
    </row>
    <row r="99" spans="2:13">
      <c r="B99">
        <v>15</v>
      </c>
      <c r="C99" s="33" t="s">
        <v>266</v>
      </c>
      <c r="D99" s="33" t="s">
        <v>268</v>
      </c>
      <c r="E99" t="s">
        <v>501</v>
      </c>
      <c r="F99" t="s">
        <v>557</v>
      </c>
      <c r="G99" t="s">
        <v>596</v>
      </c>
      <c r="H99" t="s">
        <v>597</v>
      </c>
      <c r="I99" t="s">
        <v>598</v>
      </c>
      <c r="J99">
        <v>1</v>
      </c>
      <c r="K99" t="s">
        <v>599</v>
      </c>
      <c r="L99">
        <v>53</v>
      </c>
      <c r="M99">
        <f t="shared" si="1"/>
        <v>53</v>
      </c>
    </row>
    <row r="100" spans="2:13">
      <c r="B100">
        <v>16</v>
      </c>
      <c r="C100" s="33" t="s">
        <v>266</v>
      </c>
      <c r="D100" s="33" t="s">
        <v>268</v>
      </c>
      <c r="E100" t="s">
        <v>501</v>
      </c>
      <c r="F100" t="s">
        <v>557</v>
      </c>
      <c r="G100" t="s">
        <v>561</v>
      </c>
      <c r="H100" t="s">
        <v>481</v>
      </c>
      <c r="I100" t="s">
        <v>600</v>
      </c>
      <c r="J100">
        <v>1</v>
      </c>
      <c r="K100" t="s">
        <v>601</v>
      </c>
      <c r="L100">
        <v>44.38</v>
      </c>
      <c r="M100">
        <f t="shared" si="1"/>
        <v>44.38</v>
      </c>
    </row>
    <row r="101" spans="2:13">
      <c r="B101">
        <v>17</v>
      </c>
      <c r="C101" s="33" t="s">
        <v>266</v>
      </c>
      <c r="D101" s="33" t="s">
        <v>268</v>
      </c>
      <c r="E101" t="s">
        <v>501</v>
      </c>
      <c r="F101" t="s">
        <v>557</v>
      </c>
      <c r="G101" t="s">
        <v>571</v>
      </c>
      <c r="H101" t="s">
        <v>602</v>
      </c>
      <c r="I101" t="s">
        <v>603</v>
      </c>
      <c r="J101">
        <v>1</v>
      </c>
      <c r="K101" t="s">
        <v>604</v>
      </c>
      <c r="L101">
        <v>48.27</v>
      </c>
      <c r="M101">
        <f t="shared" si="1"/>
        <v>48.27</v>
      </c>
    </row>
    <row r="102" spans="2:13">
      <c r="B102">
        <v>18</v>
      </c>
      <c r="C102" s="33" t="s">
        <v>266</v>
      </c>
      <c r="D102" s="33" t="s">
        <v>268</v>
      </c>
      <c r="E102" t="s">
        <v>501</v>
      </c>
      <c r="F102" t="s">
        <v>557</v>
      </c>
      <c r="G102" t="s">
        <v>561</v>
      </c>
      <c r="H102" t="s">
        <v>482</v>
      </c>
      <c r="I102" t="s">
        <v>605</v>
      </c>
      <c r="J102">
        <v>1</v>
      </c>
      <c r="K102" t="s">
        <v>566</v>
      </c>
      <c r="L102">
        <v>15.82</v>
      </c>
      <c r="M102">
        <f t="shared" si="1"/>
        <v>15.82</v>
      </c>
    </row>
    <row r="103" spans="2:13">
      <c r="B103">
        <v>33</v>
      </c>
      <c r="C103" s="33" t="s">
        <v>266</v>
      </c>
      <c r="D103" s="33" t="s">
        <v>268</v>
      </c>
      <c r="E103" t="s">
        <v>501</v>
      </c>
      <c r="F103" t="s">
        <v>557</v>
      </c>
      <c r="G103" t="s">
        <v>561</v>
      </c>
      <c r="H103" t="s">
        <v>606</v>
      </c>
      <c r="I103" t="s">
        <v>607</v>
      </c>
      <c r="J103">
        <v>1</v>
      </c>
      <c r="K103" t="s">
        <v>550</v>
      </c>
      <c r="L103">
        <v>4.29</v>
      </c>
      <c r="M103">
        <f t="shared" si="1"/>
        <v>4.29</v>
      </c>
    </row>
    <row r="104" spans="2:13">
      <c r="B104">
        <v>19</v>
      </c>
      <c r="C104" s="33" t="s">
        <v>266</v>
      </c>
      <c r="D104" s="33" t="s">
        <v>268</v>
      </c>
      <c r="E104" t="s">
        <v>501</v>
      </c>
      <c r="F104" t="s">
        <v>557</v>
      </c>
      <c r="G104" t="s">
        <v>561</v>
      </c>
      <c r="H104" t="s">
        <v>608</v>
      </c>
      <c r="I104" t="s">
        <v>609</v>
      </c>
      <c r="J104">
        <v>1</v>
      </c>
      <c r="K104" t="s">
        <v>610</v>
      </c>
      <c r="L104">
        <v>58</v>
      </c>
      <c r="M104">
        <f t="shared" si="1"/>
        <v>58</v>
      </c>
    </row>
    <row r="105" spans="2:13">
      <c r="B105">
        <v>19</v>
      </c>
      <c r="C105" s="33" t="s">
        <v>266</v>
      </c>
      <c r="D105" s="33" t="s">
        <v>268</v>
      </c>
      <c r="E105" t="s">
        <v>501</v>
      </c>
      <c r="F105" t="s">
        <v>611</v>
      </c>
      <c r="G105" t="s">
        <v>544</v>
      </c>
      <c r="H105" t="s">
        <v>612</v>
      </c>
      <c r="I105" t="s">
        <v>613</v>
      </c>
      <c r="J105">
        <v>1</v>
      </c>
      <c r="K105" t="s">
        <v>595</v>
      </c>
      <c r="L105">
        <v>290</v>
      </c>
      <c r="M105">
        <f t="shared" si="1"/>
        <v>290</v>
      </c>
    </row>
    <row r="106" spans="2:13">
      <c r="B106">
        <v>20</v>
      </c>
      <c r="C106" s="33" t="s">
        <v>266</v>
      </c>
      <c r="D106" s="33" t="s">
        <v>268</v>
      </c>
      <c r="E106" t="s">
        <v>501</v>
      </c>
      <c r="F106" t="s">
        <v>611</v>
      </c>
      <c r="G106" t="s">
        <v>571</v>
      </c>
      <c r="H106" t="s">
        <v>614</v>
      </c>
      <c r="I106" t="s">
        <v>615</v>
      </c>
      <c r="J106">
        <v>1</v>
      </c>
      <c r="K106" t="s">
        <v>554</v>
      </c>
      <c r="L106">
        <v>100</v>
      </c>
      <c r="M106">
        <f t="shared" si="1"/>
        <v>100</v>
      </c>
    </row>
    <row r="107" spans="2:13">
      <c r="B107">
        <v>24</v>
      </c>
      <c r="C107" s="33" t="s">
        <v>266</v>
      </c>
      <c r="D107" s="33" t="s">
        <v>268</v>
      </c>
      <c r="E107" t="s">
        <v>501</v>
      </c>
      <c r="F107" t="s">
        <v>611</v>
      </c>
      <c r="G107" t="s">
        <v>561</v>
      </c>
      <c r="H107" t="s">
        <v>616</v>
      </c>
      <c r="I107" t="s">
        <v>617</v>
      </c>
      <c r="J107">
        <v>1</v>
      </c>
      <c r="K107" t="s">
        <v>618</v>
      </c>
      <c r="L107">
        <v>55</v>
      </c>
      <c r="M107">
        <f t="shared" si="1"/>
        <v>55</v>
      </c>
    </row>
    <row r="108" spans="2:13">
      <c r="B108">
        <v>26</v>
      </c>
      <c r="C108" s="33" t="s">
        <v>266</v>
      </c>
      <c r="D108" s="33" t="s">
        <v>268</v>
      </c>
      <c r="E108" t="s">
        <v>501</v>
      </c>
      <c r="F108" t="s">
        <v>611</v>
      </c>
      <c r="G108" t="s">
        <v>576</v>
      </c>
      <c r="H108" t="s">
        <v>619</v>
      </c>
      <c r="I108" t="s">
        <v>620</v>
      </c>
      <c r="J108">
        <v>1</v>
      </c>
      <c r="K108" t="s">
        <v>554</v>
      </c>
      <c r="L108">
        <v>66.26</v>
      </c>
      <c r="M108">
        <f t="shared" si="1"/>
        <v>66.26</v>
      </c>
    </row>
    <row r="109" spans="2:13">
      <c r="B109">
        <v>27</v>
      </c>
      <c r="C109" s="33" t="s">
        <v>266</v>
      </c>
      <c r="D109" s="33" t="s">
        <v>268</v>
      </c>
      <c r="E109" t="s">
        <v>501</v>
      </c>
      <c r="F109" t="s">
        <v>611</v>
      </c>
      <c r="G109" t="s">
        <v>621</v>
      </c>
      <c r="H109" t="s">
        <v>622</v>
      </c>
      <c r="I109" t="s">
        <v>623</v>
      </c>
      <c r="J109">
        <v>1</v>
      </c>
      <c r="K109" t="s">
        <v>554</v>
      </c>
      <c r="L109">
        <v>101</v>
      </c>
      <c r="M109">
        <f t="shared" si="1"/>
        <v>101</v>
      </c>
    </row>
    <row r="110" spans="2:13">
      <c r="B110">
        <v>33</v>
      </c>
      <c r="C110" s="33" t="s">
        <v>266</v>
      </c>
      <c r="D110" s="33" t="s">
        <v>268</v>
      </c>
      <c r="E110" t="s">
        <v>501</v>
      </c>
      <c r="F110" t="s">
        <v>611</v>
      </c>
      <c r="G110" t="s">
        <v>621</v>
      </c>
      <c r="H110" t="s">
        <v>624</v>
      </c>
      <c r="I110" t="s">
        <v>625</v>
      </c>
      <c r="J110">
        <v>1</v>
      </c>
      <c r="K110" t="s">
        <v>554</v>
      </c>
      <c r="L110">
        <v>418</v>
      </c>
      <c r="M110">
        <f t="shared" si="1"/>
        <v>418</v>
      </c>
    </row>
    <row r="111" spans="2:13">
      <c r="B111">
        <v>35</v>
      </c>
      <c r="C111" s="33" t="s">
        <v>266</v>
      </c>
      <c r="D111" s="33" t="s">
        <v>268</v>
      </c>
      <c r="E111" t="s">
        <v>501</v>
      </c>
      <c r="F111" t="s">
        <v>611</v>
      </c>
      <c r="G111" t="s">
        <v>621</v>
      </c>
      <c r="H111" t="s">
        <v>626</v>
      </c>
      <c r="I111" t="s">
        <v>627</v>
      </c>
      <c r="J111">
        <v>1</v>
      </c>
      <c r="K111" t="s">
        <v>554</v>
      </c>
      <c r="L111">
        <v>37</v>
      </c>
      <c r="M111">
        <f t="shared" si="1"/>
        <v>37</v>
      </c>
    </row>
    <row r="112" spans="2:13">
      <c r="B112">
        <v>37</v>
      </c>
      <c r="C112" s="33" t="s">
        <v>266</v>
      </c>
      <c r="D112" s="33" t="s">
        <v>268</v>
      </c>
      <c r="E112" t="s">
        <v>501</v>
      </c>
      <c r="F112" t="s">
        <v>611</v>
      </c>
      <c r="G112" t="s">
        <v>571</v>
      </c>
      <c r="H112" t="s">
        <v>628</v>
      </c>
      <c r="I112" t="s">
        <v>629</v>
      </c>
      <c r="J112">
        <v>1</v>
      </c>
      <c r="K112" t="s">
        <v>604</v>
      </c>
      <c r="L112">
        <v>370</v>
      </c>
      <c r="M112">
        <f t="shared" si="1"/>
        <v>370</v>
      </c>
    </row>
    <row r="113" spans="2:13">
      <c r="B113">
        <v>38</v>
      </c>
      <c r="C113" s="33" t="s">
        <v>266</v>
      </c>
      <c r="D113" s="33" t="s">
        <v>268</v>
      </c>
      <c r="E113" t="s">
        <v>501</v>
      </c>
      <c r="F113" t="s">
        <v>611</v>
      </c>
      <c r="G113" t="s">
        <v>551</v>
      </c>
      <c r="H113" t="s">
        <v>630</v>
      </c>
      <c r="I113" t="s">
        <v>631</v>
      </c>
      <c r="J113">
        <v>1</v>
      </c>
      <c r="K113" t="s">
        <v>566</v>
      </c>
      <c r="L113">
        <v>4.7</v>
      </c>
      <c r="M113">
        <f t="shared" si="1"/>
        <v>4.7</v>
      </c>
    </row>
    <row r="114" spans="2:13">
      <c r="B114">
        <v>39</v>
      </c>
      <c r="C114" s="33" t="s">
        <v>266</v>
      </c>
      <c r="D114" s="33" t="s">
        <v>268</v>
      </c>
      <c r="E114" t="s">
        <v>501</v>
      </c>
      <c r="F114" t="s">
        <v>611</v>
      </c>
      <c r="G114" t="s">
        <v>621</v>
      </c>
      <c r="H114" t="s">
        <v>632</v>
      </c>
      <c r="I114" t="s">
        <v>633</v>
      </c>
      <c r="J114">
        <v>1</v>
      </c>
      <c r="K114" t="s">
        <v>601</v>
      </c>
      <c r="L114">
        <v>370</v>
      </c>
      <c r="M114">
        <f t="shared" si="1"/>
        <v>370</v>
      </c>
    </row>
    <row r="115" spans="2:13">
      <c r="B115">
        <v>40</v>
      </c>
      <c r="C115" s="33" t="s">
        <v>266</v>
      </c>
      <c r="D115" s="33" t="s">
        <v>268</v>
      </c>
      <c r="E115" t="s">
        <v>501</v>
      </c>
      <c r="F115" t="s">
        <v>611</v>
      </c>
      <c r="G115" t="s">
        <v>621</v>
      </c>
      <c r="H115" t="s">
        <v>634</v>
      </c>
      <c r="I115" t="s">
        <v>635</v>
      </c>
      <c r="J115">
        <v>1</v>
      </c>
      <c r="K115" t="s">
        <v>554</v>
      </c>
      <c r="L115">
        <v>39.5</v>
      </c>
      <c r="M115">
        <f t="shared" si="1"/>
        <v>39.5</v>
      </c>
    </row>
    <row r="116" spans="2:13">
      <c r="B116">
        <v>41</v>
      </c>
      <c r="C116" s="33" t="s">
        <v>266</v>
      </c>
      <c r="D116" s="33" t="s">
        <v>268</v>
      </c>
      <c r="E116" t="s">
        <v>501</v>
      </c>
      <c r="F116" t="s">
        <v>611</v>
      </c>
      <c r="G116" t="s">
        <v>583</v>
      </c>
      <c r="H116" t="s">
        <v>636</v>
      </c>
      <c r="I116" t="s">
        <v>637</v>
      </c>
      <c r="J116">
        <v>1</v>
      </c>
      <c r="K116" t="s">
        <v>554</v>
      </c>
      <c r="L116">
        <v>41</v>
      </c>
      <c r="M116">
        <f t="shared" si="1"/>
        <v>41</v>
      </c>
    </row>
    <row r="117" spans="2:13">
      <c r="B117">
        <v>42</v>
      </c>
      <c r="C117" s="33" t="s">
        <v>266</v>
      </c>
      <c r="D117" s="33" t="s">
        <v>268</v>
      </c>
      <c r="E117" t="s">
        <v>501</v>
      </c>
      <c r="F117" t="s">
        <v>611</v>
      </c>
      <c r="G117" t="s">
        <v>621</v>
      </c>
      <c r="H117" t="s">
        <v>638</v>
      </c>
      <c r="I117" t="s">
        <v>639</v>
      </c>
      <c r="J117">
        <v>1</v>
      </c>
      <c r="K117" t="s">
        <v>554</v>
      </c>
      <c r="L117">
        <v>17.2</v>
      </c>
      <c r="M117">
        <f t="shared" si="1"/>
        <v>17.2</v>
      </c>
    </row>
    <row r="118" spans="2:13">
      <c r="B118">
        <v>43</v>
      </c>
      <c r="C118" s="33" t="s">
        <v>266</v>
      </c>
      <c r="D118" s="33" t="s">
        <v>268</v>
      </c>
      <c r="E118" t="s">
        <v>502</v>
      </c>
      <c r="F118" t="s">
        <v>543</v>
      </c>
      <c r="G118" t="s">
        <v>544</v>
      </c>
      <c r="H118" t="s">
        <v>545</v>
      </c>
      <c r="I118" t="s">
        <v>546</v>
      </c>
      <c r="J118">
        <v>1</v>
      </c>
      <c r="K118" t="s">
        <v>547</v>
      </c>
      <c r="L118">
        <v>920</v>
      </c>
      <c r="M118">
        <f t="shared" si="1"/>
        <v>920</v>
      </c>
    </row>
    <row r="119" spans="2:13">
      <c r="B119">
        <v>44</v>
      </c>
      <c r="C119" s="33" t="s">
        <v>266</v>
      </c>
      <c r="D119" s="33" t="s">
        <v>268</v>
      </c>
      <c r="E119" t="s">
        <v>502</v>
      </c>
      <c r="F119" t="s">
        <v>543</v>
      </c>
      <c r="G119" t="s">
        <v>544</v>
      </c>
      <c r="H119" t="s">
        <v>548</v>
      </c>
      <c r="I119" t="s">
        <v>549</v>
      </c>
      <c r="J119">
        <v>1</v>
      </c>
      <c r="K119" t="s">
        <v>550</v>
      </c>
      <c r="L119">
        <v>380</v>
      </c>
      <c r="M119">
        <f t="shared" si="1"/>
        <v>380</v>
      </c>
    </row>
    <row r="120" spans="2:13">
      <c r="B120">
        <v>45</v>
      </c>
      <c r="C120" s="33" t="s">
        <v>266</v>
      </c>
      <c r="D120" s="33" t="s">
        <v>268</v>
      </c>
      <c r="E120" t="s">
        <v>502</v>
      </c>
      <c r="F120" t="s">
        <v>543</v>
      </c>
      <c r="G120" t="s">
        <v>551</v>
      </c>
      <c r="H120" t="s">
        <v>552</v>
      </c>
      <c r="I120" t="s">
        <v>553</v>
      </c>
      <c r="J120">
        <v>1</v>
      </c>
      <c r="K120" t="s">
        <v>554</v>
      </c>
      <c r="L120">
        <v>14</v>
      </c>
      <c r="M120">
        <f t="shared" si="1"/>
        <v>14</v>
      </c>
    </row>
    <row r="121" spans="2:13">
      <c r="B121">
        <v>46</v>
      </c>
      <c r="C121" s="33" t="s">
        <v>266</v>
      </c>
      <c r="D121" s="33" t="s">
        <v>268</v>
      </c>
      <c r="E121" t="s">
        <v>502</v>
      </c>
      <c r="F121" t="s">
        <v>543</v>
      </c>
      <c r="G121" t="s">
        <v>551</v>
      </c>
      <c r="H121" t="s">
        <v>555</v>
      </c>
      <c r="I121" t="s">
        <v>556</v>
      </c>
      <c r="J121">
        <v>1</v>
      </c>
      <c r="K121" t="s">
        <v>554</v>
      </c>
      <c r="L121">
        <v>33</v>
      </c>
      <c r="M121">
        <f t="shared" si="1"/>
        <v>33</v>
      </c>
    </row>
    <row r="122" spans="2:13">
      <c r="B122">
        <v>47</v>
      </c>
      <c r="C122" s="33" t="s">
        <v>266</v>
      </c>
      <c r="D122" s="33" t="s">
        <v>268</v>
      </c>
      <c r="E122" t="s">
        <v>502</v>
      </c>
      <c r="F122" t="s">
        <v>557</v>
      </c>
      <c r="G122" t="s">
        <v>558</v>
      </c>
      <c r="H122" t="s">
        <v>559</v>
      </c>
      <c r="I122" t="s">
        <v>560</v>
      </c>
      <c r="J122">
        <v>1</v>
      </c>
      <c r="K122" t="s">
        <v>554</v>
      </c>
      <c r="L122">
        <v>0</v>
      </c>
      <c r="M122">
        <f t="shared" si="1"/>
        <v>0</v>
      </c>
    </row>
    <row r="123" spans="2:13">
      <c r="B123">
        <v>1</v>
      </c>
      <c r="C123" s="33" t="s">
        <v>266</v>
      </c>
      <c r="D123" s="33" t="s">
        <v>268</v>
      </c>
      <c r="E123" t="s">
        <v>502</v>
      </c>
      <c r="F123" t="s">
        <v>557</v>
      </c>
      <c r="G123" t="s">
        <v>561</v>
      </c>
      <c r="H123" t="s">
        <v>562</v>
      </c>
      <c r="I123" t="s">
        <v>563</v>
      </c>
      <c r="J123">
        <v>1</v>
      </c>
      <c r="K123" t="s">
        <v>554</v>
      </c>
      <c r="L123">
        <v>13.38</v>
      </c>
      <c r="M123">
        <f t="shared" si="1"/>
        <v>13.38</v>
      </c>
    </row>
    <row r="124" spans="2:13">
      <c r="B124">
        <v>2</v>
      </c>
      <c r="C124" s="33" t="s">
        <v>266</v>
      </c>
      <c r="D124" s="33" t="s">
        <v>268</v>
      </c>
      <c r="E124" t="s">
        <v>502</v>
      </c>
      <c r="F124" t="s">
        <v>557</v>
      </c>
      <c r="G124" t="s">
        <v>561</v>
      </c>
      <c r="H124" t="s">
        <v>564</v>
      </c>
      <c r="I124" t="s">
        <v>565</v>
      </c>
      <c r="J124">
        <v>1</v>
      </c>
      <c r="K124" t="s">
        <v>566</v>
      </c>
      <c r="L124">
        <v>26.93</v>
      </c>
      <c r="M124">
        <f t="shared" si="1"/>
        <v>26.93</v>
      </c>
    </row>
    <row r="125" spans="2:13">
      <c r="B125">
        <v>3</v>
      </c>
      <c r="C125" s="33" t="s">
        <v>266</v>
      </c>
      <c r="D125" s="33" t="s">
        <v>268</v>
      </c>
      <c r="E125" t="s">
        <v>502</v>
      </c>
      <c r="F125" t="s">
        <v>557</v>
      </c>
      <c r="G125" t="s">
        <v>561</v>
      </c>
      <c r="H125" t="s">
        <v>567</v>
      </c>
      <c r="I125" t="s">
        <v>568</v>
      </c>
      <c r="J125">
        <v>1</v>
      </c>
      <c r="K125" t="s">
        <v>566</v>
      </c>
      <c r="L125">
        <v>23.77</v>
      </c>
      <c r="M125">
        <f t="shared" si="1"/>
        <v>23.77</v>
      </c>
    </row>
    <row r="126" spans="2:13">
      <c r="B126">
        <v>4</v>
      </c>
      <c r="C126" s="33" t="s">
        <v>266</v>
      </c>
      <c r="D126" s="33" t="s">
        <v>268</v>
      </c>
      <c r="E126" t="s">
        <v>502</v>
      </c>
      <c r="F126" t="s">
        <v>557</v>
      </c>
      <c r="G126" t="s">
        <v>561</v>
      </c>
      <c r="H126" t="s">
        <v>569</v>
      </c>
      <c r="I126" t="s">
        <v>570</v>
      </c>
      <c r="J126">
        <v>1</v>
      </c>
      <c r="K126" t="s">
        <v>554</v>
      </c>
      <c r="L126">
        <v>47.7</v>
      </c>
      <c r="M126">
        <f t="shared" si="1"/>
        <v>47.7</v>
      </c>
    </row>
    <row r="127" spans="2:13">
      <c r="B127">
        <v>5</v>
      </c>
      <c r="C127" s="33" t="s">
        <v>266</v>
      </c>
      <c r="D127" s="33" t="s">
        <v>268</v>
      </c>
      <c r="E127" t="s">
        <v>502</v>
      </c>
      <c r="F127" t="s">
        <v>557</v>
      </c>
      <c r="G127" t="s">
        <v>571</v>
      </c>
      <c r="H127" t="s">
        <v>572</v>
      </c>
      <c r="I127" t="s">
        <v>573</v>
      </c>
      <c r="J127">
        <v>1</v>
      </c>
      <c r="K127" t="s">
        <v>554</v>
      </c>
      <c r="L127">
        <v>1680</v>
      </c>
      <c r="M127">
        <f t="shared" si="1"/>
        <v>1680</v>
      </c>
    </row>
    <row r="128" spans="2:13">
      <c r="B128">
        <v>6</v>
      </c>
      <c r="C128" s="33" t="s">
        <v>266</v>
      </c>
      <c r="D128" s="33" t="s">
        <v>268</v>
      </c>
      <c r="E128" t="s">
        <v>502</v>
      </c>
      <c r="F128" t="s">
        <v>557</v>
      </c>
      <c r="G128" t="s">
        <v>571</v>
      </c>
      <c r="H128" t="s">
        <v>574</v>
      </c>
      <c r="I128" t="s">
        <v>575</v>
      </c>
      <c r="J128">
        <v>1</v>
      </c>
      <c r="K128" t="s">
        <v>554</v>
      </c>
      <c r="L128">
        <v>10</v>
      </c>
      <c r="M128">
        <f t="shared" si="1"/>
        <v>10</v>
      </c>
    </row>
    <row r="129" spans="2:13">
      <c r="B129">
        <v>7</v>
      </c>
      <c r="C129" s="33" t="s">
        <v>266</v>
      </c>
      <c r="D129" s="33" t="s">
        <v>268</v>
      </c>
      <c r="E129" t="s">
        <v>502</v>
      </c>
      <c r="F129" t="s">
        <v>557</v>
      </c>
      <c r="G129" t="s">
        <v>576</v>
      </c>
      <c r="H129" t="s">
        <v>577</v>
      </c>
      <c r="I129" t="s">
        <v>578</v>
      </c>
      <c r="J129">
        <v>1</v>
      </c>
      <c r="K129" t="s">
        <v>554</v>
      </c>
      <c r="L129">
        <v>93</v>
      </c>
      <c r="M129">
        <f t="shared" si="1"/>
        <v>93</v>
      </c>
    </row>
    <row r="130" spans="2:13">
      <c r="B130">
        <v>8</v>
      </c>
      <c r="C130" s="33" t="s">
        <v>266</v>
      </c>
      <c r="D130" s="33" t="s">
        <v>268</v>
      </c>
      <c r="E130" t="s">
        <v>502</v>
      </c>
      <c r="F130" t="s">
        <v>557</v>
      </c>
      <c r="G130" t="s">
        <v>576</v>
      </c>
      <c r="H130" t="s">
        <v>579</v>
      </c>
      <c r="I130" t="s">
        <v>580</v>
      </c>
      <c r="J130">
        <v>1</v>
      </c>
      <c r="K130" t="s">
        <v>554</v>
      </c>
      <c r="L130">
        <v>56</v>
      </c>
      <c r="M130">
        <f t="shared" si="1"/>
        <v>56</v>
      </c>
    </row>
    <row r="131" spans="2:13">
      <c r="B131">
        <v>9</v>
      </c>
      <c r="C131" s="33" t="s">
        <v>266</v>
      </c>
      <c r="D131" s="33" t="s">
        <v>268</v>
      </c>
      <c r="E131" t="s">
        <v>502</v>
      </c>
      <c r="F131" t="s">
        <v>557</v>
      </c>
      <c r="G131" t="s">
        <v>558</v>
      </c>
      <c r="H131" t="s">
        <v>581</v>
      </c>
      <c r="I131" t="s">
        <v>582</v>
      </c>
      <c r="J131">
        <v>1</v>
      </c>
      <c r="K131" t="s">
        <v>554</v>
      </c>
      <c r="L131">
        <v>84</v>
      </c>
      <c r="M131">
        <f t="shared" si="1"/>
        <v>84</v>
      </c>
    </row>
    <row r="132" spans="2:13">
      <c r="B132">
        <v>9</v>
      </c>
      <c r="C132" s="33" t="s">
        <v>266</v>
      </c>
      <c r="D132" s="33" t="s">
        <v>268</v>
      </c>
      <c r="E132" t="s">
        <v>502</v>
      </c>
      <c r="F132" t="s">
        <v>557</v>
      </c>
      <c r="G132" t="s">
        <v>583</v>
      </c>
      <c r="H132" t="s">
        <v>584</v>
      </c>
      <c r="I132" t="s">
        <v>585</v>
      </c>
      <c r="J132">
        <v>1</v>
      </c>
      <c r="K132" t="s">
        <v>554</v>
      </c>
      <c r="L132">
        <v>165</v>
      </c>
      <c r="M132">
        <f t="shared" si="1"/>
        <v>165</v>
      </c>
    </row>
    <row r="133" spans="2:13">
      <c r="B133">
        <v>10</v>
      </c>
      <c r="C133" s="33" t="s">
        <v>266</v>
      </c>
      <c r="D133" s="33" t="s">
        <v>268</v>
      </c>
      <c r="E133" t="s">
        <v>502</v>
      </c>
      <c r="F133" t="s">
        <v>557</v>
      </c>
      <c r="G133" t="s">
        <v>561</v>
      </c>
      <c r="H133" t="s">
        <v>586</v>
      </c>
      <c r="I133" t="s">
        <v>587</v>
      </c>
      <c r="J133">
        <v>1</v>
      </c>
      <c r="K133" t="s">
        <v>554</v>
      </c>
      <c r="L133">
        <v>43</v>
      </c>
      <c r="M133">
        <f t="shared" ref="M133:M196" si="2">J133*L133</f>
        <v>43</v>
      </c>
    </row>
    <row r="134" spans="2:13">
      <c r="B134">
        <v>11</v>
      </c>
      <c r="C134" s="33" t="s">
        <v>266</v>
      </c>
      <c r="D134" s="33" t="s">
        <v>268</v>
      </c>
      <c r="E134" t="s">
        <v>502</v>
      </c>
      <c r="F134" t="s">
        <v>557</v>
      </c>
      <c r="G134" t="s">
        <v>588</v>
      </c>
      <c r="H134" t="s">
        <v>589</v>
      </c>
      <c r="I134" t="s">
        <v>590</v>
      </c>
      <c r="J134">
        <v>1</v>
      </c>
      <c r="K134" t="s">
        <v>554</v>
      </c>
      <c r="L134">
        <v>425</v>
      </c>
      <c r="M134">
        <f t="shared" si="2"/>
        <v>425</v>
      </c>
    </row>
    <row r="135" spans="2:13">
      <c r="B135">
        <v>12</v>
      </c>
      <c r="C135" s="33" t="s">
        <v>266</v>
      </c>
      <c r="D135" s="33" t="s">
        <v>268</v>
      </c>
      <c r="E135" t="s">
        <v>502</v>
      </c>
      <c r="F135" t="s">
        <v>557</v>
      </c>
      <c r="G135" t="s">
        <v>561</v>
      </c>
      <c r="H135" t="s">
        <v>591</v>
      </c>
      <c r="I135" t="s">
        <v>592</v>
      </c>
      <c r="J135">
        <v>1</v>
      </c>
      <c r="K135" t="s">
        <v>554</v>
      </c>
      <c r="L135">
        <v>77</v>
      </c>
      <c r="M135">
        <f t="shared" si="2"/>
        <v>77</v>
      </c>
    </row>
    <row r="136" spans="2:13">
      <c r="B136">
        <v>12</v>
      </c>
      <c r="C136" s="33" t="s">
        <v>266</v>
      </c>
      <c r="D136" s="33" t="s">
        <v>268</v>
      </c>
      <c r="E136" t="s">
        <v>502</v>
      </c>
      <c r="F136" t="s">
        <v>557</v>
      </c>
      <c r="G136" t="s">
        <v>544</v>
      </c>
      <c r="H136" t="s">
        <v>593</v>
      </c>
      <c r="I136" t="s">
        <v>594</v>
      </c>
      <c r="J136">
        <v>1</v>
      </c>
      <c r="K136" t="s">
        <v>595</v>
      </c>
      <c r="L136">
        <v>415</v>
      </c>
      <c r="M136">
        <f t="shared" si="2"/>
        <v>415</v>
      </c>
    </row>
    <row r="137" spans="2:13">
      <c r="B137">
        <v>13</v>
      </c>
      <c r="C137" s="33" t="s">
        <v>266</v>
      </c>
      <c r="D137" s="33" t="s">
        <v>268</v>
      </c>
      <c r="E137" t="s">
        <v>502</v>
      </c>
      <c r="F137" t="s">
        <v>557</v>
      </c>
      <c r="G137" t="s">
        <v>596</v>
      </c>
      <c r="H137" t="s">
        <v>597</v>
      </c>
      <c r="I137" t="s">
        <v>598</v>
      </c>
      <c r="J137">
        <v>1</v>
      </c>
      <c r="K137" t="s">
        <v>599</v>
      </c>
      <c r="L137">
        <v>53</v>
      </c>
      <c r="M137">
        <f t="shared" si="2"/>
        <v>53</v>
      </c>
    </row>
    <row r="138" spans="2:13">
      <c r="B138">
        <v>14</v>
      </c>
      <c r="C138" s="33" t="s">
        <v>266</v>
      </c>
      <c r="D138" s="33" t="s">
        <v>268</v>
      </c>
      <c r="E138" t="s">
        <v>502</v>
      </c>
      <c r="F138" t="s">
        <v>557</v>
      </c>
      <c r="G138" t="s">
        <v>561</v>
      </c>
      <c r="H138" t="s">
        <v>481</v>
      </c>
      <c r="I138" t="s">
        <v>600</v>
      </c>
      <c r="J138">
        <v>1</v>
      </c>
      <c r="K138" t="s">
        <v>601</v>
      </c>
      <c r="L138">
        <v>44.38</v>
      </c>
      <c r="M138">
        <f t="shared" si="2"/>
        <v>44.38</v>
      </c>
    </row>
    <row r="139" spans="2:13">
      <c r="B139">
        <v>15</v>
      </c>
      <c r="C139" s="33" t="s">
        <v>266</v>
      </c>
      <c r="D139" s="33" t="s">
        <v>268</v>
      </c>
      <c r="E139" t="s">
        <v>502</v>
      </c>
      <c r="F139" t="s">
        <v>557</v>
      </c>
      <c r="G139" t="s">
        <v>571</v>
      </c>
      <c r="H139" t="s">
        <v>602</v>
      </c>
      <c r="I139" t="s">
        <v>603</v>
      </c>
      <c r="J139">
        <v>1</v>
      </c>
      <c r="K139" t="s">
        <v>604</v>
      </c>
      <c r="L139">
        <v>48.27</v>
      </c>
      <c r="M139">
        <f t="shared" si="2"/>
        <v>48.27</v>
      </c>
    </row>
    <row r="140" spans="2:13">
      <c r="B140">
        <v>16</v>
      </c>
      <c r="C140" s="33" t="s">
        <v>266</v>
      </c>
      <c r="D140" s="33" t="s">
        <v>268</v>
      </c>
      <c r="E140" t="s">
        <v>502</v>
      </c>
      <c r="F140" t="s">
        <v>557</v>
      </c>
      <c r="G140" t="s">
        <v>561</v>
      </c>
      <c r="H140" t="s">
        <v>482</v>
      </c>
      <c r="I140" t="s">
        <v>605</v>
      </c>
      <c r="J140">
        <v>1</v>
      </c>
      <c r="K140" t="s">
        <v>566</v>
      </c>
      <c r="L140">
        <v>15.82</v>
      </c>
      <c r="M140">
        <f t="shared" si="2"/>
        <v>15.82</v>
      </c>
    </row>
    <row r="141" spans="2:13">
      <c r="B141">
        <v>17</v>
      </c>
      <c r="C141" s="33" t="s">
        <v>266</v>
      </c>
      <c r="D141" s="33" t="s">
        <v>268</v>
      </c>
      <c r="E141" t="s">
        <v>502</v>
      </c>
      <c r="F141" t="s">
        <v>557</v>
      </c>
      <c r="G141" t="s">
        <v>561</v>
      </c>
      <c r="H141" t="s">
        <v>606</v>
      </c>
      <c r="I141" t="s">
        <v>607</v>
      </c>
      <c r="J141">
        <v>1</v>
      </c>
      <c r="K141" t="s">
        <v>550</v>
      </c>
      <c r="L141">
        <v>4.29</v>
      </c>
      <c r="M141">
        <f t="shared" si="2"/>
        <v>4.29</v>
      </c>
    </row>
    <row r="142" spans="2:13">
      <c r="B142">
        <v>18</v>
      </c>
      <c r="C142" s="33" t="s">
        <v>266</v>
      </c>
      <c r="D142" s="33" t="s">
        <v>268</v>
      </c>
      <c r="E142" t="s">
        <v>502</v>
      </c>
      <c r="F142" t="s">
        <v>557</v>
      </c>
      <c r="G142" t="s">
        <v>561</v>
      </c>
      <c r="H142" t="s">
        <v>608</v>
      </c>
      <c r="I142" t="s">
        <v>609</v>
      </c>
      <c r="J142">
        <v>1</v>
      </c>
      <c r="K142" t="s">
        <v>610</v>
      </c>
      <c r="L142">
        <v>58</v>
      </c>
      <c r="M142">
        <f t="shared" si="2"/>
        <v>58</v>
      </c>
    </row>
    <row r="143" spans="2:13">
      <c r="B143">
        <v>19</v>
      </c>
      <c r="C143" s="33" t="s">
        <v>266</v>
      </c>
      <c r="D143" s="33" t="s">
        <v>268</v>
      </c>
      <c r="E143" t="s">
        <v>502</v>
      </c>
      <c r="F143" t="s">
        <v>611</v>
      </c>
      <c r="G143" t="s">
        <v>544</v>
      </c>
      <c r="H143" t="s">
        <v>612</v>
      </c>
      <c r="I143" t="s">
        <v>613</v>
      </c>
      <c r="J143">
        <v>1</v>
      </c>
      <c r="K143" t="s">
        <v>595</v>
      </c>
      <c r="L143">
        <v>290</v>
      </c>
      <c r="M143">
        <f t="shared" si="2"/>
        <v>290</v>
      </c>
    </row>
    <row r="144" spans="2:13">
      <c r="B144">
        <v>19</v>
      </c>
      <c r="C144" s="33" t="s">
        <v>266</v>
      </c>
      <c r="D144" s="33" t="s">
        <v>268</v>
      </c>
      <c r="E144" t="s">
        <v>502</v>
      </c>
      <c r="F144" t="s">
        <v>611</v>
      </c>
      <c r="G144" t="s">
        <v>571</v>
      </c>
      <c r="H144" t="s">
        <v>614</v>
      </c>
      <c r="I144" t="s">
        <v>615</v>
      </c>
      <c r="J144">
        <v>1</v>
      </c>
      <c r="K144" t="s">
        <v>554</v>
      </c>
      <c r="L144">
        <v>100</v>
      </c>
      <c r="M144">
        <f t="shared" si="2"/>
        <v>100</v>
      </c>
    </row>
    <row r="145" spans="2:13">
      <c r="B145">
        <v>24</v>
      </c>
      <c r="C145" s="33" t="s">
        <v>266</v>
      </c>
      <c r="D145" s="33" t="s">
        <v>268</v>
      </c>
      <c r="E145" t="s">
        <v>502</v>
      </c>
      <c r="F145" t="s">
        <v>611</v>
      </c>
      <c r="G145" t="s">
        <v>561</v>
      </c>
      <c r="H145" t="s">
        <v>616</v>
      </c>
      <c r="I145" t="s">
        <v>617</v>
      </c>
      <c r="J145">
        <v>1</v>
      </c>
      <c r="K145" t="s">
        <v>618</v>
      </c>
      <c r="L145">
        <v>55</v>
      </c>
      <c r="M145">
        <f t="shared" si="2"/>
        <v>55</v>
      </c>
    </row>
    <row r="146" spans="2:13">
      <c r="B146">
        <v>26</v>
      </c>
      <c r="C146" s="33" t="s">
        <v>266</v>
      </c>
      <c r="D146" s="33" t="s">
        <v>268</v>
      </c>
      <c r="E146" t="s">
        <v>502</v>
      </c>
      <c r="F146" t="s">
        <v>611</v>
      </c>
      <c r="G146" t="s">
        <v>576</v>
      </c>
      <c r="H146" t="s">
        <v>619</v>
      </c>
      <c r="I146" t="s">
        <v>620</v>
      </c>
      <c r="J146">
        <v>1</v>
      </c>
      <c r="K146" t="s">
        <v>554</v>
      </c>
      <c r="L146">
        <v>66.26</v>
      </c>
      <c r="M146">
        <f t="shared" si="2"/>
        <v>66.26</v>
      </c>
    </row>
    <row r="147" spans="2:13">
      <c r="B147">
        <v>33</v>
      </c>
      <c r="C147" s="33" t="s">
        <v>266</v>
      </c>
      <c r="D147" s="33" t="s">
        <v>268</v>
      </c>
      <c r="E147" t="s">
        <v>502</v>
      </c>
      <c r="F147" t="s">
        <v>611</v>
      </c>
      <c r="G147" t="s">
        <v>621</v>
      </c>
      <c r="H147" t="s">
        <v>622</v>
      </c>
      <c r="I147" t="s">
        <v>623</v>
      </c>
      <c r="J147">
        <v>1</v>
      </c>
      <c r="K147" t="s">
        <v>554</v>
      </c>
      <c r="L147">
        <v>101</v>
      </c>
      <c r="M147">
        <f t="shared" si="2"/>
        <v>101</v>
      </c>
    </row>
    <row r="148" spans="2:13">
      <c r="B148">
        <v>19</v>
      </c>
      <c r="C148" s="33" t="s">
        <v>266</v>
      </c>
      <c r="D148" s="33" t="s">
        <v>268</v>
      </c>
      <c r="E148" t="s">
        <v>502</v>
      </c>
      <c r="F148" t="s">
        <v>611</v>
      </c>
      <c r="G148" t="s">
        <v>621</v>
      </c>
      <c r="H148" t="s">
        <v>624</v>
      </c>
      <c r="I148" t="s">
        <v>625</v>
      </c>
      <c r="J148">
        <v>1</v>
      </c>
      <c r="K148" t="s">
        <v>554</v>
      </c>
      <c r="L148">
        <v>418</v>
      </c>
      <c r="M148">
        <f t="shared" si="2"/>
        <v>418</v>
      </c>
    </row>
    <row r="149" spans="2:13">
      <c r="B149">
        <v>19</v>
      </c>
      <c r="C149" s="33" t="s">
        <v>266</v>
      </c>
      <c r="D149" s="33" t="s">
        <v>268</v>
      </c>
      <c r="E149" t="s">
        <v>502</v>
      </c>
      <c r="F149" t="s">
        <v>611</v>
      </c>
      <c r="G149" t="s">
        <v>621</v>
      </c>
      <c r="H149" t="s">
        <v>626</v>
      </c>
      <c r="I149" t="s">
        <v>627</v>
      </c>
      <c r="J149">
        <v>1</v>
      </c>
      <c r="K149" t="s">
        <v>554</v>
      </c>
      <c r="L149">
        <v>37</v>
      </c>
      <c r="M149">
        <f t="shared" si="2"/>
        <v>37</v>
      </c>
    </row>
    <row r="150" spans="2:13">
      <c r="B150">
        <v>20</v>
      </c>
      <c r="C150" s="33" t="s">
        <v>266</v>
      </c>
      <c r="D150" s="33" t="s">
        <v>268</v>
      </c>
      <c r="E150" t="s">
        <v>502</v>
      </c>
      <c r="F150" t="s">
        <v>611</v>
      </c>
      <c r="G150" t="s">
        <v>571</v>
      </c>
      <c r="H150" t="s">
        <v>628</v>
      </c>
      <c r="I150" t="s">
        <v>629</v>
      </c>
      <c r="J150">
        <v>1</v>
      </c>
      <c r="K150" t="s">
        <v>604</v>
      </c>
      <c r="L150">
        <v>370</v>
      </c>
      <c r="M150">
        <f t="shared" si="2"/>
        <v>370</v>
      </c>
    </row>
    <row r="151" spans="2:13">
      <c r="B151">
        <v>27</v>
      </c>
      <c r="C151" s="33" t="s">
        <v>266</v>
      </c>
      <c r="D151" s="33" t="s">
        <v>268</v>
      </c>
      <c r="E151" t="s">
        <v>502</v>
      </c>
      <c r="F151" t="s">
        <v>611</v>
      </c>
      <c r="G151" t="s">
        <v>551</v>
      </c>
      <c r="H151" t="s">
        <v>630</v>
      </c>
      <c r="I151" t="s">
        <v>631</v>
      </c>
      <c r="J151">
        <v>1</v>
      </c>
      <c r="K151" t="s">
        <v>566</v>
      </c>
      <c r="L151">
        <v>4.7</v>
      </c>
      <c r="M151">
        <f t="shared" si="2"/>
        <v>4.7</v>
      </c>
    </row>
    <row r="152" spans="2:13">
      <c r="B152">
        <v>27</v>
      </c>
      <c r="C152" s="33" t="s">
        <v>266</v>
      </c>
      <c r="D152" s="33" t="s">
        <v>268</v>
      </c>
      <c r="E152" t="s">
        <v>502</v>
      </c>
      <c r="F152" t="s">
        <v>611</v>
      </c>
      <c r="G152" t="s">
        <v>621</v>
      </c>
      <c r="H152" t="s">
        <v>632</v>
      </c>
      <c r="I152" t="s">
        <v>633</v>
      </c>
      <c r="J152">
        <v>1</v>
      </c>
      <c r="K152" t="s">
        <v>601</v>
      </c>
      <c r="L152">
        <v>370</v>
      </c>
      <c r="M152">
        <f t="shared" si="2"/>
        <v>370</v>
      </c>
    </row>
    <row r="153" spans="2:13">
      <c r="B153">
        <v>27</v>
      </c>
      <c r="C153" s="33" t="s">
        <v>266</v>
      </c>
      <c r="D153" s="33" t="s">
        <v>268</v>
      </c>
      <c r="E153" t="s">
        <v>502</v>
      </c>
      <c r="F153" t="s">
        <v>611</v>
      </c>
      <c r="G153" t="s">
        <v>621</v>
      </c>
      <c r="H153" t="s">
        <v>634</v>
      </c>
      <c r="I153" t="s">
        <v>635</v>
      </c>
      <c r="J153">
        <v>1</v>
      </c>
      <c r="K153" t="s">
        <v>554</v>
      </c>
      <c r="L153">
        <v>39.5</v>
      </c>
      <c r="M153">
        <f t="shared" si="2"/>
        <v>39.5</v>
      </c>
    </row>
    <row r="154" spans="2:13">
      <c r="B154">
        <v>27</v>
      </c>
      <c r="C154" s="33" t="s">
        <v>266</v>
      </c>
      <c r="D154" s="33" t="s">
        <v>268</v>
      </c>
      <c r="E154" t="s">
        <v>502</v>
      </c>
      <c r="F154" t="s">
        <v>611</v>
      </c>
      <c r="G154" t="s">
        <v>583</v>
      </c>
      <c r="H154" t="s">
        <v>636</v>
      </c>
      <c r="I154" t="s">
        <v>637</v>
      </c>
      <c r="J154">
        <v>1</v>
      </c>
      <c r="K154" t="s">
        <v>554</v>
      </c>
      <c r="L154">
        <v>41</v>
      </c>
      <c r="M154">
        <f t="shared" si="2"/>
        <v>41</v>
      </c>
    </row>
    <row r="155" spans="2:13">
      <c r="B155">
        <v>33</v>
      </c>
      <c r="C155" s="33" t="s">
        <v>266</v>
      </c>
      <c r="D155" s="33" t="s">
        <v>268</v>
      </c>
      <c r="E155" t="s">
        <v>502</v>
      </c>
      <c r="F155" t="s">
        <v>611</v>
      </c>
      <c r="G155" t="s">
        <v>621</v>
      </c>
      <c r="H155" t="s">
        <v>638</v>
      </c>
      <c r="I155" t="s">
        <v>639</v>
      </c>
      <c r="J155">
        <v>1</v>
      </c>
      <c r="K155" t="s">
        <v>554</v>
      </c>
      <c r="L155">
        <v>17.2</v>
      </c>
      <c r="M155">
        <f t="shared" si="2"/>
        <v>17.2</v>
      </c>
    </row>
    <row r="156" spans="2:13">
      <c r="B156">
        <v>33</v>
      </c>
      <c r="C156" s="33" t="s">
        <v>266</v>
      </c>
      <c r="D156" s="33" t="s">
        <v>268</v>
      </c>
      <c r="E156" t="s">
        <v>503</v>
      </c>
      <c r="F156" t="s">
        <v>543</v>
      </c>
      <c r="G156" t="s">
        <v>544</v>
      </c>
      <c r="H156" t="s">
        <v>545</v>
      </c>
      <c r="I156" t="s">
        <v>546</v>
      </c>
      <c r="J156">
        <v>1</v>
      </c>
      <c r="K156" t="s">
        <v>547</v>
      </c>
      <c r="L156">
        <v>920</v>
      </c>
      <c r="M156">
        <f t="shared" si="2"/>
        <v>920</v>
      </c>
    </row>
    <row r="157" spans="2:13">
      <c r="B157">
        <v>33</v>
      </c>
      <c r="C157" s="33" t="s">
        <v>266</v>
      </c>
      <c r="D157" s="33" t="s">
        <v>268</v>
      </c>
      <c r="E157" t="s">
        <v>503</v>
      </c>
      <c r="F157" t="s">
        <v>543</v>
      </c>
      <c r="G157" t="s">
        <v>544</v>
      </c>
      <c r="H157" t="s">
        <v>548</v>
      </c>
      <c r="I157" t="s">
        <v>549</v>
      </c>
      <c r="J157">
        <v>1</v>
      </c>
      <c r="K157" t="s">
        <v>550</v>
      </c>
      <c r="L157">
        <v>380</v>
      </c>
      <c r="M157">
        <f t="shared" si="2"/>
        <v>380</v>
      </c>
    </row>
    <row r="158" spans="2:13">
      <c r="B158">
        <v>33</v>
      </c>
      <c r="C158" s="33" t="s">
        <v>266</v>
      </c>
      <c r="D158" s="33" t="s">
        <v>268</v>
      </c>
      <c r="E158" t="s">
        <v>503</v>
      </c>
      <c r="F158" t="s">
        <v>543</v>
      </c>
      <c r="G158" t="s">
        <v>551</v>
      </c>
      <c r="H158" t="s">
        <v>552</v>
      </c>
      <c r="I158" t="s">
        <v>553</v>
      </c>
      <c r="J158">
        <v>1</v>
      </c>
      <c r="K158" t="s">
        <v>554</v>
      </c>
      <c r="L158">
        <v>14</v>
      </c>
      <c r="M158">
        <f t="shared" si="2"/>
        <v>14</v>
      </c>
    </row>
    <row r="159" spans="2:13">
      <c r="B159">
        <v>13</v>
      </c>
      <c r="C159" s="33" t="s">
        <v>266</v>
      </c>
      <c r="D159" s="33" t="s">
        <v>268</v>
      </c>
      <c r="E159" t="s">
        <v>503</v>
      </c>
      <c r="F159" t="s">
        <v>543</v>
      </c>
      <c r="G159" t="s">
        <v>551</v>
      </c>
      <c r="H159" t="s">
        <v>555</v>
      </c>
      <c r="I159" t="s">
        <v>556</v>
      </c>
      <c r="J159">
        <v>1</v>
      </c>
      <c r="K159" t="s">
        <v>554</v>
      </c>
      <c r="L159">
        <v>33</v>
      </c>
      <c r="M159">
        <f t="shared" si="2"/>
        <v>33</v>
      </c>
    </row>
    <row r="160" spans="2:13">
      <c r="B160">
        <v>12</v>
      </c>
      <c r="C160" s="33" t="s">
        <v>266</v>
      </c>
      <c r="D160" s="33" t="s">
        <v>268</v>
      </c>
      <c r="E160" t="s">
        <v>503</v>
      </c>
      <c r="F160" t="s">
        <v>557</v>
      </c>
      <c r="G160" t="s">
        <v>558</v>
      </c>
      <c r="H160" t="s">
        <v>559</v>
      </c>
      <c r="I160" t="s">
        <v>560</v>
      </c>
      <c r="J160">
        <v>1</v>
      </c>
      <c r="K160" t="s">
        <v>554</v>
      </c>
      <c r="L160">
        <v>0</v>
      </c>
      <c r="M160">
        <f t="shared" si="2"/>
        <v>0</v>
      </c>
    </row>
    <row r="161" spans="2:13">
      <c r="B161">
        <v>11</v>
      </c>
      <c r="C161" s="33" t="s">
        <v>266</v>
      </c>
      <c r="D161" s="33" t="s">
        <v>268</v>
      </c>
      <c r="E161" t="s">
        <v>503</v>
      </c>
      <c r="F161" t="s">
        <v>557</v>
      </c>
      <c r="G161" t="s">
        <v>561</v>
      </c>
      <c r="H161" t="s">
        <v>562</v>
      </c>
      <c r="I161" t="s">
        <v>563</v>
      </c>
      <c r="J161">
        <v>1</v>
      </c>
      <c r="K161" t="s">
        <v>554</v>
      </c>
      <c r="L161">
        <v>13.38</v>
      </c>
      <c r="M161">
        <f t="shared" si="2"/>
        <v>13.38</v>
      </c>
    </row>
    <row r="162" spans="2:13">
      <c r="B162">
        <v>10</v>
      </c>
      <c r="C162" s="33" t="s">
        <v>266</v>
      </c>
      <c r="D162" s="33" t="s">
        <v>268</v>
      </c>
      <c r="E162" t="s">
        <v>503</v>
      </c>
      <c r="F162" t="s">
        <v>557</v>
      </c>
      <c r="G162" t="s">
        <v>561</v>
      </c>
      <c r="H162" t="s">
        <v>564</v>
      </c>
      <c r="I162" t="s">
        <v>565</v>
      </c>
      <c r="J162">
        <v>1</v>
      </c>
      <c r="K162" t="s">
        <v>566</v>
      </c>
      <c r="L162">
        <v>26.93</v>
      </c>
      <c r="M162">
        <f t="shared" si="2"/>
        <v>26.93</v>
      </c>
    </row>
    <row r="163" spans="2:13">
      <c r="B163">
        <v>35</v>
      </c>
      <c r="C163" s="33" t="s">
        <v>266</v>
      </c>
      <c r="D163" s="33" t="s">
        <v>268</v>
      </c>
      <c r="E163" t="s">
        <v>503</v>
      </c>
      <c r="F163" t="s">
        <v>557</v>
      </c>
      <c r="G163" t="s">
        <v>561</v>
      </c>
      <c r="H163" t="s">
        <v>567</v>
      </c>
      <c r="I163" t="s">
        <v>568</v>
      </c>
      <c r="J163">
        <v>1</v>
      </c>
      <c r="K163" t="s">
        <v>566</v>
      </c>
      <c r="L163">
        <v>23.77</v>
      </c>
      <c r="M163">
        <f t="shared" si="2"/>
        <v>23.77</v>
      </c>
    </row>
    <row r="164" spans="2:13">
      <c r="B164">
        <v>37</v>
      </c>
      <c r="C164" s="33" t="s">
        <v>266</v>
      </c>
      <c r="D164" s="33" t="s">
        <v>268</v>
      </c>
      <c r="E164" t="s">
        <v>503</v>
      </c>
      <c r="F164" t="s">
        <v>557</v>
      </c>
      <c r="G164" t="s">
        <v>561</v>
      </c>
      <c r="H164" t="s">
        <v>569</v>
      </c>
      <c r="I164" t="s">
        <v>570</v>
      </c>
      <c r="J164">
        <v>1</v>
      </c>
      <c r="K164" t="s">
        <v>554</v>
      </c>
      <c r="L164">
        <v>47.7</v>
      </c>
      <c r="M164">
        <f t="shared" si="2"/>
        <v>47.7</v>
      </c>
    </row>
    <row r="165" spans="2:13">
      <c r="B165">
        <v>38</v>
      </c>
      <c r="C165" s="33" t="s">
        <v>266</v>
      </c>
      <c r="D165" s="33" t="s">
        <v>268</v>
      </c>
      <c r="E165" t="s">
        <v>503</v>
      </c>
      <c r="F165" t="s">
        <v>557</v>
      </c>
      <c r="G165" t="s">
        <v>571</v>
      </c>
      <c r="H165" t="s">
        <v>572</v>
      </c>
      <c r="I165" t="s">
        <v>573</v>
      </c>
      <c r="J165">
        <v>1</v>
      </c>
      <c r="K165" t="s">
        <v>554</v>
      </c>
      <c r="L165">
        <v>1680</v>
      </c>
      <c r="M165">
        <f t="shared" si="2"/>
        <v>1680</v>
      </c>
    </row>
    <row r="166" spans="2:13">
      <c r="B166">
        <v>39</v>
      </c>
      <c r="C166" s="33" t="s">
        <v>266</v>
      </c>
      <c r="D166" s="33" t="s">
        <v>268</v>
      </c>
      <c r="E166" t="s">
        <v>503</v>
      </c>
      <c r="F166" t="s">
        <v>557</v>
      </c>
      <c r="G166" t="s">
        <v>571</v>
      </c>
      <c r="H166" t="s">
        <v>574</v>
      </c>
      <c r="I166" t="s">
        <v>575</v>
      </c>
      <c r="J166">
        <v>1</v>
      </c>
      <c r="K166" t="s">
        <v>554</v>
      </c>
      <c r="L166">
        <v>10</v>
      </c>
      <c r="M166">
        <f t="shared" si="2"/>
        <v>10</v>
      </c>
    </row>
    <row r="167" spans="2:13">
      <c r="B167">
        <v>40</v>
      </c>
      <c r="C167" s="33" t="s">
        <v>266</v>
      </c>
      <c r="D167" s="33" t="s">
        <v>268</v>
      </c>
      <c r="E167" t="s">
        <v>503</v>
      </c>
      <c r="F167" t="s">
        <v>557</v>
      </c>
      <c r="G167" t="s">
        <v>576</v>
      </c>
      <c r="H167" t="s">
        <v>577</v>
      </c>
      <c r="I167" t="s">
        <v>578</v>
      </c>
      <c r="J167">
        <v>1</v>
      </c>
      <c r="K167" t="s">
        <v>554</v>
      </c>
      <c r="L167">
        <v>93</v>
      </c>
      <c r="M167">
        <f t="shared" si="2"/>
        <v>93</v>
      </c>
    </row>
    <row r="168" spans="2:13">
      <c r="B168">
        <v>41</v>
      </c>
      <c r="C168" s="33" t="s">
        <v>266</v>
      </c>
      <c r="D168" s="33" t="s">
        <v>268</v>
      </c>
      <c r="E168" t="s">
        <v>503</v>
      </c>
      <c r="F168" t="s">
        <v>557</v>
      </c>
      <c r="G168" t="s">
        <v>576</v>
      </c>
      <c r="H168" t="s">
        <v>579</v>
      </c>
      <c r="I168" t="s">
        <v>580</v>
      </c>
      <c r="J168">
        <v>1</v>
      </c>
      <c r="K168" t="s">
        <v>554</v>
      </c>
      <c r="L168">
        <v>56</v>
      </c>
      <c r="M168">
        <f t="shared" si="2"/>
        <v>56</v>
      </c>
    </row>
    <row r="169" spans="2:13">
      <c r="B169">
        <v>42</v>
      </c>
      <c r="C169" s="33" t="s">
        <v>266</v>
      </c>
      <c r="D169" s="33" t="s">
        <v>268</v>
      </c>
      <c r="E169" t="s">
        <v>503</v>
      </c>
      <c r="F169" t="s">
        <v>557</v>
      </c>
      <c r="G169" t="s">
        <v>558</v>
      </c>
      <c r="H169" t="s">
        <v>581</v>
      </c>
      <c r="I169" t="s">
        <v>582</v>
      </c>
      <c r="J169">
        <v>1</v>
      </c>
      <c r="K169" t="s">
        <v>554</v>
      </c>
      <c r="L169">
        <v>84</v>
      </c>
      <c r="M169">
        <f t="shared" si="2"/>
        <v>84</v>
      </c>
    </row>
    <row r="170" spans="2:13">
      <c r="B170">
        <v>43</v>
      </c>
      <c r="C170" s="33" t="s">
        <v>266</v>
      </c>
      <c r="D170" s="33" t="s">
        <v>268</v>
      </c>
      <c r="E170" t="s">
        <v>503</v>
      </c>
      <c r="F170" t="s">
        <v>557</v>
      </c>
      <c r="G170" t="s">
        <v>583</v>
      </c>
      <c r="H170" t="s">
        <v>584</v>
      </c>
      <c r="I170" t="s">
        <v>585</v>
      </c>
      <c r="J170">
        <v>1</v>
      </c>
      <c r="K170" t="s">
        <v>554</v>
      </c>
      <c r="L170">
        <v>165</v>
      </c>
      <c r="M170">
        <f t="shared" si="2"/>
        <v>165</v>
      </c>
    </row>
    <row r="171" spans="2:13">
      <c r="B171">
        <v>44</v>
      </c>
      <c r="C171" s="33" t="s">
        <v>266</v>
      </c>
      <c r="D171" s="33" t="s">
        <v>268</v>
      </c>
      <c r="E171" t="s">
        <v>503</v>
      </c>
      <c r="F171" t="s">
        <v>557</v>
      </c>
      <c r="G171" t="s">
        <v>561</v>
      </c>
      <c r="H171" t="s">
        <v>586</v>
      </c>
      <c r="I171" t="s">
        <v>587</v>
      </c>
      <c r="J171">
        <v>1</v>
      </c>
      <c r="K171" t="s">
        <v>554</v>
      </c>
      <c r="L171">
        <v>43</v>
      </c>
      <c r="M171">
        <f t="shared" si="2"/>
        <v>43</v>
      </c>
    </row>
    <row r="172" spans="2:13">
      <c r="B172">
        <v>45</v>
      </c>
      <c r="C172" s="33" t="s">
        <v>266</v>
      </c>
      <c r="D172" s="33" t="s">
        <v>268</v>
      </c>
      <c r="E172" t="s">
        <v>503</v>
      </c>
      <c r="F172" t="s">
        <v>557</v>
      </c>
      <c r="G172" t="s">
        <v>588</v>
      </c>
      <c r="H172" t="s">
        <v>589</v>
      </c>
      <c r="I172" t="s">
        <v>590</v>
      </c>
      <c r="J172">
        <v>1</v>
      </c>
      <c r="K172" t="s">
        <v>554</v>
      </c>
      <c r="L172">
        <v>425</v>
      </c>
      <c r="M172">
        <f t="shared" si="2"/>
        <v>425</v>
      </c>
    </row>
    <row r="173" spans="2:13">
      <c r="B173">
        <v>46</v>
      </c>
      <c r="C173" s="33" t="s">
        <v>266</v>
      </c>
      <c r="D173" s="33" t="s">
        <v>268</v>
      </c>
      <c r="E173" t="s">
        <v>503</v>
      </c>
      <c r="F173" t="s">
        <v>557</v>
      </c>
      <c r="G173" t="s">
        <v>561</v>
      </c>
      <c r="H173" t="s">
        <v>591</v>
      </c>
      <c r="I173" t="s">
        <v>592</v>
      </c>
      <c r="J173">
        <v>1</v>
      </c>
      <c r="K173" t="s">
        <v>554</v>
      </c>
      <c r="L173">
        <v>77</v>
      </c>
      <c r="M173">
        <f t="shared" si="2"/>
        <v>77</v>
      </c>
    </row>
    <row r="174" spans="2:13">
      <c r="B174">
        <v>47</v>
      </c>
      <c r="C174" s="33" t="s">
        <v>266</v>
      </c>
      <c r="D174" s="33" t="s">
        <v>268</v>
      </c>
      <c r="E174" t="s">
        <v>503</v>
      </c>
      <c r="F174" t="s">
        <v>557</v>
      </c>
      <c r="G174" t="s">
        <v>544</v>
      </c>
      <c r="H174" t="s">
        <v>593</v>
      </c>
      <c r="I174" t="s">
        <v>594</v>
      </c>
      <c r="J174">
        <v>2</v>
      </c>
      <c r="K174" t="s">
        <v>595</v>
      </c>
      <c r="L174">
        <v>415</v>
      </c>
      <c r="M174">
        <f t="shared" si="2"/>
        <v>830</v>
      </c>
    </row>
    <row r="175" spans="2:13">
      <c r="B175">
        <v>1</v>
      </c>
      <c r="C175" s="33" t="s">
        <v>266</v>
      </c>
      <c r="D175" s="33" t="s">
        <v>268</v>
      </c>
      <c r="E175" t="s">
        <v>503</v>
      </c>
      <c r="F175" t="s">
        <v>557</v>
      </c>
      <c r="G175" t="s">
        <v>596</v>
      </c>
      <c r="H175" t="s">
        <v>597</v>
      </c>
      <c r="I175" t="s">
        <v>640</v>
      </c>
      <c r="J175">
        <v>1</v>
      </c>
      <c r="K175" t="s">
        <v>641</v>
      </c>
      <c r="L175">
        <v>77</v>
      </c>
      <c r="M175">
        <f t="shared" si="2"/>
        <v>77</v>
      </c>
    </row>
    <row r="176" spans="2:13">
      <c r="B176">
        <v>2</v>
      </c>
      <c r="C176" s="33" t="s">
        <v>266</v>
      </c>
      <c r="D176" s="33" t="s">
        <v>268</v>
      </c>
      <c r="E176" t="s">
        <v>503</v>
      </c>
      <c r="F176" t="s">
        <v>557</v>
      </c>
      <c r="G176" t="s">
        <v>596</v>
      </c>
      <c r="H176" t="s">
        <v>597</v>
      </c>
      <c r="I176" t="s">
        <v>598</v>
      </c>
      <c r="J176">
        <v>1</v>
      </c>
      <c r="K176" t="s">
        <v>599</v>
      </c>
      <c r="L176">
        <v>53</v>
      </c>
      <c r="M176">
        <f t="shared" si="2"/>
        <v>53</v>
      </c>
    </row>
    <row r="177" spans="2:13">
      <c r="B177">
        <v>3</v>
      </c>
      <c r="C177" s="33" t="s">
        <v>266</v>
      </c>
      <c r="D177" s="33" t="s">
        <v>268</v>
      </c>
      <c r="E177" t="s">
        <v>503</v>
      </c>
      <c r="F177" t="s">
        <v>557</v>
      </c>
      <c r="G177" t="s">
        <v>561</v>
      </c>
      <c r="H177" t="s">
        <v>481</v>
      </c>
      <c r="I177" t="s">
        <v>600</v>
      </c>
      <c r="J177">
        <v>1</v>
      </c>
      <c r="K177" t="s">
        <v>601</v>
      </c>
      <c r="L177">
        <v>44.38</v>
      </c>
      <c r="M177">
        <f t="shared" si="2"/>
        <v>44.38</v>
      </c>
    </row>
    <row r="178" spans="2:13">
      <c r="B178">
        <v>4</v>
      </c>
      <c r="C178" s="33" t="s">
        <v>266</v>
      </c>
      <c r="D178" s="33" t="s">
        <v>268</v>
      </c>
      <c r="E178" t="s">
        <v>503</v>
      </c>
      <c r="F178" t="s">
        <v>557</v>
      </c>
      <c r="G178" t="s">
        <v>571</v>
      </c>
      <c r="H178" t="s">
        <v>602</v>
      </c>
      <c r="I178" t="s">
        <v>603</v>
      </c>
      <c r="J178">
        <v>1</v>
      </c>
      <c r="K178" t="s">
        <v>604</v>
      </c>
      <c r="L178">
        <v>48.27</v>
      </c>
      <c r="M178">
        <f t="shared" si="2"/>
        <v>48.27</v>
      </c>
    </row>
    <row r="179" spans="2:13">
      <c r="B179">
        <v>5</v>
      </c>
      <c r="C179" s="33" t="s">
        <v>266</v>
      </c>
      <c r="D179" s="33" t="s">
        <v>268</v>
      </c>
      <c r="E179" t="s">
        <v>503</v>
      </c>
      <c r="F179" t="s">
        <v>557</v>
      </c>
      <c r="G179" t="s">
        <v>561</v>
      </c>
      <c r="H179" t="s">
        <v>482</v>
      </c>
      <c r="I179" t="s">
        <v>605</v>
      </c>
      <c r="J179">
        <v>1</v>
      </c>
      <c r="K179" t="s">
        <v>566</v>
      </c>
      <c r="L179">
        <v>15.82</v>
      </c>
      <c r="M179">
        <f t="shared" si="2"/>
        <v>15.82</v>
      </c>
    </row>
    <row r="180" spans="2:13">
      <c r="B180">
        <v>6</v>
      </c>
      <c r="C180" s="33" t="s">
        <v>266</v>
      </c>
      <c r="D180" s="33" t="s">
        <v>268</v>
      </c>
      <c r="E180" t="s">
        <v>503</v>
      </c>
      <c r="F180" t="s">
        <v>557</v>
      </c>
      <c r="G180" t="s">
        <v>561</v>
      </c>
      <c r="H180" t="s">
        <v>606</v>
      </c>
      <c r="I180" t="s">
        <v>607</v>
      </c>
      <c r="J180">
        <v>1</v>
      </c>
      <c r="K180" t="s">
        <v>550</v>
      </c>
      <c r="L180">
        <v>4.29</v>
      </c>
      <c r="M180">
        <f t="shared" si="2"/>
        <v>4.29</v>
      </c>
    </row>
    <row r="181" spans="2:13">
      <c r="B181">
        <v>7</v>
      </c>
      <c r="C181" s="33" t="s">
        <v>266</v>
      </c>
      <c r="D181" s="33" t="s">
        <v>268</v>
      </c>
      <c r="E181" t="s">
        <v>503</v>
      </c>
      <c r="F181" t="s">
        <v>557</v>
      </c>
      <c r="G181" t="s">
        <v>561</v>
      </c>
      <c r="H181" t="s">
        <v>608</v>
      </c>
      <c r="I181" t="s">
        <v>609</v>
      </c>
      <c r="J181">
        <v>1</v>
      </c>
      <c r="K181" t="s">
        <v>610</v>
      </c>
      <c r="L181">
        <v>58</v>
      </c>
      <c r="M181">
        <f t="shared" si="2"/>
        <v>58</v>
      </c>
    </row>
    <row r="182" spans="2:13">
      <c r="B182">
        <v>8</v>
      </c>
      <c r="C182" s="33" t="s">
        <v>266</v>
      </c>
      <c r="D182" s="33" t="s">
        <v>268</v>
      </c>
      <c r="E182" t="s">
        <v>503</v>
      </c>
      <c r="F182" t="s">
        <v>611</v>
      </c>
      <c r="G182" t="s">
        <v>544</v>
      </c>
      <c r="H182" t="s">
        <v>612</v>
      </c>
      <c r="I182" t="s">
        <v>613</v>
      </c>
      <c r="J182">
        <v>1</v>
      </c>
      <c r="K182" t="s">
        <v>595</v>
      </c>
      <c r="L182">
        <v>290</v>
      </c>
      <c r="M182">
        <f t="shared" si="2"/>
        <v>290</v>
      </c>
    </row>
    <row r="183" spans="2:13">
      <c r="B183">
        <v>9</v>
      </c>
      <c r="C183" s="33" t="s">
        <v>266</v>
      </c>
      <c r="D183" s="33" t="s">
        <v>268</v>
      </c>
      <c r="E183" t="s">
        <v>503</v>
      </c>
      <c r="F183" t="s">
        <v>611</v>
      </c>
      <c r="G183" t="s">
        <v>571</v>
      </c>
      <c r="H183" t="s">
        <v>614</v>
      </c>
      <c r="I183" t="s">
        <v>615</v>
      </c>
      <c r="J183">
        <v>1</v>
      </c>
      <c r="K183" t="s">
        <v>554</v>
      </c>
      <c r="L183">
        <v>100</v>
      </c>
      <c r="M183">
        <f t="shared" si="2"/>
        <v>100</v>
      </c>
    </row>
    <row r="184" spans="2:13">
      <c r="B184">
        <v>9</v>
      </c>
      <c r="C184" s="33" t="s">
        <v>266</v>
      </c>
      <c r="D184" s="33" t="s">
        <v>268</v>
      </c>
      <c r="E184" t="s">
        <v>503</v>
      </c>
      <c r="F184" t="s">
        <v>611</v>
      </c>
      <c r="G184" t="s">
        <v>561</v>
      </c>
      <c r="H184" t="s">
        <v>616</v>
      </c>
      <c r="I184" t="s">
        <v>617</v>
      </c>
      <c r="J184">
        <v>1</v>
      </c>
      <c r="K184" t="s">
        <v>618</v>
      </c>
      <c r="L184">
        <v>55</v>
      </c>
      <c r="M184">
        <f t="shared" si="2"/>
        <v>55</v>
      </c>
    </row>
    <row r="185" spans="2:13">
      <c r="B185">
        <v>10</v>
      </c>
      <c r="C185" s="33" t="s">
        <v>266</v>
      </c>
      <c r="D185" s="33" t="s">
        <v>268</v>
      </c>
      <c r="E185" t="s">
        <v>503</v>
      </c>
      <c r="F185" t="s">
        <v>611</v>
      </c>
      <c r="G185" t="s">
        <v>576</v>
      </c>
      <c r="H185" t="s">
        <v>619</v>
      </c>
      <c r="I185" t="s">
        <v>620</v>
      </c>
      <c r="J185">
        <v>1</v>
      </c>
      <c r="K185" t="s">
        <v>554</v>
      </c>
      <c r="L185">
        <v>66.26</v>
      </c>
      <c r="M185">
        <f t="shared" si="2"/>
        <v>66.26</v>
      </c>
    </row>
    <row r="186" spans="2:13">
      <c r="B186">
        <v>11</v>
      </c>
      <c r="C186" s="33" t="s">
        <v>266</v>
      </c>
      <c r="D186" s="33" t="s">
        <v>268</v>
      </c>
      <c r="E186" t="s">
        <v>503</v>
      </c>
      <c r="F186" t="s">
        <v>611</v>
      </c>
      <c r="G186" t="s">
        <v>621</v>
      </c>
      <c r="H186" t="s">
        <v>622</v>
      </c>
      <c r="I186" t="s">
        <v>623</v>
      </c>
      <c r="J186">
        <v>1</v>
      </c>
      <c r="K186" t="s">
        <v>554</v>
      </c>
      <c r="L186">
        <v>101</v>
      </c>
      <c r="M186">
        <f t="shared" si="2"/>
        <v>101</v>
      </c>
    </row>
    <row r="187" spans="2:13">
      <c r="B187">
        <v>12</v>
      </c>
      <c r="C187" s="33" t="s">
        <v>266</v>
      </c>
      <c r="D187" s="33" t="s">
        <v>268</v>
      </c>
      <c r="E187" t="s">
        <v>503</v>
      </c>
      <c r="F187" t="s">
        <v>611</v>
      </c>
      <c r="G187" t="s">
        <v>621</v>
      </c>
      <c r="H187" t="s">
        <v>624</v>
      </c>
      <c r="I187" t="s">
        <v>625</v>
      </c>
      <c r="J187">
        <v>1</v>
      </c>
      <c r="K187" t="s">
        <v>554</v>
      </c>
      <c r="L187">
        <v>418</v>
      </c>
      <c r="M187">
        <f t="shared" si="2"/>
        <v>418</v>
      </c>
    </row>
    <row r="188" spans="2:13">
      <c r="B188">
        <v>12</v>
      </c>
      <c r="C188" s="33" t="s">
        <v>266</v>
      </c>
      <c r="D188" s="33" t="s">
        <v>268</v>
      </c>
      <c r="E188" t="s">
        <v>503</v>
      </c>
      <c r="F188" t="s">
        <v>611</v>
      </c>
      <c r="G188" t="s">
        <v>621</v>
      </c>
      <c r="H188" t="s">
        <v>626</v>
      </c>
      <c r="I188" t="s">
        <v>627</v>
      </c>
      <c r="J188">
        <v>1</v>
      </c>
      <c r="K188" t="s">
        <v>554</v>
      </c>
      <c r="L188">
        <v>37</v>
      </c>
      <c r="M188">
        <f t="shared" si="2"/>
        <v>37</v>
      </c>
    </row>
    <row r="189" spans="2:13">
      <c r="B189">
        <v>13</v>
      </c>
      <c r="C189" s="33" t="s">
        <v>266</v>
      </c>
      <c r="D189" s="33" t="s">
        <v>268</v>
      </c>
      <c r="E189" t="s">
        <v>503</v>
      </c>
      <c r="F189" t="s">
        <v>611</v>
      </c>
      <c r="G189" t="s">
        <v>571</v>
      </c>
      <c r="H189" t="s">
        <v>628</v>
      </c>
      <c r="I189" t="s">
        <v>629</v>
      </c>
      <c r="J189">
        <v>1</v>
      </c>
      <c r="K189" t="s">
        <v>604</v>
      </c>
      <c r="L189">
        <v>370</v>
      </c>
      <c r="M189">
        <f t="shared" si="2"/>
        <v>370</v>
      </c>
    </row>
    <row r="190" spans="2:13">
      <c r="B190">
        <v>14</v>
      </c>
      <c r="C190" s="33" t="s">
        <v>266</v>
      </c>
      <c r="D190" s="33" t="s">
        <v>268</v>
      </c>
      <c r="E190" t="s">
        <v>503</v>
      </c>
      <c r="F190" t="s">
        <v>611</v>
      </c>
      <c r="G190" t="s">
        <v>551</v>
      </c>
      <c r="H190" t="s">
        <v>630</v>
      </c>
      <c r="I190" t="s">
        <v>631</v>
      </c>
      <c r="J190">
        <v>1</v>
      </c>
      <c r="K190" t="s">
        <v>566</v>
      </c>
      <c r="L190">
        <v>4.7</v>
      </c>
      <c r="M190">
        <f t="shared" si="2"/>
        <v>4.7</v>
      </c>
    </row>
    <row r="191" spans="2:13">
      <c r="B191">
        <v>15</v>
      </c>
      <c r="C191" s="33" t="s">
        <v>266</v>
      </c>
      <c r="D191" s="33" t="s">
        <v>268</v>
      </c>
      <c r="E191" t="s">
        <v>503</v>
      </c>
      <c r="F191" t="s">
        <v>611</v>
      </c>
      <c r="G191" t="s">
        <v>621</v>
      </c>
      <c r="H191" t="s">
        <v>632</v>
      </c>
      <c r="I191" t="s">
        <v>633</v>
      </c>
      <c r="J191">
        <v>1</v>
      </c>
      <c r="K191" t="s">
        <v>601</v>
      </c>
      <c r="L191">
        <v>370</v>
      </c>
      <c r="M191">
        <f t="shared" si="2"/>
        <v>370</v>
      </c>
    </row>
    <row r="192" spans="2:13">
      <c r="B192">
        <v>16</v>
      </c>
      <c r="C192" s="33" t="s">
        <v>266</v>
      </c>
      <c r="D192" s="33" t="s">
        <v>268</v>
      </c>
      <c r="E192" t="s">
        <v>503</v>
      </c>
      <c r="F192" t="s">
        <v>611</v>
      </c>
      <c r="G192" t="s">
        <v>621</v>
      </c>
      <c r="H192" t="s">
        <v>634</v>
      </c>
      <c r="I192" t="s">
        <v>635</v>
      </c>
      <c r="J192">
        <v>1</v>
      </c>
      <c r="K192" t="s">
        <v>554</v>
      </c>
      <c r="L192">
        <v>39.5</v>
      </c>
      <c r="M192">
        <f t="shared" si="2"/>
        <v>39.5</v>
      </c>
    </row>
    <row r="193" spans="2:13">
      <c r="B193">
        <v>17</v>
      </c>
      <c r="C193" s="33" t="s">
        <v>266</v>
      </c>
      <c r="D193" s="33" t="s">
        <v>268</v>
      </c>
      <c r="E193" t="s">
        <v>503</v>
      </c>
      <c r="F193" t="s">
        <v>611</v>
      </c>
      <c r="G193" t="s">
        <v>583</v>
      </c>
      <c r="H193" t="s">
        <v>636</v>
      </c>
      <c r="I193" t="s">
        <v>637</v>
      </c>
      <c r="J193">
        <v>1</v>
      </c>
      <c r="K193" t="s">
        <v>554</v>
      </c>
      <c r="L193">
        <v>41</v>
      </c>
      <c r="M193">
        <f t="shared" si="2"/>
        <v>41</v>
      </c>
    </row>
    <row r="194" spans="2:13">
      <c r="B194">
        <v>18</v>
      </c>
      <c r="C194" s="33" t="s">
        <v>266</v>
      </c>
      <c r="D194" s="33" t="s">
        <v>268</v>
      </c>
      <c r="E194" t="s">
        <v>503</v>
      </c>
      <c r="F194" t="s">
        <v>611</v>
      </c>
      <c r="G194" t="s">
        <v>621</v>
      </c>
      <c r="H194" t="s">
        <v>638</v>
      </c>
      <c r="I194" t="s">
        <v>639</v>
      </c>
      <c r="J194">
        <v>1</v>
      </c>
      <c r="K194" t="s">
        <v>554</v>
      </c>
      <c r="L194">
        <v>17.2</v>
      </c>
      <c r="M194">
        <f t="shared" si="2"/>
        <v>17.2</v>
      </c>
    </row>
    <row r="195" spans="2:13">
      <c r="B195">
        <v>19</v>
      </c>
      <c r="C195" s="33" t="s">
        <v>266</v>
      </c>
      <c r="D195" s="33" t="s">
        <v>268</v>
      </c>
      <c r="E195" t="s">
        <v>504</v>
      </c>
      <c r="F195" t="s">
        <v>543</v>
      </c>
      <c r="G195" t="s">
        <v>544</v>
      </c>
      <c r="H195" t="s">
        <v>545</v>
      </c>
      <c r="I195" t="s">
        <v>546</v>
      </c>
      <c r="J195">
        <v>1</v>
      </c>
      <c r="K195" t="s">
        <v>547</v>
      </c>
      <c r="L195">
        <v>920</v>
      </c>
      <c r="M195">
        <f t="shared" si="2"/>
        <v>920</v>
      </c>
    </row>
    <row r="196" spans="2:13">
      <c r="B196">
        <v>24</v>
      </c>
      <c r="C196" s="33" t="s">
        <v>266</v>
      </c>
      <c r="D196" s="33" t="s">
        <v>268</v>
      </c>
      <c r="E196" t="s">
        <v>504</v>
      </c>
      <c r="F196" t="s">
        <v>543</v>
      </c>
      <c r="G196" t="s">
        <v>544</v>
      </c>
      <c r="H196" t="s">
        <v>548</v>
      </c>
      <c r="I196" t="s">
        <v>549</v>
      </c>
      <c r="J196">
        <v>1</v>
      </c>
      <c r="K196" t="s">
        <v>550</v>
      </c>
      <c r="L196">
        <v>380</v>
      </c>
      <c r="M196">
        <f t="shared" si="2"/>
        <v>380</v>
      </c>
    </row>
    <row r="197" spans="2:13">
      <c r="B197">
        <v>26</v>
      </c>
      <c r="C197" s="33" t="s">
        <v>266</v>
      </c>
      <c r="D197" s="33" t="s">
        <v>268</v>
      </c>
      <c r="E197" t="s">
        <v>504</v>
      </c>
      <c r="F197" t="s">
        <v>543</v>
      </c>
      <c r="G197" t="s">
        <v>551</v>
      </c>
      <c r="H197" t="s">
        <v>552</v>
      </c>
      <c r="I197" t="s">
        <v>553</v>
      </c>
      <c r="J197">
        <v>1</v>
      </c>
      <c r="K197" t="s">
        <v>554</v>
      </c>
      <c r="L197">
        <v>14</v>
      </c>
      <c r="M197">
        <f t="shared" ref="M197:M260" si="3">J197*L197</f>
        <v>14</v>
      </c>
    </row>
    <row r="198" spans="2:13">
      <c r="B198">
        <v>33</v>
      </c>
      <c r="C198" s="33" t="s">
        <v>266</v>
      </c>
      <c r="D198" s="33" t="s">
        <v>268</v>
      </c>
      <c r="E198" t="s">
        <v>504</v>
      </c>
      <c r="F198" t="s">
        <v>543</v>
      </c>
      <c r="G198" t="s">
        <v>551</v>
      </c>
      <c r="H198" t="s">
        <v>555</v>
      </c>
      <c r="I198" t="s">
        <v>556</v>
      </c>
      <c r="J198">
        <v>1</v>
      </c>
      <c r="K198" t="s">
        <v>554</v>
      </c>
      <c r="L198">
        <v>33</v>
      </c>
      <c r="M198">
        <f t="shared" si="3"/>
        <v>33</v>
      </c>
    </row>
    <row r="199" spans="2:13">
      <c r="B199">
        <v>19</v>
      </c>
      <c r="C199" s="33" t="s">
        <v>266</v>
      </c>
      <c r="D199" s="33" t="s">
        <v>268</v>
      </c>
      <c r="E199" t="s">
        <v>504</v>
      </c>
      <c r="F199" t="s">
        <v>557</v>
      </c>
      <c r="G199" t="s">
        <v>558</v>
      </c>
      <c r="H199" t="s">
        <v>559</v>
      </c>
      <c r="I199" t="s">
        <v>560</v>
      </c>
      <c r="J199">
        <v>1</v>
      </c>
      <c r="K199" t="s">
        <v>554</v>
      </c>
      <c r="L199">
        <v>0</v>
      </c>
      <c r="M199">
        <f t="shared" si="3"/>
        <v>0</v>
      </c>
    </row>
    <row r="200" spans="2:13">
      <c r="B200">
        <v>19</v>
      </c>
      <c r="C200" s="33" t="s">
        <v>266</v>
      </c>
      <c r="D200" s="33" t="s">
        <v>268</v>
      </c>
      <c r="E200" t="s">
        <v>504</v>
      </c>
      <c r="F200" t="s">
        <v>557</v>
      </c>
      <c r="G200" t="s">
        <v>561</v>
      </c>
      <c r="H200" t="s">
        <v>562</v>
      </c>
      <c r="I200" t="s">
        <v>563</v>
      </c>
      <c r="J200">
        <v>1</v>
      </c>
      <c r="K200" t="s">
        <v>554</v>
      </c>
      <c r="L200">
        <v>13.38</v>
      </c>
      <c r="M200">
        <f t="shared" si="3"/>
        <v>13.38</v>
      </c>
    </row>
    <row r="201" spans="2:13">
      <c r="B201">
        <v>20</v>
      </c>
      <c r="C201" s="33" t="s">
        <v>266</v>
      </c>
      <c r="D201" s="33" t="s">
        <v>268</v>
      </c>
      <c r="E201" t="s">
        <v>504</v>
      </c>
      <c r="F201" t="s">
        <v>557</v>
      </c>
      <c r="G201" t="s">
        <v>561</v>
      </c>
      <c r="H201" t="s">
        <v>564</v>
      </c>
      <c r="I201" t="s">
        <v>565</v>
      </c>
      <c r="J201">
        <v>1</v>
      </c>
      <c r="K201" t="s">
        <v>566</v>
      </c>
      <c r="L201">
        <v>26.93</v>
      </c>
      <c r="M201">
        <f t="shared" si="3"/>
        <v>26.93</v>
      </c>
    </row>
    <row r="202" spans="2:13">
      <c r="B202">
        <v>27</v>
      </c>
      <c r="C202" s="33" t="s">
        <v>266</v>
      </c>
      <c r="D202" s="33" t="s">
        <v>268</v>
      </c>
      <c r="E202" t="s">
        <v>504</v>
      </c>
      <c r="F202" t="s">
        <v>557</v>
      </c>
      <c r="G202" t="s">
        <v>561</v>
      </c>
      <c r="H202" t="s">
        <v>567</v>
      </c>
      <c r="I202" t="s">
        <v>568</v>
      </c>
      <c r="J202">
        <v>1</v>
      </c>
      <c r="K202" t="s">
        <v>566</v>
      </c>
      <c r="L202">
        <v>23.77</v>
      </c>
      <c r="M202">
        <f t="shared" si="3"/>
        <v>23.77</v>
      </c>
    </row>
    <row r="203" spans="2:13">
      <c r="B203">
        <v>27</v>
      </c>
      <c r="C203" s="33" t="s">
        <v>266</v>
      </c>
      <c r="D203" s="33" t="s">
        <v>268</v>
      </c>
      <c r="E203" t="s">
        <v>504</v>
      </c>
      <c r="F203" t="s">
        <v>557</v>
      </c>
      <c r="G203" t="s">
        <v>561</v>
      </c>
      <c r="H203" t="s">
        <v>569</v>
      </c>
      <c r="I203" t="s">
        <v>570</v>
      </c>
      <c r="J203">
        <v>1</v>
      </c>
      <c r="K203" t="s">
        <v>554</v>
      </c>
      <c r="L203">
        <v>47.7</v>
      </c>
      <c r="M203">
        <f t="shared" si="3"/>
        <v>47.7</v>
      </c>
    </row>
    <row r="204" spans="2:13">
      <c r="B204">
        <v>27</v>
      </c>
      <c r="C204" s="33" t="s">
        <v>266</v>
      </c>
      <c r="D204" s="33" t="s">
        <v>268</v>
      </c>
      <c r="E204" t="s">
        <v>504</v>
      </c>
      <c r="F204" t="s">
        <v>557</v>
      </c>
      <c r="G204" t="s">
        <v>571</v>
      </c>
      <c r="H204" t="s">
        <v>572</v>
      </c>
      <c r="I204" t="s">
        <v>573</v>
      </c>
      <c r="J204">
        <v>1</v>
      </c>
      <c r="K204" t="s">
        <v>554</v>
      </c>
      <c r="L204">
        <v>1680</v>
      </c>
      <c r="M204">
        <f t="shared" si="3"/>
        <v>1680</v>
      </c>
    </row>
    <row r="205" spans="2:13">
      <c r="B205">
        <v>27</v>
      </c>
      <c r="C205" s="33" t="s">
        <v>266</v>
      </c>
      <c r="D205" s="33" t="s">
        <v>268</v>
      </c>
      <c r="E205" t="s">
        <v>504</v>
      </c>
      <c r="F205" t="s">
        <v>557</v>
      </c>
      <c r="G205" t="s">
        <v>571</v>
      </c>
      <c r="H205" t="s">
        <v>574</v>
      </c>
      <c r="I205" t="s">
        <v>575</v>
      </c>
      <c r="J205">
        <v>1</v>
      </c>
      <c r="K205" t="s">
        <v>554</v>
      </c>
      <c r="L205">
        <v>10</v>
      </c>
      <c r="M205">
        <f t="shared" si="3"/>
        <v>10</v>
      </c>
    </row>
    <row r="206" spans="2:13">
      <c r="B206">
        <v>33</v>
      </c>
      <c r="C206" s="33" t="s">
        <v>266</v>
      </c>
      <c r="D206" s="33" t="s">
        <v>268</v>
      </c>
      <c r="E206" t="s">
        <v>504</v>
      </c>
      <c r="F206" t="s">
        <v>557</v>
      </c>
      <c r="G206" t="s">
        <v>576</v>
      </c>
      <c r="H206" t="s">
        <v>577</v>
      </c>
      <c r="I206" t="s">
        <v>578</v>
      </c>
      <c r="J206">
        <v>1</v>
      </c>
      <c r="K206" t="s">
        <v>554</v>
      </c>
      <c r="L206">
        <v>93</v>
      </c>
      <c r="M206">
        <f t="shared" si="3"/>
        <v>93</v>
      </c>
    </row>
    <row r="207" spans="2:13">
      <c r="B207">
        <v>33</v>
      </c>
      <c r="C207" s="33" t="s">
        <v>266</v>
      </c>
      <c r="D207" s="33" t="s">
        <v>268</v>
      </c>
      <c r="E207" t="s">
        <v>504</v>
      </c>
      <c r="F207" t="s">
        <v>557</v>
      </c>
      <c r="G207" t="s">
        <v>558</v>
      </c>
      <c r="H207" t="s">
        <v>581</v>
      </c>
      <c r="I207" t="s">
        <v>582</v>
      </c>
      <c r="J207">
        <v>1</v>
      </c>
      <c r="K207" t="s">
        <v>554</v>
      </c>
      <c r="L207">
        <v>84</v>
      </c>
      <c r="M207">
        <f t="shared" si="3"/>
        <v>84</v>
      </c>
    </row>
    <row r="208" spans="2:13">
      <c r="B208">
        <v>33</v>
      </c>
      <c r="C208" s="33" t="s">
        <v>266</v>
      </c>
      <c r="D208" s="33" t="s">
        <v>268</v>
      </c>
      <c r="E208" t="s">
        <v>504</v>
      </c>
      <c r="F208" t="s">
        <v>557</v>
      </c>
      <c r="G208" t="s">
        <v>583</v>
      </c>
      <c r="H208" t="s">
        <v>584</v>
      </c>
      <c r="I208" t="s">
        <v>585</v>
      </c>
      <c r="J208">
        <v>1</v>
      </c>
      <c r="K208" t="s">
        <v>554</v>
      </c>
      <c r="L208">
        <v>165</v>
      </c>
      <c r="M208">
        <f t="shared" si="3"/>
        <v>165</v>
      </c>
    </row>
    <row r="209" spans="2:13">
      <c r="B209">
        <v>33</v>
      </c>
      <c r="C209" s="33" t="s">
        <v>266</v>
      </c>
      <c r="D209" s="33" t="s">
        <v>268</v>
      </c>
      <c r="E209" t="s">
        <v>504</v>
      </c>
      <c r="F209" t="s">
        <v>557</v>
      </c>
      <c r="G209" t="s">
        <v>561</v>
      </c>
      <c r="H209" t="s">
        <v>586</v>
      </c>
      <c r="I209" t="s">
        <v>587</v>
      </c>
      <c r="J209">
        <v>1</v>
      </c>
      <c r="K209" t="s">
        <v>554</v>
      </c>
      <c r="L209">
        <v>43</v>
      </c>
      <c r="M209">
        <f t="shared" si="3"/>
        <v>43</v>
      </c>
    </row>
    <row r="210" spans="2:13">
      <c r="B210">
        <v>13</v>
      </c>
      <c r="C210" s="33" t="s">
        <v>266</v>
      </c>
      <c r="D210" s="33" t="s">
        <v>268</v>
      </c>
      <c r="E210" t="s">
        <v>504</v>
      </c>
      <c r="F210" t="s">
        <v>557</v>
      </c>
      <c r="G210" t="s">
        <v>588</v>
      </c>
      <c r="H210" t="s">
        <v>589</v>
      </c>
      <c r="I210" t="s">
        <v>590</v>
      </c>
      <c r="J210">
        <v>1</v>
      </c>
      <c r="K210" t="s">
        <v>554</v>
      </c>
      <c r="L210">
        <v>425</v>
      </c>
      <c r="M210">
        <f t="shared" si="3"/>
        <v>425</v>
      </c>
    </row>
    <row r="211" spans="2:13">
      <c r="B211">
        <v>12</v>
      </c>
      <c r="C211" s="33" t="s">
        <v>266</v>
      </c>
      <c r="D211" s="33" t="s">
        <v>268</v>
      </c>
      <c r="E211" t="s">
        <v>504</v>
      </c>
      <c r="F211" t="s">
        <v>557</v>
      </c>
      <c r="G211" t="s">
        <v>561</v>
      </c>
      <c r="H211" t="s">
        <v>591</v>
      </c>
      <c r="I211" t="s">
        <v>592</v>
      </c>
      <c r="J211">
        <v>1</v>
      </c>
      <c r="K211" t="s">
        <v>554</v>
      </c>
      <c r="L211">
        <v>77</v>
      </c>
      <c r="M211">
        <f t="shared" si="3"/>
        <v>77</v>
      </c>
    </row>
    <row r="212" spans="2:13">
      <c r="B212">
        <v>11</v>
      </c>
      <c r="C212" s="33" t="s">
        <v>266</v>
      </c>
      <c r="D212" s="33" t="s">
        <v>268</v>
      </c>
      <c r="E212" t="s">
        <v>504</v>
      </c>
      <c r="F212" t="s">
        <v>557</v>
      </c>
      <c r="G212" t="s">
        <v>544</v>
      </c>
      <c r="H212" t="s">
        <v>593</v>
      </c>
      <c r="I212" t="s">
        <v>594</v>
      </c>
      <c r="J212">
        <v>1</v>
      </c>
      <c r="K212" t="s">
        <v>595</v>
      </c>
      <c r="L212">
        <v>415</v>
      </c>
      <c r="M212">
        <f t="shared" si="3"/>
        <v>415</v>
      </c>
    </row>
    <row r="213" spans="2:13">
      <c r="B213">
        <v>10</v>
      </c>
      <c r="C213" s="33" t="s">
        <v>266</v>
      </c>
      <c r="D213" s="33" t="s">
        <v>268</v>
      </c>
      <c r="E213" t="s">
        <v>504</v>
      </c>
      <c r="F213" t="s">
        <v>557</v>
      </c>
      <c r="G213" t="s">
        <v>596</v>
      </c>
      <c r="H213" t="s">
        <v>597</v>
      </c>
      <c r="I213" t="s">
        <v>598</v>
      </c>
      <c r="J213">
        <v>1</v>
      </c>
      <c r="K213" t="s">
        <v>599</v>
      </c>
      <c r="L213">
        <v>53</v>
      </c>
      <c r="M213">
        <f t="shared" si="3"/>
        <v>53</v>
      </c>
    </row>
    <row r="214" spans="2:13">
      <c r="B214">
        <v>35</v>
      </c>
      <c r="C214" s="33" t="s">
        <v>266</v>
      </c>
      <c r="D214" s="33" t="s">
        <v>268</v>
      </c>
      <c r="E214" t="s">
        <v>504</v>
      </c>
      <c r="F214" t="s">
        <v>557</v>
      </c>
      <c r="G214" t="s">
        <v>561</v>
      </c>
      <c r="H214" t="s">
        <v>481</v>
      </c>
      <c r="I214" t="s">
        <v>600</v>
      </c>
      <c r="J214">
        <v>1</v>
      </c>
      <c r="K214" t="s">
        <v>601</v>
      </c>
      <c r="L214">
        <v>44.38</v>
      </c>
      <c r="M214">
        <f t="shared" si="3"/>
        <v>44.38</v>
      </c>
    </row>
    <row r="215" spans="2:13">
      <c r="B215">
        <v>37</v>
      </c>
      <c r="C215" s="33" t="s">
        <v>266</v>
      </c>
      <c r="D215" s="33" t="s">
        <v>268</v>
      </c>
      <c r="E215" t="s">
        <v>504</v>
      </c>
      <c r="F215" t="s">
        <v>557</v>
      </c>
      <c r="G215" t="s">
        <v>571</v>
      </c>
      <c r="H215" t="s">
        <v>602</v>
      </c>
      <c r="I215" t="s">
        <v>603</v>
      </c>
      <c r="J215">
        <v>1</v>
      </c>
      <c r="K215" t="s">
        <v>604</v>
      </c>
      <c r="L215">
        <v>48.27</v>
      </c>
      <c r="M215">
        <f t="shared" si="3"/>
        <v>48.27</v>
      </c>
    </row>
    <row r="216" spans="2:13">
      <c r="B216">
        <v>38</v>
      </c>
      <c r="C216" s="33" t="s">
        <v>266</v>
      </c>
      <c r="D216" s="33" t="s">
        <v>268</v>
      </c>
      <c r="E216" t="s">
        <v>504</v>
      </c>
      <c r="F216" t="s">
        <v>557</v>
      </c>
      <c r="G216" t="s">
        <v>561</v>
      </c>
      <c r="H216" t="s">
        <v>482</v>
      </c>
      <c r="I216" t="s">
        <v>605</v>
      </c>
      <c r="J216">
        <v>1</v>
      </c>
      <c r="K216" t="s">
        <v>566</v>
      </c>
      <c r="L216">
        <v>15.82</v>
      </c>
      <c r="M216">
        <f t="shared" si="3"/>
        <v>15.82</v>
      </c>
    </row>
    <row r="217" spans="2:13">
      <c r="B217">
        <v>39</v>
      </c>
      <c r="C217" s="33" t="s">
        <v>266</v>
      </c>
      <c r="D217" s="33" t="s">
        <v>268</v>
      </c>
      <c r="E217" t="s">
        <v>504</v>
      </c>
      <c r="F217" t="s">
        <v>557</v>
      </c>
      <c r="G217" t="s">
        <v>561</v>
      </c>
      <c r="H217" t="s">
        <v>606</v>
      </c>
      <c r="I217" t="s">
        <v>607</v>
      </c>
      <c r="J217">
        <v>1</v>
      </c>
      <c r="K217" t="s">
        <v>550</v>
      </c>
      <c r="L217">
        <v>4.29</v>
      </c>
      <c r="M217">
        <f t="shared" si="3"/>
        <v>4.29</v>
      </c>
    </row>
    <row r="218" spans="2:13">
      <c r="B218">
        <v>40</v>
      </c>
      <c r="C218" s="33" t="s">
        <v>266</v>
      </c>
      <c r="D218" s="33" t="s">
        <v>268</v>
      </c>
      <c r="E218" t="s">
        <v>504</v>
      </c>
      <c r="F218" t="s">
        <v>557</v>
      </c>
      <c r="G218" t="s">
        <v>561</v>
      </c>
      <c r="H218" t="s">
        <v>608</v>
      </c>
      <c r="I218" t="s">
        <v>609</v>
      </c>
      <c r="J218">
        <v>1</v>
      </c>
      <c r="K218" t="s">
        <v>610</v>
      </c>
      <c r="L218">
        <v>58</v>
      </c>
      <c r="M218">
        <f t="shared" si="3"/>
        <v>58</v>
      </c>
    </row>
    <row r="219" spans="2:13">
      <c r="B219">
        <v>41</v>
      </c>
      <c r="C219" s="33" t="s">
        <v>266</v>
      </c>
      <c r="D219" s="33" t="s">
        <v>268</v>
      </c>
      <c r="E219" t="s">
        <v>504</v>
      </c>
      <c r="F219" t="s">
        <v>611</v>
      </c>
      <c r="G219" t="s">
        <v>544</v>
      </c>
      <c r="H219" t="s">
        <v>612</v>
      </c>
      <c r="I219" t="s">
        <v>613</v>
      </c>
      <c r="J219">
        <v>1</v>
      </c>
      <c r="K219" t="s">
        <v>595</v>
      </c>
      <c r="L219">
        <v>290</v>
      </c>
      <c r="M219">
        <f t="shared" si="3"/>
        <v>290</v>
      </c>
    </row>
    <row r="220" spans="2:13">
      <c r="B220">
        <v>42</v>
      </c>
      <c r="C220" s="33" t="s">
        <v>266</v>
      </c>
      <c r="D220" s="33" t="s">
        <v>268</v>
      </c>
      <c r="E220" t="s">
        <v>504</v>
      </c>
      <c r="F220" t="s">
        <v>611</v>
      </c>
      <c r="G220" t="s">
        <v>571</v>
      </c>
      <c r="H220" t="s">
        <v>614</v>
      </c>
      <c r="I220" t="s">
        <v>615</v>
      </c>
      <c r="J220">
        <v>1</v>
      </c>
      <c r="K220" t="s">
        <v>554</v>
      </c>
      <c r="L220">
        <v>100</v>
      </c>
      <c r="M220">
        <f t="shared" si="3"/>
        <v>100</v>
      </c>
    </row>
    <row r="221" spans="2:13">
      <c r="B221">
        <v>43</v>
      </c>
      <c r="C221" s="33" t="s">
        <v>266</v>
      </c>
      <c r="D221" s="33" t="s">
        <v>268</v>
      </c>
      <c r="E221" t="s">
        <v>504</v>
      </c>
      <c r="F221" t="s">
        <v>611</v>
      </c>
      <c r="G221" t="s">
        <v>561</v>
      </c>
      <c r="H221" t="s">
        <v>616</v>
      </c>
      <c r="I221" t="s">
        <v>617</v>
      </c>
      <c r="J221">
        <v>1</v>
      </c>
      <c r="K221" t="s">
        <v>618</v>
      </c>
      <c r="L221">
        <v>55</v>
      </c>
      <c r="M221">
        <f t="shared" si="3"/>
        <v>55</v>
      </c>
    </row>
    <row r="222" spans="2:13">
      <c r="B222">
        <v>44</v>
      </c>
      <c r="C222" s="33" t="s">
        <v>266</v>
      </c>
      <c r="D222" s="33" t="s">
        <v>268</v>
      </c>
      <c r="E222" t="s">
        <v>504</v>
      </c>
      <c r="F222" t="s">
        <v>611</v>
      </c>
      <c r="G222" t="s">
        <v>576</v>
      </c>
      <c r="H222" t="s">
        <v>619</v>
      </c>
      <c r="I222" t="s">
        <v>620</v>
      </c>
      <c r="J222">
        <v>1</v>
      </c>
      <c r="K222" t="s">
        <v>554</v>
      </c>
      <c r="L222">
        <v>66.26</v>
      </c>
      <c r="M222">
        <f t="shared" si="3"/>
        <v>66.26</v>
      </c>
    </row>
    <row r="223" spans="2:13">
      <c r="B223">
        <v>45</v>
      </c>
      <c r="C223" s="33" t="s">
        <v>266</v>
      </c>
      <c r="D223" s="33" t="s">
        <v>268</v>
      </c>
      <c r="E223" t="s">
        <v>504</v>
      </c>
      <c r="F223" t="s">
        <v>611</v>
      </c>
      <c r="G223" t="s">
        <v>621</v>
      </c>
      <c r="H223" t="s">
        <v>622</v>
      </c>
      <c r="I223" t="s">
        <v>623</v>
      </c>
      <c r="J223">
        <v>1</v>
      </c>
      <c r="K223" t="s">
        <v>554</v>
      </c>
      <c r="L223">
        <v>101</v>
      </c>
      <c r="M223">
        <f t="shared" si="3"/>
        <v>101</v>
      </c>
    </row>
    <row r="224" spans="2:13">
      <c r="B224">
        <v>46</v>
      </c>
      <c r="C224" s="33" t="s">
        <v>266</v>
      </c>
      <c r="D224" s="33" t="s">
        <v>268</v>
      </c>
      <c r="E224" t="s">
        <v>504</v>
      </c>
      <c r="F224" t="s">
        <v>611</v>
      </c>
      <c r="G224" t="s">
        <v>621</v>
      </c>
      <c r="H224" t="s">
        <v>624</v>
      </c>
      <c r="I224" t="s">
        <v>625</v>
      </c>
      <c r="J224">
        <v>1</v>
      </c>
      <c r="K224" t="s">
        <v>554</v>
      </c>
      <c r="L224">
        <v>418</v>
      </c>
      <c r="M224">
        <f t="shared" si="3"/>
        <v>418</v>
      </c>
    </row>
    <row r="225" spans="2:13">
      <c r="B225">
        <v>47</v>
      </c>
      <c r="C225" s="33" t="s">
        <v>266</v>
      </c>
      <c r="D225" s="33" t="s">
        <v>268</v>
      </c>
      <c r="E225" t="s">
        <v>504</v>
      </c>
      <c r="F225" t="s">
        <v>611</v>
      </c>
      <c r="G225" t="s">
        <v>621</v>
      </c>
      <c r="H225" t="s">
        <v>626</v>
      </c>
      <c r="I225" t="s">
        <v>627</v>
      </c>
      <c r="J225">
        <v>1</v>
      </c>
      <c r="K225" t="s">
        <v>554</v>
      </c>
      <c r="L225">
        <v>37</v>
      </c>
      <c r="M225">
        <f t="shared" si="3"/>
        <v>37</v>
      </c>
    </row>
    <row r="226" spans="2:13">
      <c r="B226">
        <v>1</v>
      </c>
      <c r="C226" s="33" t="s">
        <v>266</v>
      </c>
      <c r="D226" s="33" t="s">
        <v>268</v>
      </c>
      <c r="E226" t="s">
        <v>504</v>
      </c>
      <c r="F226" t="s">
        <v>611</v>
      </c>
      <c r="G226" t="s">
        <v>571</v>
      </c>
      <c r="H226" t="s">
        <v>628</v>
      </c>
      <c r="I226" t="s">
        <v>629</v>
      </c>
      <c r="J226">
        <v>1</v>
      </c>
      <c r="K226" t="s">
        <v>604</v>
      </c>
      <c r="L226">
        <v>370</v>
      </c>
      <c r="M226">
        <f t="shared" si="3"/>
        <v>370</v>
      </c>
    </row>
    <row r="227" spans="2:13">
      <c r="B227">
        <v>2</v>
      </c>
      <c r="C227" s="33" t="s">
        <v>266</v>
      </c>
      <c r="D227" s="33" t="s">
        <v>268</v>
      </c>
      <c r="E227" t="s">
        <v>504</v>
      </c>
      <c r="F227" t="s">
        <v>611</v>
      </c>
      <c r="G227" t="s">
        <v>551</v>
      </c>
      <c r="H227" t="s">
        <v>630</v>
      </c>
      <c r="I227" t="s">
        <v>631</v>
      </c>
      <c r="J227">
        <v>1</v>
      </c>
      <c r="K227" t="s">
        <v>566</v>
      </c>
      <c r="L227">
        <v>4.7</v>
      </c>
      <c r="M227">
        <f t="shared" si="3"/>
        <v>4.7</v>
      </c>
    </row>
    <row r="228" spans="2:13">
      <c r="B228">
        <v>3</v>
      </c>
      <c r="C228" s="33" t="s">
        <v>266</v>
      </c>
      <c r="D228" s="33" t="s">
        <v>268</v>
      </c>
      <c r="E228" t="s">
        <v>504</v>
      </c>
      <c r="F228" t="s">
        <v>611</v>
      </c>
      <c r="G228" t="s">
        <v>621</v>
      </c>
      <c r="H228" t="s">
        <v>632</v>
      </c>
      <c r="I228" t="s">
        <v>633</v>
      </c>
      <c r="J228">
        <v>1</v>
      </c>
      <c r="K228" t="s">
        <v>601</v>
      </c>
      <c r="L228">
        <v>370</v>
      </c>
      <c r="M228">
        <f t="shared" si="3"/>
        <v>370</v>
      </c>
    </row>
    <row r="229" spans="2:13">
      <c r="B229">
        <v>4</v>
      </c>
      <c r="C229" s="33" t="s">
        <v>266</v>
      </c>
      <c r="D229" s="33" t="s">
        <v>268</v>
      </c>
      <c r="E229" t="s">
        <v>504</v>
      </c>
      <c r="F229" t="s">
        <v>611</v>
      </c>
      <c r="G229" t="s">
        <v>621</v>
      </c>
      <c r="H229" t="s">
        <v>634</v>
      </c>
      <c r="I229" t="s">
        <v>635</v>
      </c>
      <c r="J229">
        <v>1</v>
      </c>
      <c r="K229" t="s">
        <v>554</v>
      </c>
      <c r="L229">
        <v>39.5</v>
      </c>
      <c r="M229">
        <f t="shared" si="3"/>
        <v>39.5</v>
      </c>
    </row>
    <row r="230" spans="2:13">
      <c r="B230">
        <v>5</v>
      </c>
      <c r="C230" s="33" t="s">
        <v>266</v>
      </c>
      <c r="D230" s="33" t="s">
        <v>268</v>
      </c>
      <c r="E230" t="s">
        <v>504</v>
      </c>
      <c r="F230" t="s">
        <v>611</v>
      </c>
      <c r="G230" t="s">
        <v>583</v>
      </c>
      <c r="H230" t="s">
        <v>636</v>
      </c>
      <c r="I230" t="s">
        <v>637</v>
      </c>
      <c r="J230">
        <v>1</v>
      </c>
      <c r="K230" t="s">
        <v>554</v>
      </c>
      <c r="L230">
        <v>41</v>
      </c>
      <c r="M230">
        <f t="shared" si="3"/>
        <v>41</v>
      </c>
    </row>
    <row r="231" spans="2:13">
      <c r="B231">
        <v>6</v>
      </c>
      <c r="C231" s="33" t="s">
        <v>266</v>
      </c>
      <c r="D231" s="33" t="s">
        <v>268</v>
      </c>
      <c r="E231" t="s">
        <v>504</v>
      </c>
      <c r="F231" t="s">
        <v>611</v>
      </c>
      <c r="G231" t="s">
        <v>621</v>
      </c>
      <c r="H231" t="s">
        <v>638</v>
      </c>
      <c r="I231" t="s">
        <v>639</v>
      </c>
      <c r="J231">
        <v>1</v>
      </c>
      <c r="K231" t="s">
        <v>554</v>
      </c>
      <c r="L231">
        <v>17.2</v>
      </c>
      <c r="M231">
        <f t="shared" si="3"/>
        <v>17.2</v>
      </c>
    </row>
    <row r="232" spans="2:13">
      <c r="B232">
        <v>27</v>
      </c>
      <c r="C232" s="33" t="s">
        <v>266</v>
      </c>
      <c r="D232" s="33" t="s">
        <v>268</v>
      </c>
      <c r="E232" t="s">
        <v>505</v>
      </c>
      <c r="F232" t="s">
        <v>543</v>
      </c>
      <c r="G232" t="s">
        <v>544</v>
      </c>
      <c r="H232" t="s">
        <v>545</v>
      </c>
      <c r="I232" t="s">
        <v>546</v>
      </c>
      <c r="J232">
        <v>1</v>
      </c>
      <c r="K232" t="s">
        <v>547</v>
      </c>
      <c r="L232">
        <v>920</v>
      </c>
      <c r="M232">
        <f t="shared" si="3"/>
        <v>920</v>
      </c>
    </row>
    <row r="233" spans="2:13">
      <c r="B233">
        <v>27</v>
      </c>
      <c r="C233" s="33" t="s">
        <v>266</v>
      </c>
      <c r="D233" s="33" t="s">
        <v>268</v>
      </c>
      <c r="E233" t="s">
        <v>505</v>
      </c>
      <c r="F233" t="s">
        <v>543</v>
      </c>
      <c r="G233" t="s">
        <v>544</v>
      </c>
      <c r="H233" t="s">
        <v>548</v>
      </c>
      <c r="I233" t="s">
        <v>549</v>
      </c>
      <c r="J233">
        <v>1</v>
      </c>
      <c r="K233" t="s">
        <v>550</v>
      </c>
      <c r="L233">
        <v>380</v>
      </c>
      <c r="M233">
        <f t="shared" si="3"/>
        <v>380</v>
      </c>
    </row>
    <row r="234" spans="2:13">
      <c r="B234">
        <v>27</v>
      </c>
      <c r="C234" s="33" t="s">
        <v>266</v>
      </c>
      <c r="D234" s="33" t="s">
        <v>268</v>
      </c>
      <c r="E234" t="s">
        <v>505</v>
      </c>
      <c r="F234" t="s">
        <v>543</v>
      </c>
      <c r="G234" t="s">
        <v>551</v>
      </c>
      <c r="H234" t="s">
        <v>552</v>
      </c>
      <c r="I234" t="s">
        <v>553</v>
      </c>
      <c r="J234">
        <v>1</v>
      </c>
      <c r="K234" t="s">
        <v>554</v>
      </c>
      <c r="L234">
        <v>14</v>
      </c>
      <c r="M234">
        <f t="shared" si="3"/>
        <v>14</v>
      </c>
    </row>
    <row r="235" spans="2:13">
      <c r="B235">
        <v>10</v>
      </c>
      <c r="C235" s="33" t="s">
        <v>266</v>
      </c>
      <c r="D235" s="33" t="s">
        <v>268</v>
      </c>
      <c r="E235" t="s">
        <v>505</v>
      </c>
      <c r="F235" t="s">
        <v>543</v>
      </c>
      <c r="G235" t="s">
        <v>551</v>
      </c>
      <c r="H235" t="s">
        <v>555</v>
      </c>
      <c r="I235" t="s">
        <v>556</v>
      </c>
      <c r="J235">
        <v>1</v>
      </c>
      <c r="K235" t="s">
        <v>554</v>
      </c>
      <c r="L235">
        <v>33</v>
      </c>
      <c r="M235">
        <f t="shared" si="3"/>
        <v>33</v>
      </c>
    </row>
    <row r="236" spans="2:13">
      <c r="B236">
        <v>11</v>
      </c>
      <c r="C236" s="33" t="s">
        <v>266</v>
      </c>
      <c r="D236" s="33" t="s">
        <v>268</v>
      </c>
      <c r="E236" t="s">
        <v>505</v>
      </c>
      <c r="F236" t="s">
        <v>557</v>
      </c>
      <c r="G236" t="s">
        <v>558</v>
      </c>
      <c r="H236" t="s">
        <v>559</v>
      </c>
      <c r="I236" t="s">
        <v>560</v>
      </c>
      <c r="J236">
        <v>1</v>
      </c>
      <c r="K236" t="s">
        <v>554</v>
      </c>
      <c r="L236">
        <v>0</v>
      </c>
      <c r="M236">
        <f t="shared" si="3"/>
        <v>0</v>
      </c>
    </row>
    <row r="237" spans="2:13">
      <c r="B237">
        <v>12</v>
      </c>
      <c r="C237" s="33" t="s">
        <v>266</v>
      </c>
      <c r="D237" s="33" t="s">
        <v>268</v>
      </c>
      <c r="E237" t="s">
        <v>505</v>
      </c>
      <c r="F237" t="s">
        <v>557</v>
      </c>
      <c r="G237" t="s">
        <v>561</v>
      </c>
      <c r="H237" t="s">
        <v>562</v>
      </c>
      <c r="I237" t="s">
        <v>563</v>
      </c>
      <c r="J237">
        <v>1</v>
      </c>
      <c r="K237" t="s">
        <v>554</v>
      </c>
      <c r="L237">
        <v>13.38</v>
      </c>
      <c r="M237">
        <f t="shared" si="3"/>
        <v>13.38</v>
      </c>
    </row>
    <row r="238" spans="2:13">
      <c r="B238">
        <v>13</v>
      </c>
      <c r="C238" s="33" t="s">
        <v>266</v>
      </c>
      <c r="D238" s="33" t="s">
        <v>268</v>
      </c>
      <c r="E238" t="s">
        <v>505</v>
      </c>
      <c r="F238" t="s">
        <v>557</v>
      </c>
      <c r="G238" t="s">
        <v>561</v>
      </c>
      <c r="H238" t="s">
        <v>564</v>
      </c>
      <c r="I238" t="s">
        <v>565</v>
      </c>
      <c r="J238">
        <v>1</v>
      </c>
      <c r="K238" t="s">
        <v>566</v>
      </c>
      <c r="L238">
        <v>26.93</v>
      </c>
      <c r="M238">
        <f t="shared" si="3"/>
        <v>26.93</v>
      </c>
    </row>
    <row r="239" spans="2:13">
      <c r="B239">
        <v>14</v>
      </c>
      <c r="C239" s="33" t="s">
        <v>266</v>
      </c>
      <c r="D239" s="33" t="s">
        <v>268</v>
      </c>
      <c r="E239" t="s">
        <v>505</v>
      </c>
      <c r="F239" t="s">
        <v>557</v>
      </c>
      <c r="G239" t="s">
        <v>561</v>
      </c>
      <c r="H239" t="s">
        <v>567</v>
      </c>
      <c r="I239" t="s">
        <v>568</v>
      </c>
      <c r="J239">
        <v>1</v>
      </c>
      <c r="K239" t="s">
        <v>566</v>
      </c>
      <c r="L239">
        <v>23.77</v>
      </c>
      <c r="M239">
        <f t="shared" si="3"/>
        <v>23.77</v>
      </c>
    </row>
    <row r="240" spans="2:13">
      <c r="B240">
        <v>15</v>
      </c>
      <c r="C240" s="33" t="s">
        <v>266</v>
      </c>
      <c r="D240" s="33" t="s">
        <v>268</v>
      </c>
      <c r="E240" t="s">
        <v>505</v>
      </c>
      <c r="F240" t="s">
        <v>557</v>
      </c>
      <c r="G240" t="s">
        <v>561</v>
      </c>
      <c r="H240" t="s">
        <v>569</v>
      </c>
      <c r="I240" t="s">
        <v>642</v>
      </c>
      <c r="J240">
        <v>1</v>
      </c>
      <c r="K240" t="s">
        <v>554</v>
      </c>
      <c r="L240">
        <v>46.61</v>
      </c>
      <c r="M240">
        <f t="shared" si="3"/>
        <v>46.61</v>
      </c>
    </row>
    <row r="241" spans="2:13">
      <c r="B241">
        <v>16</v>
      </c>
      <c r="C241" s="33" t="s">
        <v>266</v>
      </c>
      <c r="D241" s="33" t="s">
        <v>268</v>
      </c>
      <c r="E241" t="s">
        <v>505</v>
      </c>
      <c r="F241" t="s">
        <v>557</v>
      </c>
      <c r="G241" t="s">
        <v>571</v>
      </c>
      <c r="H241" t="s">
        <v>572</v>
      </c>
      <c r="I241" t="s">
        <v>573</v>
      </c>
      <c r="J241">
        <v>1</v>
      </c>
      <c r="K241" t="s">
        <v>554</v>
      </c>
      <c r="L241">
        <v>1680</v>
      </c>
      <c r="M241">
        <f t="shared" si="3"/>
        <v>1680</v>
      </c>
    </row>
    <row r="242" spans="2:13">
      <c r="B242">
        <v>17</v>
      </c>
      <c r="C242" s="33" t="s">
        <v>266</v>
      </c>
      <c r="D242" s="33" t="s">
        <v>268</v>
      </c>
      <c r="E242" t="s">
        <v>505</v>
      </c>
      <c r="F242" t="s">
        <v>557</v>
      </c>
      <c r="G242" t="s">
        <v>571</v>
      </c>
      <c r="H242" t="s">
        <v>574</v>
      </c>
      <c r="I242" t="s">
        <v>575</v>
      </c>
      <c r="J242">
        <v>1</v>
      </c>
      <c r="K242" t="s">
        <v>554</v>
      </c>
      <c r="L242">
        <v>10</v>
      </c>
      <c r="M242">
        <f t="shared" si="3"/>
        <v>10</v>
      </c>
    </row>
    <row r="243" spans="2:13">
      <c r="B243">
        <v>18</v>
      </c>
      <c r="C243" s="33" t="s">
        <v>266</v>
      </c>
      <c r="D243" s="33" t="s">
        <v>268</v>
      </c>
      <c r="E243" t="s">
        <v>505</v>
      </c>
      <c r="F243" t="s">
        <v>557</v>
      </c>
      <c r="G243" t="s">
        <v>576</v>
      </c>
      <c r="H243" t="s">
        <v>577</v>
      </c>
      <c r="I243" t="s">
        <v>578</v>
      </c>
      <c r="J243">
        <v>1</v>
      </c>
      <c r="K243" t="s">
        <v>554</v>
      </c>
      <c r="L243">
        <v>93</v>
      </c>
      <c r="M243">
        <f t="shared" si="3"/>
        <v>93</v>
      </c>
    </row>
    <row r="244" spans="2:13">
      <c r="B244">
        <v>33</v>
      </c>
      <c r="C244" s="33" t="s">
        <v>266</v>
      </c>
      <c r="D244" s="33" t="s">
        <v>268</v>
      </c>
      <c r="E244" t="s">
        <v>505</v>
      </c>
      <c r="F244" t="s">
        <v>557</v>
      </c>
      <c r="G244" t="s">
        <v>558</v>
      </c>
      <c r="H244" t="s">
        <v>581</v>
      </c>
      <c r="I244" t="s">
        <v>582</v>
      </c>
      <c r="J244">
        <v>1</v>
      </c>
      <c r="K244" t="s">
        <v>554</v>
      </c>
      <c r="L244">
        <v>84</v>
      </c>
      <c r="M244">
        <f t="shared" si="3"/>
        <v>84</v>
      </c>
    </row>
    <row r="245" spans="2:13">
      <c r="B245">
        <v>19</v>
      </c>
      <c r="C245" s="33" t="s">
        <v>266</v>
      </c>
      <c r="D245" s="33" t="s">
        <v>268</v>
      </c>
      <c r="E245" t="s">
        <v>505</v>
      </c>
      <c r="F245" t="s">
        <v>557</v>
      </c>
      <c r="G245" t="s">
        <v>583</v>
      </c>
      <c r="H245" t="s">
        <v>584</v>
      </c>
      <c r="I245" t="s">
        <v>585</v>
      </c>
      <c r="J245">
        <v>1</v>
      </c>
      <c r="K245" t="s">
        <v>554</v>
      </c>
      <c r="L245">
        <v>165</v>
      </c>
      <c r="M245">
        <f t="shared" si="3"/>
        <v>165</v>
      </c>
    </row>
    <row r="246" spans="2:13">
      <c r="B246">
        <v>19</v>
      </c>
      <c r="C246" s="33" t="s">
        <v>266</v>
      </c>
      <c r="D246" s="33" t="s">
        <v>268</v>
      </c>
      <c r="E246" t="s">
        <v>505</v>
      </c>
      <c r="F246" t="s">
        <v>557</v>
      </c>
      <c r="G246" t="s">
        <v>561</v>
      </c>
      <c r="H246" t="s">
        <v>586</v>
      </c>
      <c r="I246" t="s">
        <v>587</v>
      </c>
      <c r="J246">
        <v>1</v>
      </c>
      <c r="K246" t="s">
        <v>554</v>
      </c>
      <c r="L246">
        <v>43</v>
      </c>
      <c r="M246">
        <f t="shared" si="3"/>
        <v>43</v>
      </c>
    </row>
    <row r="247" spans="2:13">
      <c r="B247">
        <v>20</v>
      </c>
      <c r="C247" s="33" t="s">
        <v>266</v>
      </c>
      <c r="D247" s="33" t="s">
        <v>268</v>
      </c>
      <c r="E247" t="s">
        <v>505</v>
      </c>
      <c r="F247" t="s">
        <v>557</v>
      </c>
      <c r="G247" t="s">
        <v>588</v>
      </c>
      <c r="H247" t="s">
        <v>589</v>
      </c>
      <c r="I247" t="s">
        <v>590</v>
      </c>
      <c r="J247">
        <v>1</v>
      </c>
      <c r="K247" t="s">
        <v>554</v>
      </c>
      <c r="L247">
        <v>425</v>
      </c>
      <c r="M247">
        <f t="shared" si="3"/>
        <v>425</v>
      </c>
    </row>
    <row r="248" spans="2:13">
      <c r="B248">
        <v>24</v>
      </c>
      <c r="C248" s="33" t="s">
        <v>266</v>
      </c>
      <c r="D248" s="33" t="s">
        <v>268</v>
      </c>
      <c r="E248" t="s">
        <v>505</v>
      </c>
      <c r="F248" t="s">
        <v>557</v>
      </c>
      <c r="G248" t="s">
        <v>561</v>
      </c>
      <c r="H248" t="s">
        <v>591</v>
      </c>
      <c r="I248" t="s">
        <v>592</v>
      </c>
      <c r="J248">
        <v>1</v>
      </c>
      <c r="K248" t="s">
        <v>554</v>
      </c>
      <c r="L248">
        <v>77</v>
      </c>
      <c r="M248">
        <f t="shared" si="3"/>
        <v>77</v>
      </c>
    </row>
    <row r="249" spans="2:13">
      <c r="B249">
        <v>26</v>
      </c>
      <c r="C249" s="33" t="s">
        <v>266</v>
      </c>
      <c r="D249" s="33" t="s">
        <v>268</v>
      </c>
      <c r="E249" t="s">
        <v>505</v>
      </c>
      <c r="F249" t="s">
        <v>557</v>
      </c>
      <c r="G249" t="s">
        <v>544</v>
      </c>
      <c r="H249" t="s">
        <v>593</v>
      </c>
      <c r="I249" t="s">
        <v>594</v>
      </c>
      <c r="J249">
        <v>1</v>
      </c>
      <c r="K249" t="s">
        <v>595</v>
      </c>
      <c r="L249">
        <v>415</v>
      </c>
      <c r="M249">
        <f t="shared" si="3"/>
        <v>415</v>
      </c>
    </row>
    <row r="250" spans="2:13">
      <c r="B250">
        <v>27</v>
      </c>
      <c r="C250" s="33" t="s">
        <v>266</v>
      </c>
      <c r="D250" s="33" t="s">
        <v>268</v>
      </c>
      <c r="E250" t="s">
        <v>505</v>
      </c>
      <c r="F250" t="s">
        <v>557</v>
      </c>
      <c r="G250" t="s">
        <v>596</v>
      </c>
      <c r="H250" t="s">
        <v>597</v>
      </c>
      <c r="I250" t="s">
        <v>598</v>
      </c>
      <c r="J250">
        <v>1</v>
      </c>
      <c r="K250" t="s">
        <v>599</v>
      </c>
      <c r="L250">
        <v>53</v>
      </c>
      <c r="M250">
        <f t="shared" si="3"/>
        <v>53</v>
      </c>
    </row>
    <row r="251" spans="2:13">
      <c r="B251">
        <v>33</v>
      </c>
      <c r="C251" s="33" t="s">
        <v>266</v>
      </c>
      <c r="D251" s="33" t="s">
        <v>268</v>
      </c>
      <c r="E251" t="s">
        <v>505</v>
      </c>
      <c r="F251" t="s">
        <v>557</v>
      </c>
      <c r="G251" t="s">
        <v>561</v>
      </c>
      <c r="H251" t="s">
        <v>481</v>
      </c>
      <c r="I251" t="s">
        <v>600</v>
      </c>
      <c r="J251">
        <v>1</v>
      </c>
      <c r="K251" t="s">
        <v>601</v>
      </c>
      <c r="L251">
        <v>44.38</v>
      </c>
      <c r="M251">
        <f t="shared" si="3"/>
        <v>44.38</v>
      </c>
    </row>
    <row r="252" spans="2:13">
      <c r="B252">
        <v>35</v>
      </c>
      <c r="C252" s="33" t="s">
        <v>266</v>
      </c>
      <c r="D252" s="33" t="s">
        <v>268</v>
      </c>
      <c r="E252" t="s">
        <v>505</v>
      </c>
      <c r="F252" t="s">
        <v>557</v>
      </c>
      <c r="G252" t="s">
        <v>571</v>
      </c>
      <c r="H252" t="s">
        <v>602</v>
      </c>
      <c r="I252" t="s">
        <v>603</v>
      </c>
      <c r="J252">
        <v>1</v>
      </c>
      <c r="K252" t="s">
        <v>604</v>
      </c>
      <c r="L252">
        <v>48.27</v>
      </c>
      <c r="M252">
        <f t="shared" si="3"/>
        <v>48.27</v>
      </c>
    </row>
    <row r="253" spans="2:13">
      <c r="B253">
        <v>37</v>
      </c>
      <c r="C253" s="33" t="s">
        <v>266</v>
      </c>
      <c r="D253" s="33" t="s">
        <v>268</v>
      </c>
      <c r="E253" t="s">
        <v>505</v>
      </c>
      <c r="F253" t="s">
        <v>557</v>
      </c>
      <c r="G253" t="s">
        <v>561</v>
      </c>
      <c r="H253" t="s">
        <v>482</v>
      </c>
      <c r="I253" t="s">
        <v>605</v>
      </c>
      <c r="J253">
        <v>1</v>
      </c>
      <c r="K253" t="s">
        <v>566</v>
      </c>
      <c r="L253">
        <v>15.82</v>
      </c>
      <c r="M253">
        <f t="shared" si="3"/>
        <v>15.82</v>
      </c>
    </row>
    <row r="254" spans="2:13">
      <c r="B254">
        <v>38</v>
      </c>
      <c r="C254" s="33" t="s">
        <v>266</v>
      </c>
      <c r="D254" s="33" t="s">
        <v>268</v>
      </c>
      <c r="E254" t="s">
        <v>505</v>
      </c>
      <c r="F254" t="s">
        <v>557</v>
      </c>
      <c r="G254" t="s">
        <v>561</v>
      </c>
      <c r="H254" t="s">
        <v>606</v>
      </c>
      <c r="I254" t="s">
        <v>607</v>
      </c>
      <c r="J254">
        <v>1</v>
      </c>
      <c r="K254" t="s">
        <v>550</v>
      </c>
      <c r="L254">
        <v>4.29</v>
      </c>
      <c r="M254">
        <f t="shared" si="3"/>
        <v>4.29</v>
      </c>
    </row>
    <row r="255" spans="2:13">
      <c r="B255">
        <v>39</v>
      </c>
      <c r="C255" s="33" t="s">
        <v>266</v>
      </c>
      <c r="D255" s="33" t="s">
        <v>268</v>
      </c>
      <c r="E255" t="s">
        <v>505</v>
      </c>
      <c r="F255" t="s">
        <v>557</v>
      </c>
      <c r="G255" t="s">
        <v>561</v>
      </c>
      <c r="H255" t="s">
        <v>608</v>
      </c>
      <c r="I255" t="s">
        <v>609</v>
      </c>
      <c r="J255">
        <v>1</v>
      </c>
      <c r="K255" t="s">
        <v>610</v>
      </c>
      <c r="L255">
        <v>58</v>
      </c>
      <c r="M255">
        <f t="shared" si="3"/>
        <v>58</v>
      </c>
    </row>
    <row r="256" spans="2:13">
      <c r="B256">
        <v>40</v>
      </c>
      <c r="C256" s="33" t="s">
        <v>266</v>
      </c>
      <c r="D256" s="33" t="s">
        <v>268</v>
      </c>
      <c r="E256" t="s">
        <v>505</v>
      </c>
      <c r="F256" t="s">
        <v>611</v>
      </c>
      <c r="G256" t="s">
        <v>544</v>
      </c>
      <c r="H256" t="s">
        <v>612</v>
      </c>
      <c r="I256" t="s">
        <v>613</v>
      </c>
      <c r="J256">
        <v>1</v>
      </c>
      <c r="K256" t="s">
        <v>595</v>
      </c>
      <c r="L256">
        <v>290</v>
      </c>
      <c r="M256">
        <f t="shared" si="3"/>
        <v>290</v>
      </c>
    </row>
    <row r="257" spans="2:13">
      <c r="B257">
        <v>41</v>
      </c>
      <c r="C257" s="33" t="s">
        <v>266</v>
      </c>
      <c r="D257" s="33" t="s">
        <v>268</v>
      </c>
      <c r="E257" t="s">
        <v>505</v>
      </c>
      <c r="F257" t="s">
        <v>611</v>
      </c>
      <c r="G257" t="s">
        <v>571</v>
      </c>
      <c r="H257" t="s">
        <v>614</v>
      </c>
      <c r="I257" t="s">
        <v>615</v>
      </c>
      <c r="J257">
        <v>1</v>
      </c>
      <c r="K257" t="s">
        <v>554</v>
      </c>
      <c r="L257">
        <v>100</v>
      </c>
      <c r="M257">
        <f t="shared" si="3"/>
        <v>100</v>
      </c>
    </row>
    <row r="258" spans="2:13">
      <c r="B258">
        <v>42</v>
      </c>
      <c r="C258" s="33" t="s">
        <v>266</v>
      </c>
      <c r="D258" s="33" t="s">
        <v>268</v>
      </c>
      <c r="E258" t="s">
        <v>505</v>
      </c>
      <c r="F258" t="s">
        <v>611</v>
      </c>
      <c r="G258" t="s">
        <v>561</v>
      </c>
      <c r="H258" t="s">
        <v>616</v>
      </c>
      <c r="I258" t="s">
        <v>617</v>
      </c>
      <c r="J258">
        <v>1</v>
      </c>
      <c r="K258" t="s">
        <v>618</v>
      </c>
      <c r="L258">
        <v>55</v>
      </c>
      <c r="M258">
        <f t="shared" si="3"/>
        <v>55</v>
      </c>
    </row>
    <row r="259" spans="2:13">
      <c r="B259">
        <v>43</v>
      </c>
      <c r="C259" s="33" t="s">
        <v>266</v>
      </c>
      <c r="D259" s="33" t="s">
        <v>268</v>
      </c>
      <c r="E259" t="s">
        <v>505</v>
      </c>
      <c r="F259" t="s">
        <v>611</v>
      </c>
      <c r="G259" t="s">
        <v>576</v>
      </c>
      <c r="H259" t="s">
        <v>619</v>
      </c>
      <c r="I259" t="s">
        <v>620</v>
      </c>
      <c r="J259">
        <v>1</v>
      </c>
      <c r="K259" t="s">
        <v>554</v>
      </c>
      <c r="L259">
        <v>66.26</v>
      </c>
      <c r="M259">
        <f t="shared" si="3"/>
        <v>66.26</v>
      </c>
    </row>
    <row r="260" spans="2:13">
      <c r="B260">
        <v>44</v>
      </c>
      <c r="C260" s="33" t="s">
        <v>266</v>
      </c>
      <c r="D260" s="33" t="s">
        <v>268</v>
      </c>
      <c r="E260" t="s">
        <v>505</v>
      </c>
      <c r="F260" t="s">
        <v>611</v>
      </c>
      <c r="G260" t="s">
        <v>621</v>
      </c>
      <c r="H260" t="s">
        <v>622</v>
      </c>
      <c r="I260" t="s">
        <v>623</v>
      </c>
      <c r="J260">
        <v>1</v>
      </c>
      <c r="K260" t="s">
        <v>554</v>
      </c>
      <c r="L260">
        <v>101</v>
      </c>
      <c r="M260">
        <f t="shared" si="3"/>
        <v>101</v>
      </c>
    </row>
    <row r="261" spans="2:13">
      <c r="B261">
        <v>45</v>
      </c>
      <c r="C261" s="33" t="s">
        <v>266</v>
      </c>
      <c r="D261" s="33" t="s">
        <v>268</v>
      </c>
      <c r="E261" t="s">
        <v>505</v>
      </c>
      <c r="F261" t="s">
        <v>611</v>
      </c>
      <c r="G261" t="s">
        <v>621</v>
      </c>
      <c r="H261" t="s">
        <v>624</v>
      </c>
      <c r="I261" t="s">
        <v>625</v>
      </c>
      <c r="J261">
        <v>1</v>
      </c>
      <c r="K261" t="s">
        <v>554</v>
      </c>
      <c r="L261">
        <v>418</v>
      </c>
      <c r="M261">
        <f t="shared" ref="M261:M324" si="4">J261*L261</f>
        <v>418</v>
      </c>
    </row>
    <row r="262" spans="2:13">
      <c r="B262">
        <v>46</v>
      </c>
      <c r="C262" s="33" t="s">
        <v>266</v>
      </c>
      <c r="D262" s="33" t="s">
        <v>268</v>
      </c>
      <c r="E262" t="s">
        <v>505</v>
      </c>
      <c r="F262" t="s">
        <v>611</v>
      </c>
      <c r="G262" t="s">
        <v>621</v>
      </c>
      <c r="H262" t="s">
        <v>626</v>
      </c>
      <c r="I262" t="s">
        <v>627</v>
      </c>
      <c r="J262">
        <v>1</v>
      </c>
      <c r="K262" t="s">
        <v>554</v>
      </c>
      <c r="L262">
        <v>37</v>
      </c>
      <c r="M262">
        <f t="shared" si="4"/>
        <v>37</v>
      </c>
    </row>
    <row r="263" spans="2:13">
      <c r="B263">
        <v>47</v>
      </c>
      <c r="C263" s="33" t="s">
        <v>266</v>
      </c>
      <c r="D263" s="33" t="s">
        <v>268</v>
      </c>
      <c r="E263" t="s">
        <v>505</v>
      </c>
      <c r="F263" t="s">
        <v>611</v>
      </c>
      <c r="G263" t="s">
        <v>571</v>
      </c>
      <c r="H263" t="s">
        <v>628</v>
      </c>
      <c r="I263" t="s">
        <v>629</v>
      </c>
      <c r="J263">
        <v>1</v>
      </c>
      <c r="K263" t="s">
        <v>604</v>
      </c>
      <c r="L263">
        <v>370</v>
      </c>
      <c r="M263">
        <f t="shared" si="4"/>
        <v>370</v>
      </c>
    </row>
    <row r="264" spans="2:13">
      <c r="B264">
        <v>1</v>
      </c>
      <c r="C264" s="33" t="s">
        <v>266</v>
      </c>
      <c r="D264" s="33" t="s">
        <v>268</v>
      </c>
      <c r="E264" t="s">
        <v>505</v>
      </c>
      <c r="F264" t="s">
        <v>611</v>
      </c>
      <c r="G264" t="s">
        <v>551</v>
      </c>
      <c r="H264" t="s">
        <v>630</v>
      </c>
      <c r="I264" t="s">
        <v>631</v>
      </c>
      <c r="J264">
        <v>1</v>
      </c>
      <c r="K264" t="s">
        <v>566</v>
      </c>
      <c r="L264">
        <v>4.7</v>
      </c>
      <c r="M264">
        <f t="shared" si="4"/>
        <v>4.7</v>
      </c>
    </row>
    <row r="265" spans="2:13">
      <c r="B265">
        <v>2</v>
      </c>
      <c r="C265" s="33" t="s">
        <v>266</v>
      </c>
      <c r="D265" s="33" t="s">
        <v>268</v>
      </c>
      <c r="E265" t="s">
        <v>505</v>
      </c>
      <c r="F265" t="s">
        <v>611</v>
      </c>
      <c r="G265" t="s">
        <v>621</v>
      </c>
      <c r="H265" t="s">
        <v>632</v>
      </c>
      <c r="I265" t="s">
        <v>633</v>
      </c>
      <c r="J265">
        <v>1</v>
      </c>
      <c r="K265" t="s">
        <v>601</v>
      </c>
      <c r="L265">
        <v>370</v>
      </c>
      <c r="M265">
        <f t="shared" si="4"/>
        <v>370</v>
      </c>
    </row>
    <row r="266" spans="2:13">
      <c r="B266">
        <v>3</v>
      </c>
      <c r="C266" s="33" t="s">
        <v>266</v>
      </c>
      <c r="D266" s="33" t="s">
        <v>268</v>
      </c>
      <c r="E266" t="s">
        <v>505</v>
      </c>
      <c r="F266" t="s">
        <v>611</v>
      </c>
      <c r="G266" t="s">
        <v>621</v>
      </c>
      <c r="H266" t="s">
        <v>634</v>
      </c>
      <c r="I266" t="s">
        <v>635</v>
      </c>
      <c r="J266">
        <v>1</v>
      </c>
      <c r="K266" t="s">
        <v>554</v>
      </c>
      <c r="L266">
        <v>39.5</v>
      </c>
      <c r="M266">
        <f t="shared" si="4"/>
        <v>39.5</v>
      </c>
    </row>
    <row r="267" spans="2:13">
      <c r="B267">
        <v>4</v>
      </c>
      <c r="C267" s="33" t="s">
        <v>266</v>
      </c>
      <c r="D267" s="33" t="s">
        <v>268</v>
      </c>
      <c r="E267" t="s">
        <v>505</v>
      </c>
      <c r="F267" t="s">
        <v>611</v>
      </c>
      <c r="G267" t="s">
        <v>583</v>
      </c>
      <c r="H267" t="s">
        <v>636</v>
      </c>
      <c r="I267" t="s">
        <v>637</v>
      </c>
      <c r="J267">
        <v>1</v>
      </c>
      <c r="K267" t="s">
        <v>554</v>
      </c>
      <c r="L267">
        <v>41</v>
      </c>
      <c r="M267">
        <f t="shared" si="4"/>
        <v>41</v>
      </c>
    </row>
    <row r="268" spans="2:13">
      <c r="B268">
        <v>5</v>
      </c>
      <c r="C268" s="33" t="s">
        <v>266</v>
      </c>
      <c r="D268" s="33" t="s">
        <v>268</v>
      </c>
      <c r="E268" t="s">
        <v>505</v>
      </c>
      <c r="F268" t="s">
        <v>611</v>
      </c>
      <c r="G268" t="s">
        <v>621</v>
      </c>
      <c r="H268" t="s">
        <v>638</v>
      </c>
      <c r="I268" t="s">
        <v>639</v>
      </c>
      <c r="J268">
        <v>1</v>
      </c>
      <c r="K268" t="s">
        <v>554</v>
      </c>
      <c r="L268">
        <v>17.2</v>
      </c>
      <c r="M268">
        <f t="shared" si="4"/>
        <v>17.2</v>
      </c>
    </row>
    <row r="269" spans="2:13">
      <c r="B269">
        <v>6</v>
      </c>
      <c r="C269" s="33" t="s">
        <v>266</v>
      </c>
      <c r="D269" s="33" t="s">
        <v>268</v>
      </c>
      <c r="E269" t="s">
        <v>506</v>
      </c>
      <c r="F269" t="s">
        <v>543</v>
      </c>
      <c r="G269" t="s">
        <v>544</v>
      </c>
      <c r="H269" t="s">
        <v>545</v>
      </c>
      <c r="I269" t="s">
        <v>546</v>
      </c>
      <c r="J269">
        <v>1</v>
      </c>
      <c r="K269" t="s">
        <v>547</v>
      </c>
      <c r="L269">
        <v>920</v>
      </c>
      <c r="M269">
        <f t="shared" si="4"/>
        <v>920</v>
      </c>
    </row>
    <row r="270" spans="2:13">
      <c r="B270">
        <v>7</v>
      </c>
      <c r="C270" s="33" t="s">
        <v>266</v>
      </c>
      <c r="D270" s="33" t="s">
        <v>268</v>
      </c>
      <c r="E270" t="s">
        <v>506</v>
      </c>
      <c r="F270" t="s">
        <v>543</v>
      </c>
      <c r="G270" t="s">
        <v>544</v>
      </c>
      <c r="H270" t="s">
        <v>548</v>
      </c>
      <c r="I270" t="s">
        <v>549</v>
      </c>
      <c r="J270">
        <v>1</v>
      </c>
      <c r="K270" t="s">
        <v>550</v>
      </c>
      <c r="L270">
        <v>380</v>
      </c>
      <c r="M270">
        <f t="shared" si="4"/>
        <v>380</v>
      </c>
    </row>
    <row r="271" spans="2:13">
      <c r="B271">
        <v>8</v>
      </c>
      <c r="C271" s="33" t="s">
        <v>266</v>
      </c>
      <c r="D271" s="33" t="s">
        <v>268</v>
      </c>
      <c r="E271" t="s">
        <v>506</v>
      </c>
      <c r="F271" t="s">
        <v>543</v>
      </c>
      <c r="G271" t="s">
        <v>551</v>
      </c>
      <c r="H271" t="s">
        <v>552</v>
      </c>
      <c r="I271" t="s">
        <v>553</v>
      </c>
      <c r="J271">
        <v>1</v>
      </c>
      <c r="K271" t="s">
        <v>554</v>
      </c>
      <c r="L271">
        <v>14</v>
      </c>
      <c r="M271">
        <f t="shared" si="4"/>
        <v>14</v>
      </c>
    </row>
    <row r="272" spans="2:13">
      <c r="B272">
        <v>9</v>
      </c>
      <c r="C272" s="33" t="s">
        <v>266</v>
      </c>
      <c r="D272" s="33" t="s">
        <v>268</v>
      </c>
      <c r="E272" t="s">
        <v>506</v>
      </c>
      <c r="F272" t="s">
        <v>543</v>
      </c>
      <c r="G272" t="s">
        <v>551</v>
      </c>
      <c r="H272" t="s">
        <v>555</v>
      </c>
      <c r="I272" t="s">
        <v>556</v>
      </c>
      <c r="J272">
        <v>1</v>
      </c>
      <c r="K272" t="s">
        <v>554</v>
      </c>
      <c r="L272">
        <v>33</v>
      </c>
      <c r="M272">
        <f t="shared" si="4"/>
        <v>33</v>
      </c>
    </row>
    <row r="273" spans="2:13">
      <c r="B273">
        <v>10</v>
      </c>
      <c r="C273" s="33" t="s">
        <v>266</v>
      </c>
      <c r="D273" s="33" t="s">
        <v>268</v>
      </c>
      <c r="E273" t="s">
        <v>506</v>
      </c>
      <c r="F273" t="s">
        <v>557</v>
      </c>
      <c r="G273" t="s">
        <v>558</v>
      </c>
      <c r="H273" t="s">
        <v>559</v>
      </c>
      <c r="I273" t="s">
        <v>560</v>
      </c>
      <c r="J273">
        <v>1</v>
      </c>
      <c r="K273" t="s">
        <v>554</v>
      </c>
      <c r="L273">
        <v>0</v>
      </c>
      <c r="M273">
        <f t="shared" si="4"/>
        <v>0</v>
      </c>
    </row>
    <row r="274" spans="2:13">
      <c r="B274">
        <v>11</v>
      </c>
      <c r="C274" s="33" t="s">
        <v>266</v>
      </c>
      <c r="D274" s="33" t="s">
        <v>268</v>
      </c>
      <c r="E274" t="s">
        <v>506</v>
      </c>
      <c r="F274" t="s">
        <v>557</v>
      </c>
      <c r="G274" t="s">
        <v>561</v>
      </c>
      <c r="H274" t="s">
        <v>562</v>
      </c>
      <c r="I274" t="s">
        <v>563</v>
      </c>
      <c r="J274">
        <v>1</v>
      </c>
      <c r="K274" t="s">
        <v>554</v>
      </c>
      <c r="L274">
        <v>13.38</v>
      </c>
      <c r="M274">
        <f t="shared" si="4"/>
        <v>13.38</v>
      </c>
    </row>
    <row r="275" spans="2:13">
      <c r="B275">
        <v>12</v>
      </c>
      <c r="C275" s="33" t="s">
        <v>266</v>
      </c>
      <c r="D275" s="33" t="s">
        <v>268</v>
      </c>
      <c r="E275" t="s">
        <v>506</v>
      </c>
      <c r="F275" t="s">
        <v>557</v>
      </c>
      <c r="G275" t="s">
        <v>561</v>
      </c>
      <c r="H275" t="s">
        <v>564</v>
      </c>
      <c r="I275" t="s">
        <v>565</v>
      </c>
      <c r="J275">
        <v>1</v>
      </c>
      <c r="K275" t="s">
        <v>566</v>
      </c>
      <c r="L275">
        <v>26.93</v>
      </c>
      <c r="M275">
        <f t="shared" si="4"/>
        <v>26.93</v>
      </c>
    </row>
    <row r="276" spans="2:13">
      <c r="B276">
        <v>13</v>
      </c>
      <c r="C276" s="33" t="s">
        <v>266</v>
      </c>
      <c r="D276" s="33" t="s">
        <v>268</v>
      </c>
      <c r="E276" t="s">
        <v>506</v>
      </c>
      <c r="F276" t="s">
        <v>557</v>
      </c>
      <c r="G276" t="s">
        <v>561</v>
      </c>
      <c r="H276" t="s">
        <v>567</v>
      </c>
      <c r="I276" t="s">
        <v>568</v>
      </c>
      <c r="J276">
        <v>1</v>
      </c>
      <c r="K276" t="s">
        <v>566</v>
      </c>
      <c r="L276">
        <v>23.77</v>
      </c>
      <c r="M276">
        <f t="shared" si="4"/>
        <v>23.77</v>
      </c>
    </row>
    <row r="277" spans="2:13">
      <c r="B277">
        <v>14</v>
      </c>
      <c r="C277" s="33" t="s">
        <v>266</v>
      </c>
      <c r="D277" s="33" t="s">
        <v>268</v>
      </c>
      <c r="E277" t="s">
        <v>506</v>
      </c>
      <c r="F277" t="s">
        <v>557</v>
      </c>
      <c r="G277" t="s">
        <v>561</v>
      </c>
      <c r="H277" t="s">
        <v>569</v>
      </c>
      <c r="I277" t="s">
        <v>570</v>
      </c>
      <c r="J277">
        <v>1</v>
      </c>
      <c r="K277" t="s">
        <v>554</v>
      </c>
      <c r="L277">
        <v>47.7</v>
      </c>
      <c r="M277">
        <f t="shared" si="4"/>
        <v>47.7</v>
      </c>
    </row>
    <row r="278" spans="2:13">
      <c r="B278">
        <v>15</v>
      </c>
      <c r="C278" s="33" t="s">
        <v>266</v>
      </c>
      <c r="D278" s="33" t="s">
        <v>268</v>
      </c>
      <c r="E278" t="s">
        <v>506</v>
      </c>
      <c r="F278" t="s">
        <v>557</v>
      </c>
      <c r="G278" t="s">
        <v>571</v>
      </c>
      <c r="H278" t="s">
        <v>572</v>
      </c>
      <c r="I278" t="s">
        <v>573</v>
      </c>
      <c r="J278">
        <v>1</v>
      </c>
      <c r="K278" t="s">
        <v>554</v>
      </c>
      <c r="L278">
        <v>1680</v>
      </c>
      <c r="M278">
        <f t="shared" si="4"/>
        <v>1680</v>
      </c>
    </row>
    <row r="279" spans="2:13">
      <c r="B279">
        <v>16</v>
      </c>
      <c r="C279" s="33" t="s">
        <v>266</v>
      </c>
      <c r="D279" s="33" t="s">
        <v>268</v>
      </c>
      <c r="E279" t="s">
        <v>506</v>
      </c>
      <c r="F279" t="s">
        <v>557</v>
      </c>
      <c r="G279" t="s">
        <v>571</v>
      </c>
      <c r="H279" t="s">
        <v>574</v>
      </c>
      <c r="I279" t="s">
        <v>575</v>
      </c>
      <c r="J279">
        <v>1</v>
      </c>
      <c r="K279" t="s">
        <v>554</v>
      </c>
      <c r="L279">
        <v>10</v>
      </c>
      <c r="M279">
        <f t="shared" si="4"/>
        <v>10</v>
      </c>
    </row>
    <row r="280" spans="2:13">
      <c r="B280">
        <v>17</v>
      </c>
      <c r="C280" s="33" t="s">
        <v>266</v>
      </c>
      <c r="D280" s="33" t="s">
        <v>268</v>
      </c>
      <c r="E280" t="s">
        <v>506</v>
      </c>
      <c r="F280" t="s">
        <v>557</v>
      </c>
      <c r="G280" t="s">
        <v>576</v>
      </c>
      <c r="H280" t="s">
        <v>577</v>
      </c>
      <c r="I280" t="s">
        <v>578</v>
      </c>
      <c r="J280">
        <v>1</v>
      </c>
      <c r="K280" t="s">
        <v>554</v>
      </c>
      <c r="L280">
        <v>93</v>
      </c>
      <c r="M280">
        <f t="shared" si="4"/>
        <v>93</v>
      </c>
    </row>
    <row r="281" spans="2:13">
      <c r="B281">
        <v>18</v>
      </c>
      <c r="C281" s="33" t="s">
        <v>266</v>
      </c>
      <c r="D281" s="33" t="s">
        <v>268</v>
      </c>
      <c r="E281" t="s">
        <v>506</v>
      </c>
      <c r="F281" t="s">
        <v>557</v>
      </c>
      <c r="G281" t="s">
        <v>576</v>
      </c>
      <c r="H281" t="s">
        <v>579</v>
      </c>
      <c r="I281" t="s">
        <v>580</v>
      </c>
      <c r="J281">
        <v>1</v>
      </c>
      <c r="K281" t="s">
        <v>554</v>
      </c>
      <c r="L281">
        <v>56</v>
      </c>
      <c r="M281">
        <f t="shared" si="4"/>
        <v>56</v>
      </c>
    </row>
    <row r="282" spans="2:13">
      <c r="B282">
        <v>19</v>
      </c>
      <c r="C282" s="33" t="s">
        <v>266</v>
      </c>
      <c r="D282" s="33" t="s">
        <v>268</v>
      </c>
      <c r="E282" t="s">
        <v>506</v>
      </c>
      <c r="F282" t="s">
        <v>557</v>
      </c>
      <c r="G282" t="s">
        <v>558</v>
      </c>
      <c r="H282" t="s">
        <v>581</v>
      </c>
      <c r="I282" t="s">
        <v>582</v>
      </c>
      <c r="J282">
        <v>1</v>
      </c>
      <c r="K282" t="s">
        <v>554</v>
      </c>
      <c r="L282">
        <v>84</v>
      </c>
      <c r="M282">
        <f t="shared" si="4"/>
        <v>84</v>
      </c>
    </row>
    <row r="283" spans="2:13">
      <c r="B283">
        <v>20</v>
      </c>
      <c r="C283" s="33" t="s">
        <v>266</v>
      </c>
      <c r="D283" s="33" t="s">
        <v>268</v>
      </c>
      <c r="E283" t="s">
        <v>506</v>
      </c>
      <c r="F283" t="s">
        <v>557</v>
      </c>
      <c r="G283" t="s">
        <v>583</v>
      </c>
      <c r="H283" t="s">
        <v>584</v>
      </c>
      <c r="I283" t="s">
        <v>585</v>
      </c>
      <c r="J283">
        <v>1</v>
      </c>
      <c r="K283" t="s">
        <v>554</v>
      </c>
      <c r="L283">
        <v>165</v>
      </c>
      <c r="M283">
        <f t="shared" si="4"/>
        <v>165</v>
      </c>
    </row>
    <row r="284" spans="2:13">
      <c r="B284">
        <v>24</v>
      </c>
      <c r="C284" s="33" t="s">
        <v>266</v>
      </c>
      <c r="D284" s="33" t="s">
        <v>268</v>
      </c>
      <c r="E284" t="s">
        <v>506</v>
      </c>
      <c r="F284" t="s">
        <v>557</v>
      </c>
      <c r="G284" t="s">
        <v>561</v>
      </c>
      <c r="H284" t="s">
        <v>586</v>
      </c>
      <c r="I284" t="s">
        <v>587</v>
      </c>
      <c r="J284">
        <v>1</v>
      </c>
      <c r="K284" t="s">
        <v>554</v>
      </c>
      <c r="L284">
        <v>43</v>
      </c>
      <c r="M284">
        <f t="shared" si="4"/>
        <v>43</v>
      </c>
    </row>
    <row r="285" spans="2:13">
      <c r="B285">
        <v>26</v>
      </c>
      <c r="C285" s="33" t="s">
        <v>266</v>
      </c>
      <c r="D285" s="33" t="s">
        <v>268</v>
      </c>
      <c r="E285" t="s">
        <v>506</v>
      </c>
      <c r="F285" t="s">
        <v>557</v>
      </c>
      <c r="G285" t="s">
        <v>588</v>
      </c>
      <c r="H285" t="s">
        <v>589</v>
      </c>
      <c r="I285" t="s">
        <v>590</v>
      </c>
      <c r="J285">
        <v>1</v>
      </c>
      <c r="K285" t="s">
        <v>554</v>
      </c>
      <c r="L285">
        <v>425</v>
      </c>
      <c r="M285">
        <f t="shared" si="4"/>
        <v>425</v>
      </c>
    </row>
    <row r="286" spans="2:13">
      <c r="B286">
        <v>27</v>
      </c>
      <c r="C286" s="33" t="s">
        <v>266</v>
      </c>
      <c r="D286" s="33" t="s">
        <v>268</v>
      </c>
      <c r="E286" t="s">
        <v>506</v>
      </c>
      <c r="F286" t="s">
        <v>557</v>
      </c>
      <c r="G286" t="s">
        <v>561</v>
      </c>
      <c r="H286" t="s">
        <v>591</v>
      </c>
      <c r="I286" t="s">
        <v>592</v>
      </c>
      <c r="J286">
        <v>1</v>
      </c>
      <c r="K286" t="s">
        <v>554</v>
      </c>
      <c r="L286">
        <v>77</v>
      </c>
      <c r="M286">
        <f t="shared" si="4"/>
        <v>77</v>
      </c>
    </row>
    <row r="287" spans="2:13">
      <c r="B287">
        <v>33</v>
      </c>
      <c r="C287" s="33" t="s">
        <v>266</v>
      </c>
      <c r="D287" s="33" t="s">
        <v>268</v>
      </c>
      <c r="E287" t="s">
        <v>506</v>
      </c>
      <c r="F287" t="s">
        <v>557</v>
      </c>
      <c r="G287" t="s">
        <v>544</v>
      </c>
      <c r="H287" t="s">
        <v>593</v>
      </c>
      <c r="I287" t="s">
        <v>594</v>
      </c>
      <c r="J287">
        <v>2</v>
      </c>
      <c r="K287" t="s">
        <v>595</v>
      </c>
      <c r="L287">
        <v>415</v>
      </c>
      <c r="M287">
        <f t="shared" si="4"/>
        <v>830</v>
      </c>
    </row>
    <row r="288" spans="2:13">
      <c r="B288">
        <v>20</v>
      </c>
      <c r="C288" s="33" t="s">
        <v>266</v>
      </c>
      <c r="D288" s="33" t="s">
        <v>268</v>
      </c>
      <c r="E288" t="s">
        <v>506</v>
      </c>
      <c r="F288" t="s">
        <v>557</v>
      </c>
      <c r="G288" t="s">
        <v>596</v>
      </c>
      <c r="H288" t="s">
        <v>597</v>
      </c>
      <c r="I288" t="s">
        <v>640</v>
      </c>
      <c r="J288">
        <v>1</v>
      </c>
      <c r="K288" t="s">
        <v>641</v>
      </c>
      <c r="L288">
        <v>77</v>
      </c>
      <c r="M288">
        <f t="shared" si="4"/>
        <v>77</v>
      </c>
    </row>
    <row r="289" spans="2:13">
      <c r="B289">
        <v>20</v>
      </c>
      <c r="C289" s="33" t="s">
        <v>266</v>
      </c>
      <c r="D289" s="33" t="s">
        <v>268</v>
      </c>
      <c r="E289" t="s">
        <v>506</v>
      </c>
      <c r="F289" t="s">
        <v>557</v>
      </c>
      <c r="G289" t="s">
        <v>596</v>
      </c>
      <c r="H289" t="s">
        <v>597</v>
      </c>
      <c r="I289" t="s">
        <v>598</v>
      </c>
      <c r="J289">
        <v>1</v>
      </c>
      <c r="K289" t="s">
        <v>599</v>
      </c>
      <c r="L289">
        <v>53</v>
      </c>
      <c r="M289">
        <f t="shared" si="4"/>
        <v>53</v>
      </c>
    </row>
    <row r="290" spans="2:13">
      <c r="B290">
        <v>20</v>
      </c>
      <c r="C290" s="33" t="s">
        <v>266</v>
      </c>
      <c r="D290" s="33" t="s">
        <v>268</v>
      </c>
      <c r="E290" t="s">
        <v>506</v>
      </c>
      <c r="F290" t="s">
        <v>557</v>
      </c>
      <c r="G290" t="s">
        <v>561</v>
      </c>
      <c r="H290" t="s">
        <v>481</v>
      </c>
      <c r="I290" t="s">
        <v>600</v>
      </c>
      <c r="J290">
        <v>1</v>
      </c>
      <c r="K290" t="s">
        <v>601</v>
      </c>
      <c r="L290">
        <v>44.38</v>
      </c>
      <c r="M290">
        <f t="shared" si="4"/>
        <v>44.38</v>
      </c>
    </row>
    <row r="291" spans="2:13">
      <c r="B291">
        <v>20</v>
      </c>
      <c r="C291" s="33" t="s">
        <v>266</v>
      </c>
      <c r="D291" s="33" t="s">
        <v>268</v>
      </c>
      <c r="E291" t="s">
        <v>506</v>
      </c>
      <c r="F291" t="s">
        <v>557</v>
      </c>
      <c r="G291" t="s">
        <v>571</v>
      </c>
      <c r="H291" t="s">
        <v>602</v>
      </c>
      <c r="I291" t="s">
        <v>603</v>
      </c>
      <c r="J291">
        <v>1</v>
      </c>
      <c r="K291" t="s">
        <v>604</v>
      </c>
      <c r="L291">
        <v>48.27</v>
      </c>
      <c r="M291">
        <f t="shared" si="4"/>
        <v>48.27</v>
      </c>
    </row>
    <row r="292" spans="2:13">
      <c r="B292">
        <v>20</v>
      </c>
      <c r="C292" s="33" t="s">
        <v>266</v>
      </c>
      <c r="D292" s="33" t="s">
        <v>268</v>
      </c>
      <c r="E292" t="s">
        <v>506</v>
      </c>
      <c r="F292" t="s">
        <v>557</v>
      </c>
      <c r="G292" t="s">
        <v>561</v>
      </c>
      <c r="H292" t="s">
        <v>482</v>
      </c>
      <c r="I292" t="s">
        <v>605</v>
      </c>
      <c r="J292">
        <v>1</v>
      </c>
      <c r="K292" t="s">
        <v>566</v>
      </c>
      <c r="L292">
        <v>15.82</v>
      </c>
      <c r="M292">
        <f t="shared" si="4"/>
        <v>15.82</v>
      </c>
    </row>
    <row r="293" spans="2:13">
      <c r="B293">
        <v>35</v>
      </c>
      <c r="C293" s="33" t="s">
        <v>266</v>
      </c>
      <c r="D293" s="33" t="s">
        <v>268</v>
      </c>
      <c r="E293" t="s">
        <v>506</v>
      </c>
      <c r="F293" t="s">
        <v>557</v>
      </c>
      <c r="G293" t="s">
        <v>561</v>
      </c>
      <c r="H293" t="s">
        <v>606</v>
      </c>
      <c r="I293" t="s">
        <v>607</v>
      </c>
      <c r="J293">
        <v>1</v>
      </c>
      <c r="K293" t="s">
        <v>550</v>
      </c>
      <c r="L293">
        <v>4.29</v>
      </c>
      <c r="M293">
        <f t="shared" si="4"/>
        <v>4.29</v>
      </c>
    </row>
    <row r="294" spans="2:13">
      <c r="B294">
        <v>37</v>
      </c>
      <c r="C294" s="33" t="s">
        <v>266</v>
      </c>
      <c r="D294" s="33" t="s">
        <v>268</v>
      </c>
      <c r="E294" t="s">
        <v>506</v>
      </c>
      <c r="F294" t="s">
        <v>557</v>
      </c>
      <c r="G294" t="s">
        <v>561</v>
      </c>
      <c r="H294" t="s">
        <v>608</v>
      </c>
      <c r="I294" t="s">
        <v>609</v>
      </c>
      <c r="J294">
        <v>1</v>
      </c>
      <c r="K294" t="s">
        <v>610</v>
      </c>
      <c r="L294">
        <v>58</v>
      </c>
      <c r="M294">
        <f t="shared" si="4"/>
        <v>58</v>
      </c>
    </row>
    <row r="295" spans="2:13">
      <c r="B295">
        <v>38</v>
      </c>
      <c r="C295" s="33" t="s">
        <v>266</v>
      </c>
      <c r="D295" s="33" t="s">
        <v>268</v>
      </c>
      <c r="E295" t="s">
        <v>506</v>
      </c>
      <c r="F295" t="s">
        <v>611</v>
      </c>
      <c r="G295" t="s">
        <v>544</v>
      </c>
      <c r="H295" t="s">
        <v>612</v>
      </c>
      <c r="I295" t="s">
        <v>613</v>
      </c>
      <c r="J295">
        <v>1</v>
      </c>
      <c r="K295" t="s">
        <v>595</v>
      </c>
      <c r="L295">
        <v>290</v>
      </c>
      <c r="M295">
        <f t="shared" si="4"/>
        <v>290</v>
      </c>
    </row>
    <row r="296" spans="2:13">
      <c r="B296">
        <v>39</v>
      </c>
      <c r="C296" s="33" t="s">
        <v>266</v>
      </c>
      <c r="D296" s="33" t="s">
        <v>268</v>
      </c>
      <c r="E296" t="s">
        <v>506</v>
      </c>
      <c r="F296" t="s">
        <v>611</v>
      </c>
      <c r="G296" t="s">
        <v>571</v>
      </c>
      <c r="H296" t="s">
        <v>614</v>
      </c>
      <c r="I296" t="s">
        <v>615</v>
      </c>
      <c r="J296">
        <v>1</v>
      </c>
      <c r="K296" t="s">
        <v>554</v>
      </c>
      <c r="L296">
        <v>100</v>
      </c>
      <c r="M296">
        <f t="shared" si="4"/>
        <v>100</v>
      </c>
    </row>
    <row r="297" spans="2:13">
      <c r="B297">
        <v>40</v>
      </c>
      <c r="C297" s="33" t="s">
        <v>266</v>
      </c>
      <c r="D297" s="33" t="s">
        <v>268</v>
      </c>
      <c r="E297" t="s">
        <v>506</v>
      </c>
      <c r="F297" t="s">
        <v>611</v>
      </c>
      <c r="G297" t="s">
        <v>561</v>
      </c>
      <c r="H297" t="s">
        <v>616</v>
      </c>
      <c r="I297" t="s">
        <v>617</v>
      </c>
      <c r="J297">
        <v>1</v>
      </c>
      <c r="K297" t="s">
        <v>618</v>
      </c>
      <c r="L297">
        <v>55</v>
      </c>
      <c r="M297">
        <f t="shared" si="4"/>
        <v>55</v>
      </c>
    </row>
    <row r="298" spans="2:13">
      <c r="B298">
        <v>41</v>
      </c>
      <c r="C298" s="33" t="s">
        <v>266</v>
      </c>
      <c r="D298" s="33" t="s">
        <v>268</v>
      </c>
      <c r="E298" t="s">
        <v>506</v>
      </c>
      <c r="F298" t="s">
        <v>611</v>
      </c>
      <c r="G298" t="s">
        <v>576</v>
      </c>
      <c r="H298" t="s">
        <v>619</v>
      </c>
      <c r="I298" t="s">
        <v>620</v>
      </c>
      <c r="J298">
        <v>1</v>
      </c>
      <c r="K298" t="s">
        <v>554</v>
      </c>
      <c r="L298">
        <v>66.26</v>
      </c>
      <c r="M298">
        <f t="shared" si="4"/>
        <v>66.26</v>
      </c>
    </row>
    <row r="299" spans="2:13">
      <c r="B299">
        <v>42</v>
      </c>
      <c r="C299" s="33" t="s">
        <v>266</v>
      </c>
      <c r="D299" s="33" t="s">
        <v>268</v>
      </c>
      <c r="E299" t="s">
        <v>506</v>
      </c>
      <c r="F299" t="s">
        <v>611</v>
      </c>
      <c r="G299" t="s">
        <v>621</v>
      </c>
      <c r="H299" t="s">
        <v>622</v>
      </c>
      <c r="I299" t="s">
        <v>623</v>
      </c>
      <c r="J299">
        <v>1</v>
      </c>
      <c r="K299" t="s">
        <v>554</v>
      </c>
      <c r="L299">
        <v>101</v>
      </c>
      <c r="M299">
        <f t="shared" si="4"/>
        <v>101</v>
      </c>
    </row>
    <row r="300" spans="2:13">
      <c r="B300">
        <v>43</v>
      </c>
      <c r="C300" s="33" t="s">
        <v>266</v>
      </c>
      <c r="D300" s="33" t="s">
        <v>268</v>
      </c>
      <c r="E300" t="s">
        <v>506</v>
      </c>
      <c r="F300" t="s">
        <v>611</v>
      </c>
      <c r="G300" t="s">
        <v>621</v>
      </c>
      <c r="H300" t="s">
        <v>624</v>
      </c>
      <c r="I300" t="s">
        <v>625</v>
      </c>
      <c r="J300">
        <v>1</v>
      </c>
      <c r="K300" t="s">
        <v>554</v>
      </c>
      <c r="L300">
        <v>418</v>
      </c>
      <c r="M300">
        <f t="shared" si="4"/>
        <v>418</v>
      </c>
    </row>
    <row r="301" spans="2:13">
      <c r="B301">
        <v>44</v>
      </c>
      <c r="C301" s="33" t="s">
        <v>266</v>
      </c>
      <c r="D301" s="33" t="s">
        <v>268</v>
      </c>
      <c r="E301" t="s">
        <v>506</v>
      </c>
      <c r="F301" t="s">
        <v>611</v>
      </c>
      <c r="G301" t="s">
        <v>621</v>
      </c>
      <c r="H301" t="s">
        <v>626</v>
      </c>
      <c r="I301" t="s">
        <v>627</v>
      </c>
      <c r="J301">
        <v>1</v>
      </c>
      <c r="K301" t="s">
        <v>554</v>
      </c>
      <c r="L301">
        <v>37</v>
      </c>
      <c r="M301">
        <f t="shared" si="4"/>
        <v>37</v>
      </c>
    </row>
    <row r="302" spans="2:13">
      <c r="B302">
        <v>46</v>
      </c>
      <c r="C302" s="33" t="s">
        <v>266</v>
      </c>
      <c r="D302" s="33" t="s">
        <v>268</v>
      </c>
      <c r="E302" t="s">
        <v>506</v>
      </c>
      <c r="F302" t="s">
        <v>611</v>
      </c>
      <c r="G302" t="s">
        <v>571</v>
      </c>
      <c r="H302" t="s">
        <v>628</v>
      </c>
      <c r="I302" t="s">
        <v>629</v>
      </c>
      <c r="J302">
        <v>1</v>
      </c>
      <c r="K302" t="s">
        <v>604</v>
      </c>
      <c r="L302">
        <v>370</v>
      </c>
      <c r="M302">
        <f t="shared" si="4"/>
        <v>370</v>
      </c>
    </row>
    <row r="303" spans="2:13">
      <c r="B303">
        <v>47</v>
      </c>
      <c r="C303" s="33" t="s">
        <v>266</v>
      </c>
      <c r="D303" s="33" t="s">
        <v>268</v>
      </c>
      <c r="E303" t="s">
        <v>506</v>
      </c>
      <c r="F303" t="s">
        <v>611</v>
      </c>
      <c r="G303" t="s">
        <v>551</v>
      </c>
      <c r="H303" t="s">
        <v>630</v>
      </c>
      <c r="I303" t="s">
        <v>631</v>
      </c>
      <c r="J303">
        <v>1</v>
      </c>
      <c r="K303" t="s">
        <v>566</v>
      </c>
      <c r="L303">
        <v>4.7</v>
      </c>
      <c r="M303">
        <f t="shared" si="4"/>
        <v>4.7</v>
      </c>
    </row>
    <row r="304" spans="2:13">
      <c r="B304">
        <v>1</v>
      </c>
      <c r="C304" s="33" t="s">
        <v>266</v>
      </c>
      <c r="D304" s="33" t="s">
        <v>268</v>
      </c>
      <c r="E304" t="s">
        <v>506</v>
      </c>
      <c r="F304" t="s">
        <v>611</v>
      </c>
      <c r="G304" t="s">
        <v>621</v>
      </c>
      <c r="H304" t="s">
        <v>632</v>
      </c>
      <c r="I304" t="s">
        <v>633</v>
      </c>
      <c r="J304">
        <v>1</v>
      </c>
      <c r="K304" t="s">
        <v>601</v>
      </c>
      <c r="L304">
        <v>370</v>
      </c>
      <c r="M304">
        <f t="shared" si="4"/>
        <v>370</v>
      </c>
    </row>
    <row r="305" spans="2:13">
      <c r="B305">
        <v>2</v>
      </c>
      <c r="C305" s="33" t="s">
        <v>266</v>
      </c>
      <c r="D305" s="33" t="s">
        <v>268</v>
      </c>
      <c r="E305" t="s">
        <v>506</v>
      </c>
      <c r="F305" t="s">
        <v>611</v>
      </c>
      <c r="G305" t="s">
        <v>621</v>
      </c>
      <c r="H305" t="s">
        <v>634</v>
      </c>
      <c r="I305" t="s">
        <v>635</v>
      </c>
      <c r="J305">
        <v>1</v>
      </c>
      <c r="K305" t="s">
        <v>554</v>
      </c>
      <c r="L305">
        <v>39.5</v>
      </c>
      <c r="M305">
        <f t="shared" si="4"/>
        <v>39.5</v>
      </c>
    </row>
    <row r="306" spans="2:13">
      <c r="B306">
        <v>3</v>
      </c>
      <c r="C306" s="33" t="s">
        <v>266</v>
      </c>
      <c r="D306" s="33" t="s">
        <v>268</v>
      </c>
      <c r="E306" t="s">
        <v>506</v>
      </c>
      <c r="F306" t="s">
        <v>611</v>
      </c>
      <c r="G306" t="s">
        <v>583</v>
      </c>
      <c r="H306" t="s">
        <v>636</v>
      </c>
      <c r="I306" t="s">
        <v>637</v>
      </c>
      <c r="J306">
        <v>1</v>
      </c>
      <c r="K306" t="s">
        <v>554</v>
      </c>
      <c r="L306">
        <v>41</v>
      </c>
      <c r="M306">
        <f t="shared" si="4"/>
        <v>41</v>
      </c>
    </row>
    <row r="307" spans="2:13">
      <c r="B307">
        <v>4</v>
      </c>
      <c r="C307" s="33" t="s">
        <v>266</v>
      </c>
      <c r="D307" s="33" t="s">
        <v>268</v>
      </c>
      <c r="E307" t="s">
        <v>506</v>
      </c>
      <c r="F307" t="s">
        <v>611</v>
      </c>
      <c r="G307" t="s">
        <v>621</v>
      </c>
      <c r="H307" t="s">
        <v>638</v>
      </c>
      <c r="I307" t="s">
        <v>639</v>
      </c>
      <c r="J307">
        <v>1</v>
      </c>
      <c r="K307" t="s">
        <v>554</v>
      </c>
      <c r="L307">
        <v>17.2</v>
      </c>
      <c r="M307">
        <f t="shared" si="4"/>
        <v>17.2</v>
      </c>
    </row>
    <row r="308" spans="2:13">
      <c r="B308">
        <v>5</v>
      </c>
      <c r="C308" s="33" t="s">
        <v>266</v>
      </c>
      <c r="D308" s="33" t="s">
        <v>268</v>
      </c>
      <c r="E308" t="s">
        <v>507</v>
      </c>
      <c r="F308" t="s">
        <v>543</v>
      </c>
      <c r="G308" t="s">
        <v>544</v>
      </c>
      <c r="H308" t="s">
        <v>545</v>
      </c>
      <c r="I308" t="s">
        <v>546</v>
      </c>
      <c r="J308">
        <v>1</v>
      </c>
      <c r="K308" t="s">
        <v>547</v>
      </c>
      <c r="L308">
        <v>920</v>
      </c>
      <c r="M308">
        <f t="shared" si="4"/>
        <v>920</v>
      </c>
    </row>
    <row r="309" spans="2:13">
      <c r="B309">
        <v>6</v>
      </c>
      <c r="C309" s="33" t="s">
        <v>266</v>
      </c>
      <c r="D309" s="33" t="s">
        <v>268</v>
      </c>
      <c r="E309" t="s">
        <v>507</v>
      </c>
      <c r="F309" t="s">
        <v>543</v>
      </c>
      <c r="G309" t="s">
        <v>544</v>
      </c>
      <c r="H309" t="s">
        <v>548</v>
      </c>
      <c r="I309" t="s">
        <v>549</v>
      </c>
      <c r="J309">
        <v>1</v>
      </c>
      <c r="K309" t="s">
        <v>550</v>
      </c>
      <c r="L309">
        <v>380</v>
      </c>
      <c r="M309">
        <f t="shared" si="4"/>
        <v>380</v>
      </c>
    </row>
    <row r="310" spans="2:13">
      <c r="B310">
        <v>7</v>
      </c>
      <c r="C310" s="33" t="s">
        <v>266</v>
      </c>
      <c r="D310" s="33" t="s">
        <v>268</v>
      </c>
      <c r="E310" t="s">
        <v>507</v>
      </c>
      <c r="F310" t="s">
        <v>543</v>
      </c>
      <c r="G310" t="s">
        <v>551</v>
      </c>
      <c r="H310" t="s">
        <v>552</v>
      </c>
      <c r="I310" t="s">
        <v>553</v>
      </c>
      <c r="J310">
        <v>1</v>
      </c>
      <c r="K310" t="s">
        <v>554</v>
      </c>
      <c r="L310">
        <v>14</v>
      </c>
      <c r="M310">
        <f t="shared" si="4"/>
        <v>14</v>
      </c>
    </row>
    <row r="311" spans="2:13">
      <c r="B311">
        <v>8</v>
      </c>
      <c r="C311" s="33" t="s">
        <v>266</v>
      </c>
      <c r="D311" s="33" t="s">
        <v>268</v>
      </c>
      <c r="E311" t="s">
        <v>507</v>
      </c>
      <c r="F311" t="s">
        <v>543</v>
      </c>
      <c r="G311" t="s">
        <v>551</v>
      </c>
      <c r="H311" t="s">
        <v>555</v>
      </c>
      <c r="I311" t="s">
        <v>556</v>
      </c>
      <c r="J311">
        <v>1</v>
      </c>
      <c r="K311" t="s">
        <v>554</v>
      </c>
      <c r="L311">
        <v>33</v>
      </c>
      <c r="M311">
        <f t="shared" si="4"/>
        <v>33</v>
      </c>
    </row>
    <row r="312" spans="2:13">
      <c r="B312">
        <v>9</v>
      </c>
      <c r="C312" s="33" t="s">
        <v>266</v>
      </c>
      <c r="D312" s="33" t="s">
        <v>268</v>
      </c>
      <c r="E312" t="s">
        <v>507</v>
      </c>
      <c r="F312" t="s">
        <v>643</v>
      </c>
      <c r="G312" t="s">
        <v>558</v>
      </c>
      <c r="H312" t="s">
        <v>559</v>
      </c>
      <c r="I312" t="s">
        <v>560</v>
      </c>
      <c r="J312">
        <v>1</v>
      </c>
      <c r="K312" t="s">
        <v>554</v>
      </c>
      <c r="L312">
        <v>0</v>
      </c>
      <c r="M312">
        <f t="shared" si="4"/>
        <v>0</v>
      </c>
    </row>
    <row r="313" spans="2:13">
      <c r="B313">
        <v>10</v>
      </c>
      <c r="C313" s="33" t="s">
        <v>266</v>
      </c>
      <c r="D313" s="33" t="s">
        <v>268</v>
      </c>
      <c r="E313" t="s">
        <v>507</v>
      </c>
      <c r="F313" t="s">
        <v>643</v>
      </c>
      <c r="G313" t="s">
        <v>561</v>
      </c>
      <c r="H313" t="s">
        <v>562</v>
      </c>
      <c r="I313" t="s">
        <v>563</v>
      </c>
      <c r="J313">
        <v>1</v>
      </c>
      <c r="K313" t="s">
        <v>554</v>
      </c>
      <c r="L313">
        <v>13.38</v>
      </c>
      <c r="M313">
        <f t="shared" si="4"/>
        <v>13.38</v>
      </c>
    </row>
    <row r="314" spans="2:13">
      <c r="B314">
        <v>11</v>
      </c>
      <c r="C314" s="33" t="s">
        <v>266</v>
      </c>
      <c r="D314" s="33" t="s">
        <v>268</v>
      </c>
      <c r="E314" t="s">
        <v>507</v>
      </c>
      <c r="F314" t="s">
        <v>643</v>
      </c>
      <c r="G314" t="s">
        <v>561</v>
      </c>
      <c r="H314" t="s">
        <v>644</v>
      </c>
      <c r="I314" t="s">
        <v>645</v>
      </c>
      <c r="J314">
        <v>1</v>
      </c>
      <c r="K314" t="s">
        <v>554</v>
      </c>
      <c r="L314">
        <v>39.06</v>
      </c>
      <c r="M314">
        <f t="shared" si="4"/>
        <v>39.06</v>
      </c>
    </row>
    <row r="315" spans="2:13">
      <c r="B315">
        <v>12</v>
      </c>
      <c r="C315" s="33" t="s">
        <v>266</v>
      </c>
      <c r="D315" s="33" t="s">
        <v>268</v>
      </c>
      <c r="E315" t="s">
        <v>507</v>
      </c>
      <c r="F315" t="s">
        <v>643</v>
      </c>
      <c r="G315" t="s">
        <v>561</v>
      </c>
      <c r="H315" t="s">
        <v>646</v>
      </c>
      <c r="I315" t="s">
        <v>647</v>
      </c>
      <c r="J315">
        <v>1</v>
      </c>
      <c r="K315" t="s">
        <v>566</v>
      </c>
      <c r="L315">
        <v>8.12</v>
      </c>
      <c r="M315">
        <f t="shared" si="4"/>
        <v>8.12</v>
      </c>
    </row>
    <row r="316" spans="2:13">
      <c r="B316">
        <v>13</v>
      </c>
      <c r="C316" s="33" t="s">
        <v>266</v>
      </c>
      <c r="D316" s="33" t="s">
        <v>268</v>
      </c>
      <c r="E316" t="s">
        <v>507</v>
      </c>
      <c r="F316" t="s">
        <v>643</v>
      </c>
      <c r="G316" t="s">
        <v>561</v>
      </c>
      <c r="H316" t="s">
        <v>485</v>
      </c>
      <c r="I316" t="s">
        <v>648</v>
      </c>
      <c r="J316">
        <v>1</v>
      </c>
      <c r="K316" t="s">
        <v>566</v>
      </c>
      <c r="L316">
        <v>15.22</v>
      </c>
      <c r="M316">
        <f t="shared" si="4"/>
        <v>15.22</v>
      </c>
    </row>
    <row r="317" spans="2:13">
      <c r="B317">
        <v>14</v>
      </c>
      <c r="C317" s="33" t="s">
        <v>266</v>
      </c>
      <c r="D317" s="33" t="s">
        <v>268</v>
      </c>
      <c r="E317" t="s">
        <v>507</v>
      </c>
      <c r="F317" t="s">
        <v>643</v>
      </c>
      <c r="G317" t="s">
        <v>561</v>
      </c>
      <c r="H317" t="s">
        <v>606</v>
      </c>
      <c r="I317" t="s">
        <v>649</v>
      </c>
      <c r="J317">
        <v>2</v>
      </c>
      <c r="K317" t="s">
        <v>550</v>
      </c>
      <c r="L317">
        <v>4.75</v>
      </c>
      <c r="M317">
        <f t="shared" si="4"/>
        <v>9.5</v>
      </c>
    </row>
    <row r="318" spans="2:13">
      <c r="B318">
        <v>15</v>
      </c>
      <c r="C318" s="33" t="s">
        <v>266</v>
      </c>
      <c r="D318" s="33" t="s">
        <v>268</v>
      </c>
      <c r="E318" t="s">
        <v>507</v>
      </c>
      <c r="F318" t="s">
        <v>643</v>
      </c>
      <c r="G318" t="s">
        <v>571</v>
      </c>
      <c r="H318" t="s">
        <v>572</v>
      </c>
      <c r="I318" t="s">
        <v>573</v>
      </c>
      <c r="J318">
        <v>1</v>
      </c>
      <c r="K318" t="s">
        <v>554</v>
      </c>
      <c r="L318">
        <v>1680</v>
      </c>
      <c r="M318">
        <f t="shared" si="4"/>
        <v>1680</v>
      </c>
    </row>
    <row r="319" spans="2:13">
      <c r="B319">
        <v>16</v>
      </c>
      <c r="C319" s="33" t="s">
        <v>266</v>
      </c>
      <c r="D319" s="33" t="s">
        <v>268</v>
      </c>
      <c r="E319" t="s">
        <v>507</v>
      </c>
      <c r="F319" t="s">
        <v>643</v>
      </c>
      <c r="G319" t="s">
        <v>571</v>
      </c>
      <c r="H319" t="s">
        <v>574</v>
      </c>
      <c r="I319" t="s">
        <v>575</v>
      </c>
      <c r="J319">
        <v>1</v>
      </c>
      <c r="K319" t="s">
        <v>554</v>
      </c>
      <c r="L319">
        <v>10</v>
      </c>
      <c r="M319">
        <f t="shared" si="4"/>
        <v>10</v>
      </c>
    </row>
    <row r="320" spans="2:13">
      <c r="B320">
        <v>17</v>
      </c>
      <c r="C320" s="33" t="s">
        <v>266</v>
      </c>
      <c r="D320" s="33" t="s">
        <v>268</v>
      </c>
      <c r="E320" t="s">
        <v>507</v>
      </c>
      <c r="F320" t="s">
        <v>643</v>
      </c>
      <c r="G320" t="s">
        <v>576</v>
      </c>
      <c r="H320" t="s">
        <v>577</v>
      </c>
      <c r="I320" t="s">
        <v>578</v>
      </c>
      <c r="J320">
        <v>1</v>
      </c>
      <c r="K320" t="s">
        <v>554</v>
      </c>
      <c r="L320">
        <v>93</v>
      </c>
      <c r="M320">
        <f t="shared" si="4"/>
        <v>93</v>
      </c>
    </row>
    <row r="321" spans="2:13">
      <c r="B321">
        <v>18</v>
      </c>
      <c r="C321" s="33" t="s">
        <v>266</v>
      </c>
      <c r="D321" s="33" t="s">
        <v>268</v>
      </c>
      <c r="E321" t="s">
        <v>507</v>
      </c>
      <c r="F321" t="s">
        <v>643</v>
      </c>
      <c r="G321" t="s">
        <v>576</v>
      </c>
      <c r="H321" t="s">
        <v>579</v>
      </c>
      <c r="I321" t="s">
        <v>580</v>
      </c>
      <c r="J321">
        <v>1</v>
      </c>
      <c r="K321" t="s">
        <v>554</v>
      </c>
      <c r="L321">
        <v>56</v>
      </c>
      <c r="M321">
        <f t="shared" si="4"/>
        <v>56</v>
      </c>
    </row>
    <row r="322" spans="2:13">
      <c r="B322">
        <v>19</v>
      </c>
      <c r="C322" s="33" t="s">
        <v>266</v>
      </c>
      <c r="D322" s="33" t="s">
        <v>268</v>
      </c>
      <c r="E322" t="s">
        <v>507</v>
      </c>
      <c r="F322" t="s">
        <v>643</v>
      </c>
      <c r="G322" t="s">
        <v>558</v>
      </c>
      <c r="H322" t="s">
        <v>581</v>
      </c>
      <c r="I322" t="s">
        <v>582</v>
      </c>
      <c r="J322">
        <v>1</v>
      </c>
      <c r="K322" t="s">
        <v>554</v>
      </c>
      <c r="L322">
        <v>84</v>
      </c>
      <c r="M322">
        <f t="shared" si="4"/>
        <v>84</v>
      </c>
    </row>
    <row r="323" spans="2:13">
      <c r="B323">
        <v>19</v>
      </c>
      <c r="C323" s="33" t="s">
        <v>266</v>
      </c>
      <c r="D323" s="33" t="s">
        <v>268</v>
      </c>
      <c r="E323" t="s">
        <v>507</v>
      </c>
      <c r="F323" t="s">
        <v>643</v>
      </c>
      <c r="G323" t="s">
        <v>583</v>
      </c>
      <c r="H323" t="s">
        <v>584</v>
      </c>
      <c r="I323" t="s">
        <v>585</v>
      </c>
      <c r="J323">
        <v>1</v>
      </c>
      <c r="K323" t="s">
        <v>554</v>
      </c>
      <c r="L323">
        <v>165</v>
      </c>
      <c r="M323">
        <f t="shared" si="4"/>
        <v>165</v>
      </c>
    </row>
    <row r="324" spans="2:13">
      <c r="B324">
        <v>19</v>
      </c>
      <c r="C324" s="33" t="s">
        <v>266</v>
      </c>
      <c r="D324" s="33" t="s">
        <v>268</v>
      </c>
      <c r="E324" t="s">
        <v>507</v>
      </c>
      <c r="F324" t="s">
        <v>643</v>
      </c>
      <c r="G324" t="s">
        <v>561</v>
      </c>
      <c r="H324" t="s">
        <v>586</v>
      </c>
      <c r="I324" t="s">
        <v>587</v>
      </c>
      <c r="J324">
        <v>1</v>
      </c>
      <c r="K324" t="s">
        <v>554</v>
      </c>
      <c r="L324">
        <v>43</v>
      </c>
      <c r="M324">
        <f t="shared" si="4"/>
        <v>43</v>
      </c>
    </row>
    <row r="325" spans="2:13">
      <c r="B325">
        <v>19</v>
      </c>
      <c r="C325" s="33" t="s">
        <v>266</v>
      </c>
      <c r="D325" s="33" t="s">
        <v>268</v>
      </c>
      <c r="E325" t="s">
        <v>507</v>
      </c>
      <c r="F325" t="s">
        <v>643</v>
      </c>
      <c r="G325" t="s">
        <v>588</v>
      </c>
      <c r="H325" t="s">
        <v>589</v>
      </c>
      <c r="I325" t="s">
        <v>590</v>
      </c>
      <c r="J325">
        <v>1</v>
      </c>
      <c r="K325" t="s">
        <v>554</v>
      </c>
      <c r="L325">
        <v>425</v>
      </c>
      <c r="M325">
        <f t="shared" ref="M325:M388" si="5">J325*L325</f>
        <v>425</v>
      </c>
    </row>
    <row r="326" spans="2:13">
      <c r="B326">
        <v>20</v>
      </c>
      <c r="C326" s="33" t="s">
        <v>266</v>
      </c>
      <c r="D326" s="33" t="s">
        <v>268</v>
      </c>
      <c r="E326" t="s">
        <v>507</v>
      </c>
      <c r="F326" t="s">
        <v>643</v>
      </c>
      <c r="G326" t="s">
        <v>561</v>
      </c>
      <c r="H326" t="s">
        <v>591</v>
      </c>
      <c r="I326" t="s">
        <v>592</v>
      </c>
      <c r="J326">
        <v>1</v>
      </c>
      <c r="K326" t="s">
        <v>554</v>
      </c>
      <c r="L326">
        <v>77</v>
      </c>
      <c r="M326">
        <f t="shared" si="5"/>
        <v>77</v>
      </c>
    </row>
    <row r="327" spans="2:13">
      <c r="B327">
        <v>24</v>
      </c>
      <c r="C327" s="33" t="s">
        <v>266</v>
      </c>
      <c r="D327" s="33" t="s">
        <v>268</v>
      </c>
      <c r="E327" t="s">
        <v>507</v>
      </c>
      <c r="F327" t="s">
        <v>643</v>
      </c>
      <c r="G327" t="s">
        <v>544</v>
      </c>
      <c r="H327" t="s">
        <v>593</v>
      </c>
      <c r="I327" t="s">
        <v>594</v>
      </c>
      <c r="J327">
        <v>1</v>
      </c>
      <c r="K327" t="s">
        <v>595</v>
      </c>
      <c r="L327">
        <v>415</v>
      </c>
      <c r="M327">
        <f t="shared" si="5"/>
        <v>415</v>
      </c>
    </row>
    <row r="328" spans="2:13">
      <c r="B328">
        <v>26</v>
      </c>
      <c r="C328" s="33" t="s">
        <v>266</v>
      </c>
      <c r="D328" s="33" t="s">
        <v>268</v>
      </c>
      <c r="E328" t="s">
        <v>507</v>
      </c>
      <c r="F328" t="s">
        <v>643</v>
      </c>
      <c r="G328" t="s">
        <v>596</v>
      </c>
      <c r="H328" t="s">
        <v>597</v>
      </c>
      <c r="I328" t="s">
        <v>640</v>
      </c>
      <c r="J328">
        <v>1</v>
      </c>
      <c r="K328" t="s">
        <v>641</v>
      </c>
      <c r="L328">
        <v>77</v>
      </c>
      <c r="M328">
        <f t="shared" si="5"/>
        <v>77</v>
      </c>
    </row>
    <row r="329" spans="2:13">
      <c r="B329">
        <v>27</v>
      </c>
      <c r="C329" s="33" t="s">
        <v>266</v>
      </c>
      <c r="D329" s="33" t="s">
        <v>268</v>
      </c>
      <c r="E329" t="s">
        <v>507</v>
      </c>
      <c r="F329" t="s">
        <v>643</v>
      </c>
      <c r="G329" t="s">
        <v>561</v>
      </c>
      <c r="H329" t="s">
        <v>608</v>
      </c>
      <c r="I329" t="s">
        <v>609</v>
      </c>
      <c r="J329">
        <v>1</v>
      </c>
      <c r="K329" t="s">
        <v>610</v>
      </c>
      <c r="L329">
        <v>58</v>
      </c>
      <c r="M329">
        <f t="shared" si="5"/>
        <v>58</v>
      </c>
    </row>
    <row r="330" spans="2:13">
      <c r="B330">
        <v>33</v>
      </c>
      <c r="C330" s="33" t="s">
        <v>266</v>
      </c>
      <c r="D330" s="33" t="s">
        <v>268</v>
      </c>
      <c r="E330" t="s">
        <v>507</v>
      </c>
      <c r="F330" t="s">
        <v>643</v>
      </c>
      <c r="G330" t="s">
        <v>561</v>
      </c>
      <c r="H330" t="s">
        <v>481</v>
      </c>
      <c r="I330" t="s">
        <v>650</v>
      </c>
      <c r="J330">
        <v>1</v>
      </c>
      <c r="K330" t="s">
        <v>601</v>
      </c>
      <c r="L330">
        <v>52.14</v>
      </c>
      <c r="M330">
        <f t="shared" si="5"/>
        <v>52.14</v>
      </c>
    </row>
    <row r="331" spans="2:13">
      <c r="B331">
        <v>20</v>
      </c>
      <c r="C331" s="33" t="s">
        <v>266</v>
      </c>
      <c r="D331" s="33" t="s">
        <v>268</v>
      </c>
      <c r="E331" t="s">
        <v>507</v>
      </c>
      <c r="F331" t="s">
        <v>643</v>
      </c>
      <c r="G331" t="s">
        <v>571</v>
      </c>
      <c r="H331" t="s">
        <v>602</v>
      </c>
      <c r="I331" t="s">
        <v>603</v>
      </c>
      <c r="J331">
        <v>1</v>
      </c>
      <c r="K331" t="s">
        <v>604</v>
      </c>
      <c r="L331">
        <v>48.27</v>
      </c>
      <c r="M331">
        <f t="shared" si="5"/>
        <v>48.27</v>
      </c>
    </row>
    <row r="332" spans="2:13">
      <c r="B332">
        <v>20</v>
      </c>
      <c r="C332" s="33" t="s">
        <v>266</v>
      </c>
      <c r="D332" s="33" t="s">
        <v>268</v>
      </c>
      <c r="E332" t="s">
        <v>507</v>
      </c>
      <c r="F332" t="s">
        <v>557</v>
      </c>
      <c r="G332" t="s">
        <v>544</v>
      </c>
      <c r="H332" t="s">
        <v>651</v>
      </c>
      <c r="I332" t="s">
        <v>652</v>
      </c>
      <c r="J332">
        <v>1</v>
      </c>
      <c r="K332" t="s">
        <v>595</v>
      </c>
      <c r="L332">
        <v>800</v>
      </c>
      <c r="M332">
        <f t="shared" si="5"/>
        <v>800</v>
      </c>
    </row>
    <row r="333" spans="2:13">
      <c r="B333">
        <v>20</v>
      </c>
      <c r="C333" s="33" t="s">
        <v>266</v>
      </c>
      <c r="D333" s="33" t="s">
        <v>268</v>
      </c>
      <c r="E333" t="s">
        <v>507</v>
      </c>
      <c r="F333" t="s">
        <v>557</v>
      </c>
      <c r="G333" t="s">
        <v>561</v>
      </c>
      <c r="H333" t="s">
        <v>564</v>
      </c>
      <c r="I333" t="s">
        <v>565</v>
      </c>
      <c r="J333">
        <v>1</v>
      </c>
      <c r="K333" t="s">
        <v>566</v>
      </c>
      <c r="L333">
        <v>26.93</v>
      </c>
      <c r="M333">
        <f t="shared" si="5"/>
        <v>26.93</v>
      </c>
    </row>
    <row r="334" spans="2:13">
      <c r="B334">
        <v>35</v>
      </c>
      <c r="C334" s="33" t="s">
        <v>266</v>
      </c>
      <c r="D334" s="33" t="s">
        <v>268</v>
      </c>
      <c r="E334" t="s">
        <v>507</v>
      </c>
      <c r="F334" t="s">
        <v>557</v>
      </c>
      <c r="G334" t="s">
        <v>561</v>
      </c>
      <c r="H334" t="s">
        <v>567</v>
      </c>
      <c r="I334" t="s">
        <v>568</v>
      </c>
      <c r="J334">
        <v>1</v>
      </c>
      <c r="K334" t="s">
        <v>566</v>
      </c>
      <c r="L334">
        <v>23.77</v>
      </c>
      <c r="M334">
        <f t="shared" si="5"/>
        <v>23.77</v>
      </c>
    </row>
    <row r="335" spans="2:13">
      <c r="B335">
        <v>37</v>
      </c>
      <c r="C335" s="33" t="s">
        <v>266</v>
      </c>
      <c r="D335" s="33" t="s">
        <v>268</v>
      </c>
      <c r="E335" t="s">
        <v>507</v>
      </c>
      <c r="F335" t="s">
        <v>557</v>
      </c>
      <c r="G335" t="s">
        <v>561</v>
      </c>
      <c r="H335" t="s">
        <v>569</v>
      </c>
      <c r="I335" t="s">
        <v>570</v>
      </c>
      <c r="J335">
        <v>1</v>
      </c>
      <c r="K335" t="s">
        <v>554</v>
      </c>
      <c r="L335">
        <v>47.7</v>
      </c>
      <c r="M335">
        <f t="shared" si="5"/>
        <v>47.7</v>
      </c>
    </row>
    <row r="336" spans="2:13">
      <c r="B336">
        <v>38</v>
      </c>
      <c r="C336" s="33" t="s">
        <v>266</v>
      </c>
      <c r="D336" s="33" t="s">
        <v>268</v>
      </c>
      <c r="E336" t="s">
        <v>507</v>
      </c>
      <c r="F336" t="s">
        <v>557</v>
      </c>
      <c r="G336" t="s">
        <v>544</v>
      </c>
      <c r="H336" t="s">
        <v>593</v>
      </c>
      <c r="I336" t="s">
        <v>594</v>
      </c>
      <c r="J336">
        <v>1</v>
      </c>
      <c r="K336" t="s">
        <v>595</v>
      </c>
      <c r="L336">
        <v>415</v>
      </c>
      <c r="M336">
        <f t="shared" si="5"/>
        <v>415</v>
      </c>
    </row>
    <row r="337" spans="2:13">
      <c r="B337">
        <v>39</v>
      </c>
      <c r="C337" s="33" t="s">
        <v>266</v>
      </c>
      <c r="D337" s="33" t="s">
        <v>268</v>
      </c>
      <c r="E337" t="s">
        <v>507</v>
      </c>
      <c r="F337" t="s">
        <v>557</v>
      </c>
      <c r="G337" t="s">
        <v>596</v>
      </c>
      <c r="H337" t="s">
        <v>597</v>
      </c>
      <c r="I337" t="s">
        <v>640</v>
      </c>
      <c r="J337">
        <v>1</v>
      </c>
      <c r="K337" t="s">
        <v>641</v>
      </c>
      <c r="L337">
        <v>77</v>
      </c>
      <c r="M337">
        <f t="shared" si="5"/>
        <v>77</v>
      </c>
    </row>
    <row r="338" spans="2:13">
      <c r="B338">
        <v>40</v>
      </c>
      <c r="C338" s="33" t="s">
        <v>266</v>
      </c>
      <c r="D338" s="33" t="s">
        <v>268</v>
      </c>
      <c r="E338" t="s">
        <v>507</v>
      </c>
      <c r="F338" t="s">
        <v>557</v>
      </c>
      <c r="G338" t="s">
        <v>571</v>
      </c>
      <c r="H338" t="s">
        <v>572</v>
      </c>
      <c r="I338" t="s">
        <v>573</v>
      </c>
      <c r="J338">
        <v>1</v>
      </c>
      <c r="K338" t="s">
        <v>554</v>
      </c>
      <c r="L338">
        <v>1680</v>
      </c>
      <c r="M338">
        <f t="shared" si="5"/>
        <v>1680</v>
      </c>
    </row>
    <row r="339" spans="2:13">
      <c r="B339">
        <v>41</v>
      </c>
      <c r="C339" s="33" t="s">
        <v>266</v>
      </c>
      <c r="D339" s="33" t="s">
        <v>268</v>
      </c>
      <c r="E339" t="s">
        <v>507</v>
      </c>
      <c r="F339" t="s">
        <v>557</v>
      </c>
      <c r="G339" t="s">
        <v>571</v>
      </c>
      <c r="H339" t="s">
        <v>574</v>
      </c>
      <c r="I339" t="s">
        <v>575</v>
      </c>
      <c r="J339">
        <v>1</v>
      </c>
      <c r="K339" t="s">
        <v>554</v>
      </c>
      <c r="L339">
        <v>10</v>
      </c>
      <c r="M339">
        <f t="shared" si="5"/>
        <v>10</v>
      </c>
    </row>
    <row r="340" spans="2:13">
      <c r="B340">
        <v>42</v>
      </c>
      <c r="C340" s="33" t="s">
        <v>266</v>
      </c>
      <c r="D340" s="33" t="s">
        <v>268</v>
      </c>
      <c r="E340" t="s">
        <v>507</v>
      </c>
      <c r="F340" t="s">
        <v>557</v>
      </c>
      <c r="G340" t="s">
        <v>558</v>
      </c>
      <c r="H340" t="s">
        <v>581</v>
      </c>
      <c r="I340" t="s">
        <v>582</v>
      </c>
      <c r="J340">
        <v>1</v>
      </c>
      <c r="K340" t="s">
        <v>554</v>
      </c>
      <c r="L340">
        <v>84</v>
      </c>
      <c r="M340">
        <f t="shared" si="5"/>
        <v>84</v>
      </c>
    </row>
    <row r="341" spans="2:13">
      <c r="B341">
        <v>43</v>
      </c>
      <c r="C341" s="33" t="s">
        <v>266</v>
      </c>
      <c r="D341" s="33" t="s">
        <v>268</v>
      </c>
      <c r="E341" t="s">
        <v>507</v>
      </c>
      <c r="F341" t="s">
        <v>557</v>
      </c>
      <c r="G341" t="s">
        <v>576</v>
      </c>
      <c r="H341" t="s">
        <v>577</v>
      </c>
      <c r="I341" t="s">
        <v>578</v>
      </c>
      <c r="J341">
        <v>1</v>
      </c>
      <c r="K341" t="s">
        <v>554</v>
      </c>
      <c r="L341">
        <v>93</v>
      </c>
      <c r="M341">
        <f t="shared" si="5"/>
        <v>93</v>
      </c>
    </row>
    <row r="342" spans="2:13">
      <c r="B342">
        <v>44</v>
      </c>
      <c r="C342" s="33" t="s">
        <v>266</v>
      </c>
      <c r="D342" s="33" t="s">
        <v>268</v>
      </c>
      <c r="E342" t="s">
        <v>507</v>
      </c>
      <c r="F342" t="s">
        <v>611</v>
      </c>
      <c r="G342" t="s">
        <v>544</v>
      </c>
      <c r="H342" t="s">
        <v>612</v>
      </c>
      <c r="I342" t="s">
        <v>613</v>
      </c>
      <c r="J342">
        <v>1</v>
      </c>
      <c r="K342" t="s">
        <v>595</v>
      </c>
      <c r="L342">
        <v>290</v>
      </c>
      <c r="M342">
        <f t="shared" si="5"/>
        <v>290</v>
      </c>
    </row>
    <row r="343" spans="2:13">
      <c r="B343">
        <v>45</v>
      </c>
      <c r="C343" s="33" t="s">
        <v>266</v>
      </c>
      <c r="D343" s="33" t="s">
        <v>268</v>
      </c>
      <c r="E343" t="s">
        <v>507</v>
      </c>
      <c r="F343" t="s">
        <v>611</v>
      </c>
      <c r="G343" t="s">
        <v>571</v>
      </c>
      <c r="H343" t="s">
        <v>614</v>
      </c>
      <c r="I343" t="s">
        <v>615</v>
      </c>
      <c r="J343">
        <v>1</v>
      </c>
      <c r="K343" t="s">
        <v>554</v>
      </c>
      <c r="L343">
        <v>100</v>
      </c>
      <c r="M343">
        <f t="shared" si="5"/>
        <v>100</v>
      </c>
    </row>
    <row r="344" spans="2:13">
      <c r="B344">
        <v>46</v>
      </c>
      <c r="C344" s="33" t="s">
        <v>266</v>
      </c>
      <c r="D344" s="33" t="s">
        <v>268</v>
      </c>
      <c r="E344" t="s">
        <v>507</v>
      </c>
      <c r="F344" t="s">
        <v>611</v>
      </c>
      <c r="G344" t="s">
        <v>561</v>
      </c>
      <c r="H344" t="s">
        <v>616</v>
      </c>
      <c r="I344" t="s">
        <v>617</v>
      </c>
      <c r="J344">
        <v>1</v>
      </c>
      <c r="K344" t="s">
        <v>618</v>
      </c>
      <c r="L344">
        <v>55</v>
      </c>
      <c r="M344">
        <f t="shared" si="5"/>
        <v>55</v>
      </c>
    </row>
    <row r="345" spans="2:13">
      <c r="B345">
        <v>47</v>
      </c>
      <c r="C345" s="33" t="s">
        <v>266</v>
      </c>
      <c r="D345" s="33" t="s">
        <v>268</v>
      </c>
      <c r="E345" t="s">
        <v>507</v>
      </c>
      <c r="F345" t="s">
        <v>611</v>
      </c>
      <c r="G345" t="s">
        <v>576</v>
      </c>
      <c r="H345" t="s">
        <v>619</v>
      </c>
      <c r="I345" t="s">
        <v>620</v>
      </c>
      <c r="J345">
        <v>1</v>
      </c>
      <c r="K345" t="s">
        <v>554</v>
      </c>
      <c r="L345">
        <v>66.26</v>
      </c>
      <c r="M345">
        <f t="shared" si="5"/>
        <v>66.26</v>
      </c>
    </row>
    <row r="346" spans="2:13">
      <c r="B346">
        <v>1</v>
      </c>
      <c r="C346" s="33" t="s">
        <v>266</v>
      </c>
      <c r="D346" s="33" t="s">
        <v>268</v>
      </c>
      <c r="E346" t="s">
        <v>507</v>
      </c>
      <c r="F346" t="s">
        <v>611</v>
      </c>
      <c r="G346" t="s">
        <v>621</v>
      </c>
      <c r="H346" t="s">
        <v>622</v>
      </c>
      <c r="I346" t="s">
        <v>623</v>
      </c>
      <c r="J346">
        <v>1</v>
      </c>
      <c r="K346" t="s">
        <v>554</v>
      </c>
      <c r="L346">
        <v>101</v>
      </c>
      <c r="M346">
        <f t="shared" si="5"/>
        <v>101</v>
      </c>
    </row>
    <row r="347" spans="2:13">
      <c r="B347">
        <v>2</v>
      </c>
      <c r="C347" s="33" t="s">
        <v>266</v>
      </c>
      <c r="D347" s="33" t="s">
        <v>268</v>
      </c>
      <c r="E347" t="s">
        <v>507</v>
      </c>
      <c r="F347" t="s">
        <v>611</v>
      </c>
      <c r="G347" t="s">
        <v>621</v>
      </c>
      <c r="H347" t="s">
        <v>624</v>
      </c>
      <c r="I347" t="s">
        <v>625</v>
      </c>
      <c r="J347">
        <v>1</v>
      </c>
      <c r="K347" t="s">
        <v>554</v>
      </c>
      <c r="L347">
        <v>418</v>
      </c>
      <c r="M347">
        <f t="shared" si="5"/>
        <v>418</v>
      </c>
    </row>
    <row r="348" spans="2:13">
      <c r="B348">
        <v>3</v>
      </c>
      <c r="C348" s="33" t="s">
        <v>266</v>
      </c>
      <c r="D348" s="33" t="s">
        <v>268</v>
      </c>
      <c r="E348" t="s">
        <v>507</v>
      </c>
      <c r="F348" t="s">
        <v>611</v>
      </c>
      <c r="G348" t="s">
        <v>621</v>
      </c>
      <c r="H348" t="s">
        <v>626</v>
      </c>
      <c r="I348" t="s">
        <v>627</v>
      </c>
      <c r="J348">
        <v>1</v>
      </c>
      <c r="K348" t="s">
        <v>554</v>
      </c>
      <c r="L348">
        <v>37</v>
      </c>
      <c r="M348">
        <f t="shared" si="5"/>
        <v>37</v>
      </c>
    </row>
    <row r="349" spans="2:13">
      <c r="B349">
        <v>4</v>
      </c>
      <c r="C349" s="33" t="s">
        <v>266</v>
      </c>
      <c r="D349" s="33" t="s">
        <v>268</v>
      </c>
      <c r="E349" t="s">
        <v>507</v>
      </c>
      <c r="F349" t="s">
        <v>611</v>
      </c>
      <c r="G349" t="s">
        <v>571</v>
      </c>
      <c r="H349" t="s">
        <v>628</v>
      </c>
      <c r="I349" t="s">
        <v>653</v>
      </c>
      <c r="J349">
        <v>1</v>
      </c>
      <c r="K349" t="s">
        <v>604</v>
      </c>
      <c r="L349">
        <v>430</v>
      </c>
      <c r="M349">
        <f t="shared" si="5"/>
        <v>430</v>
      </c>
    </row>
    <row r="350" spans="2:13">
      <c r="B350">
        <v>5</v>
      </c>
      <c r="C350" s="33" t="s">
        <v>266</v>
      </c>
      <c r="D350" s="33" t="s">
        <v>268</v>
      </c>
      <c r="E350" t="s">
        <v>507</v>
      </c>
      <c r="F350" t="s">
        <v>611</v>
      </c>
      <c r="G350" t="s">
        <v>583</v>
      </c>
      <c r="H350" t="s">
        <v>636</v>
      </c>
      <c r="I350" t="s">
        <v>637</v>
      </c>
      <c r="J350">
        <v>1</v>
      </c>
      <c r="K350" t="s">
        <v>554</v>
      </c>
      <c r="L350">
        <v>41</v>
      </c>
      <c r="M350">
        <f t="shared" si="5"/>
        <v>41</v>
      </c>
    </row>
    <row r="351" spans="2:13">
      <c r="B351">
        <v>6</v>
      </c>
      <c r="C351" s="33" t="s">
        <v>266</v>
      </c>
      <c r="D351" s="33" t="s">
        <v>268</v>
      </c>
      <c r="E351" t="s">
        <v>507</v>
      </c>
      <c r="F351" t="s">
        <v>611</v>
      </c>
      <c r="G351" t="s">
        <v>551</v>
      </c>
      <c r="H351" t="s">
        <v>630</v>
      </c>
      <c r="I351" t="s">
        <v>631</v>
      </c>
      <c r="J351">
        <v>1</v>
      </c>
      <c r="K351" t="s">
        <v>566</v>
      </c>
      <c r="L351">
        <v>4.7</v>
      </c>
      <c r="M351">
        <f t="shared" si="5"/>
        <v>4.7</v>
      </c>
    </row>
    <row r="352" spans="2:13">
      <c r="B352">
        <v>7</v>
      </c>
      <c r="C352" s="33" t="s">
        <v>266</v>
      </c>
      <c r="D352" s="33" t="s">
        <v>268</v>
      </c>
      <c r="E352" t="s">
        <v>507</v>
      </c>
      <c r="F352" t="s">
        <v>611</v>
      </c>
      <c r="G352" t="s">
        <v>621</v>
      </c>
      <c r="H352" t="s">
        <v>632</v>
      </c>
      <c r="I352" t="s">
        <v>633</v>
      </c>
      <c r="J352">
        <v>1</v>
      </c>
      <c r="K352" t="s">
        <v>601</v>
      </c>
      <c r="L352">
        <v>370</v>
      </c>
      <c r="M352">
        <f t="shared" si="5"/>
        <v>370</v>
      </c>
    </row>
    <row r="353" spans="2:13">
      <c r="B353">
        <v>8</v>
      </c>
      <c r="C353" s="33" t="s">
        <v>266</v>
      </c>
      <c r="D353" s="33" t="s">
        <v>268</v>
      </c>
      <c r="E353" t="s">
        <v>507</v>
      </c>
      <c r="F353" t="s">
        <v>611</v>
      </c>
      <c r="G353" t="s">
        <v>621</v>
      </c>
      <c r="H353" t="s">
        <v>634</v>
      </c>
      <c r="I353" t="s">
        <v>635</v>
      </c>
      <c r="J353">
        <v>1</v>
      </c>
      <c r="K353" t="s">
        <v>554</v>
      </c>
      <c r="L353">
        <v>39.5</v>
      </c>
      <c r="M353">
        <f t="shared" si="5"/>
        <v>39.5</v>
      </c>
    </row>
    <row r="354" spans="2:13">
      <c r="B354">
        <v>9</v>
      </c>
      <c r="C354" s="33" t="s">
        <v>266</v>
      </c>
      <c r="D354" s="33" t="s">
        <v>268</v>
      </c>
      <c r="E354" t="s">
        <v>507</v>
      </c>
      <c r="F354" t="s">
        <v>611</v>
      </c>
      <c r="G354" t="s">
        <v>621</v>
      </c>
      <c r="H354" t="s">
        <v>638</v>
      </c>
      <c r="I354" t="s">
        <v>639</v>
      </c>
      <c r="J354">
        <v>1</v>
      </c>
      <c r="K354" t="s">
        <v>554</v>
      </c>
      <c r="L354">
        <v>17.2</v>
      </c>
      <c r="M354">
        <f t="shared" si="5"/>
        <v>17.2</v>
      </c>
    </row>
    <row r="355" spans="2:13">
      <c r="B355">
        <v>10</v>
      </c>
      <c r="C355" s="33" t="s">
        <v>266</v>
      </c>
      <c r="D355" s="33" t="s">
        <v>268</v>
      </c>
      <c r="E355" t="s">
        <v>508</v>
      </c>
      <c r="F355" t="s">
        <v>543</v>
      </c>
      <c r="G355" t="s">
        <v>544</v>
      </c>
      <c r="H355" t="s">
        <v>545</v>
      </c>
      <c r="I355" t="s">
        <v>546</v>
      </c>
      <c r="J355">
        <v>1</v>
      </c>
      <c r="K355" t="s">
        <v>547</v>
      </c>
      <c r="L355">
        <v>920</v>
      </c>
      <c r="M355">
        <f t="shared" si="5"/>
        <v>920</v>
      </c>
    </row>
    <row r="356" spans="2:13">
      <c r="B356">
        <v>11</v>
      </c>
      <c r="C356" s="33" t="s">
        <v>266</v>
      </c>
      <c r="D356" s="33" t="s">
        <v>268</v>
      </c>
      <c r="E356" t="s">
        <v>508</v>
      </c>
      <c r="F356" t="s">
        <v>543</v>
      </c>
      <c r="G356" t="s">
        <v>544</v>
      </c>
      <c r="H356" t="s">
        <v>548</v>
      </c>
      <c r="I356" t="s">
        <v>549</v>
      </c>
      <c r="J356">
        <v>1</v>
      </c>
      <c r="K356" t="s">
        <v>550</v>
      </c>
      <c r="L356">
        <v>380</v>
      </c>
      <c r="M356">
        <f t="shared" si="5"/>
        <v>380</v>
      </c>
    </row>
    <row r="357" spans="2:13">
      <c r="B357">
        <v>12</v>
      </c>
      <c r="C357" s="33" t="s">
        <v>266</v>
      </c>
      <c r="D357" s="33" t="s">
        <v>268</v>
      </c>
      <c r="E357" t="s">
        <v>508</v>
      </c>
      <c r="F357" t="s">
        <v>543</v>
      </c>
      <c r="G357" t="s">
        <v>551</v>
      </c>
      <c r="H357" t="s">
        <v>552</v>
      </c>
      <c r="I357" t="s">
        <v>553</v>
      </c>
      <c r="J357">
        <v>1</v>
      </c>
      <c r="K357" t="s">
        <v>554</v>
      </c>
      <c r="L357">
        <v>14</v>
      </c>
      <c r="M357">
        <f t="shared" si="5"/>
        <v>14</v>
      </c>
    </row>
    <row r="358" spans="2:13">
      <c r="B358">
        <v>13</v>
      </c>
      <c r="C358" s="33" t="s">
        <v>266</v>
      </c>
      <c r="D358" s="33" t="s">
        <v>268</v>
      </c>
      <c r="E358" t="s">
        <v>508</v>
      </c>
      <c r="F358" t="s">
        <v>543</v>
      </c>
      <c r="G358" t="s">
        <v>551</v>
      </c>
      <c r="H358" t="s">
        <v>555</v>
      </c>
      <c r="I358" t="s">
        <v>556</v>
      </c>
      <c r="J358">
        <v>1</v>
      </c>
      <c r="K358" t="s">
        <v>554</v>
      </c>
      <c r="L358">
        <v>33</v>
      </c>
      <c r="M358">
        <f t="shared" si="5"/>
        <v>33</v>
      </c>
    </row>
    <row r="359" spans="2:13">
      <c r="B359">
        <v>14</v>
      </c>
      <c r="C359" s="33" t="s">
        <v>266</v>
      </c>
      <c r="D359" s="33" t="s">
        <v>268</v>
      </c>
      <c r="E359" t="s">
        <v>508</v>
      </c>
      <c r="F359" t="s">
        <v>557</v>
      </c>
      <c r="G359" t="s">
        <v>558</v>
      </c>
      <c r="H359" t="s">
        <v>559</v>
      </c>
      <c r="I359" t="s">
        <v>560</v>
      </c>
      <c r="J359">
        <v>1</v>
      </c>
      <c r="K359" t="s">
        <v>554</v>
      </c>
      <c r="L359">
        <v>0</v>
      </c>
      <c r="M359">
        <f t="shared" si="5"/>
        <v>0</v>
      </c>
    </row>
    <row r="360" spans="2:13">
      <c r="B360">
        <v>15</v>
      </c>
      <c r="C360" s="33" t="s">
        <v>266</v>
      </c>
      <c r="D360" s="33" t="s">
        <v>268</v>
      </c>
      <c r="E360" t="s">
        <v>508</v>
      </c>
      <c r="F360" t="s">
        <v>557</v>
      </c>
      <c r="G360" t="s">
        <v>561</v>
      </c>
      <c r="H360" t="s">
        <v>562</v>
      </c>
      <c r="I360" t="s">
        <v>563</v>
      </c>
      <c r="J360">
        <v>1</v>
      </c>
      <c r="K360" t="s">
        <v>554</v>
      </c>
      <c r="L360">
        <v>13.38</v>
      </c>
      <c r="M360">
        <f t="shared" si="5"/>
        <v>13.38</v>
      </c>
    </row>
    <row r="361" spans="2:13">
      <c r="B361">
        <v>16</v>
      </c>
      <c r="C361" s="33" t="s">
        <v>266</v>
      </c>
      <c r="D361" s="33" t="s">
        <v>268</v>
      </c>
      <c r="E361" t="s">
        <v>508</v>
      </c>
      <c r="F361" t="s">
        <v>557</v>
      </c>
      <c r="G361" t="s">
        <v>561</v>
      </c>
      <c r="H361" t="s">
        <v>564</v>
      </c>
      <c r="I361" t="s">
        <v>565</v>
      </c>
      <c r="J361">
        <v>1</v>
      </c>
      <c r="K361" t="s">
        <v>566</v>
      </c>
      <c r="L361">
        <v>26.93</v>
      </c>
      <c r="M361">
        <f t="shared" si="5"/>
        <v>26.93</v>
      </c>
    </row>
    <row r="362" spans="2:13">
      <c r="B362">
        <v>17</v>
      </c>
      <c r="C362" s="33" t="s">
        <v>266</v>
      </c>
      <c r="D362" s="33" t="s">
        <v>268</v>
      </c>
      <c r="E362" t="s">
        <v>508</v>
      </c>
      <c r="F362" t="s">
        <v>557</v>
      </c>
      <c r="G362" t="s">
        <v>561</v>
      </c>
      <c r="H362" t="s">
        <v>567</v>
      </c>
      <c r="I362" t="s">
        <v>568</v>
      </c>
      <c r="J362">
        <v>1</v>
      </c>
      <c r="K362" t="s">
        <v>566</v>
      </c>
      <c r="L362">
        <v>23.77</v>
      </c>
      <c r="M362">
        <f t="shared" si="5"/>
        <v>23.77</v>
      </c>
    </row>
    <row r="363" spans="2:13">
      <c r="B363">
        <v>18</v>
      </c>
      <c r="C363" s="33" t="s">
        <v>266</v>
      </c>
      <c r="D363" s="33" t="s">
        <v>268</v>
      </c>
      <c r="E363" t="s">
        <v>508</v>
      </c>
      <c r="F363" t="s">
        <v>557</v>
      </c>
      <c r="G363" t="s">
        <v>561</v>
      </c>
      <c r="H363" t="s">
        <v>569</v>
      </c>
      <c r="I363" t="s">
        <v>570</v>
      </c>
      <c r="J363">
        <v>1</v>
      </c>
      <c r="K363" t="s">
        <v>554</v>
      </c>
      <c r="L363">
        <v>47.7</v>
      </c>
      <c r="M363">
        <f t="shared" si="5"/>
        <v>47.7</v>
      </c>
    </row>
    <row r="364" spans="2:13">
      <c r="B364">
        <v>19</v>
      </c>
      <c r="C364" s="33" t="s">
        <v>266</v>
      </c>
      <c r="D364" s="33" t="s">
        <v>268</v>
      </c>
      <c r="E364" t="s">
        <v>508</v>
      </c>
      <c r="F364" t="s">
        <v>557</v>
      </c>
      <c r="G364" t="s">
        <v>571</v>
      </c>
      <c r="H364" t="s">
        <v>572</v>
      </c>
      <c r="I364" t="s">
        <v>573</v>
      </c>
      <c r="J364">
        <v>1</v>
      </c>
      <c r="K364" t="s">
        <v>554</v>
      </c>
      <c r="L364">
        <v>1680</v>
      </c>
      <c r="M364">
        <f t="shared" si="5"/>
        <v>1680</v>
      </c>
    </row>
    <row r="365" spans="2:13">
      <c r="B365">
        <v>19</v>
      </c>
      <c r="C365" s="33" t="s">
        <v>266</v>
      </c>
      <c r="D365" s="33" t="s">
        <v>268</v>
      </c>
      <c r="E365" t="s">
        <v>508</v>
      </c>
      <c r="F365" t="s">
        <v>557</v>
      </c>
      <c r="G365" t="s">
        <v>571</v>
      </c>
      <c r="H365" t="s">
        <v>574</v>
      </c>
      <c r="I365" t="s">
        <v>575</v>
      </c>
      <c r="J365">
        <v>1</v>
      </c>
      <c r="K365" t="s">
        <v>554</v>
      </c>
      <c r="L365">
        <v>10</v>
      </c>
      <c r="M365">
        <f t="shared" si="5"/>
        <v>10</v>
      </c>
    </row>
    <row r="366" spans="2:13">
      <c r="B366">
        <v>19</v>
      </c>
      <c r="C366" s="33" t="s">
        <v>266</v>
      </c>
      <c r="D366" s="33" t="s">
        <v>268</v>
      </c>
      <c r="E366" t="s">
        <v>508</v>
      </c>
      <c r="F366" t="s">
        <v>557</v>
      </c>
      <c r="G366" t="s">
        <v>576</v>
      </c>
      <c r="H366" t="s">
        <v>577</v>
      </c>
      <c r="I366" t="s">
        <v>578</v>
      </c>
      <c r="J366">
        <v>1</v>
      </c>
      <c r="K366" t="s">
        <v>554</v>
      </c>
      <c r="L366">
        <v>93</v>
      </c>
      <c r="M366">
        <f t="shared" si="5"/>
        <v>93</v>
      </c>
    </row>
    <row r="367" spans="2:13">
      <c r="B367">
        <v>20</v>
      </c>
      <c r="C367" s="33" t="s">
        <v>266</v>
      </c>
      <c r="D367" s="33" t="s">
        <v>268</v>
      </c>
      <c r="E367" t="s">
        <v>508</v>
      </c>
      <c r="F367" t="s">
        <v>557</v>
      </c>
      <c r="G367" t="s">
        <v>576</v>
      </c>
      <c r="H367" t="s">
        <v>579</v>
      </c>
      <c r="I367" t="s">
        <v>580</v>
      </c>
      <c r="J367">
        <v>1</v>
      </c>
      <c r="K367" t="s">
        <v>554</v>
      </c>
      <c r="L367">
        <v>56</v>
      </c>
      <c r="M367">
        <f t="shared" si="5"/>
        <v>56</v>
      </c>
    </row>
    <row r="368" spans="2:13">
      <c r="B368">
        <v>24</v>
      </c>
      <c r="C368" s="33" t="s">
        <v>266</v>
      </c>
      <c r="D368" s="33" t="s">
        <v>268</v>
      </c>
      <c r="E368" t="s">
        <v>508</v>
      </c>
      <c r="F368" t="s">
        <v>557</v>
      </c>
      <c r="G368" t="s">
        <v>558</v>
      </c>
      <c r="H368" t="s">
        <v>581</v>
      </c>
      <c r="I368" t="s">
        <v>582</v>
      </c>
      <c r="J368">
        <v>1</v>
      </c>
      <c r="K368" t="s">
        <v>554</v>
      </c>
      <c r="L368">
        <v>84</v>
      </c>
      <c r="M368">
        <f t="shared" si="5"/>
        <v>84</v>
      </c>
    </row>
    <row r="369" spans="2:13">
      <c r="B369">
        <v>26</v>
      </c>
      <c r="C369" s="33" t="s">
        <v>266</v>
      </c>
      <c r="D369" s="33" t="s">
        <v>268</v>
      </c>
      <c r="E369" t="s">
        <v>508</v>
      </c>
      <c r="F369" t="s">
        <v>557</v>
      </c>
      <c r="G369" t="s">
        <v>583</v>
      </c>
      <c r="H369" t="s">
        <v>584</v>
      </c>
      <c r="I369" t="s">
        <v>585</v>
      </c>
      <c r="J369">
        <v>1</v>
      </c>
      <c r="K369" t="s">
        <v>554</v>
      </c>
      <c r="L369">
        <v>165</v>
      </c>
      <c r="M369">
        <f t="shared" si="5"/>
        <v>165</v>
      </c>
    </row>
    <row r="370" spans="2:13">
      <c r="B370">
        <v>27</v>
      </c>
      <c r="C370" s="33" t="s">
        <v>266</v>
      </c>
      <c r="D370" s="33" t="s">
        <v>268</v>
      </c>
      <c r="E370" t="s">
        <v>508</v>
      </c>
      <c r="F370" t="s">
        <v>557</v>
      </c>
      <c r="G370" t="s">
        <v>561</v>
      </c>
      <c r="H370" t="s">
        <v>586</v>
      </c>
      <c r="I370" t="s">
        <v>587</v>
      </c>
      <c r="J370">
        <v>1</v>
      </c>
      <c r="K370" t="s">
        <v>554</v>
      </c>
      <c r="L370">
        <v>43</v>
      </c>
      <c r="M370">
        <f t="shared" si="5"/>
        <v>43</v>
      </c>
    </row>
    <row r="371" spans="2:13">
      <c r="B371">
        <v>33</v>
      </c>
      <c r="C371" s="33" t="s">
        <v>266</v>
      </c>
      <c r="D371" s="33" t="s">
        <v>268</v>
      </c>
      <c r="E371" t="s">
        <v>508</v>
      </c>
      <c r="F371" t="s">
        <v>557</v>
      </c>
      <c r="G371" t="s">
        <v>588</v>
      </c>
      <c r="H371" t="s">
        <v>589</v>
      </c>
      <c r="I371" t="s">
        <v>590</v>
      </c>
      <c r="J371">
        <v>1</v>
      </c>
      <c r="K371" t="s">
        <v>554</v>
      </c>
      <c r="L371">
        <v>425</v>
      </c>
      <c r="M371">
        <f t="shared" si="5"/>
        <v>425</v>
      </c>
    </row>
    <row r="372" spans="2:13">
      <c r="B372">
        <v>20</v>
      </c>
      <c r="C372" s="33" t="s">
        <v>266</v>
      </c>
      <c r="D372" s="33" t="s">
        <v>268</v>
      </c>
      <c r="E372" t="s">
        <v>508</v>
      </c>
      <c r="F372" t="s">
        <v>557</v>
      </c>
      <c r="G372" t="s">
        <v>561</v>
      </c>
      <c r="H372" t="s">
        <v>591</v>
      </c>
      <c r="I372" t="s">
        <v>592</v>
      </c>
      <c r="J372">
        <v>1</v>
      </c>
      <c r="K372" t="s">
        <v>554</v>
      </c>
      <c r="L372">
        <v>77</v>
      </c>
      <c r="M372">
        <f t="shared" si="5"/>
        <v>77</v>
      </c>
    </row>
    <row r="373" spans="2:13">
      <c r="B373">
        <v>20</v>
      </c>
      <c r="C373" s="33" t="s">
        <v>266</v>
      </c>
      <c r="D373" s="33" t="s">
        <v>268</v>
      </c>
      <c r="E373" t="s">
        <v>508</v>
      </c>
      <c r="F373" t="s">
        <v>557</v>
      </c>
      <c r="G373" t="s">
        <v>544</v>
      </c>
      <c r="H373" t="s">
        <v>593</v>
      </c>
      <c r="I373" t="s">
        <v>594</v>
      </c>
      <c r="J373">
        <v>1</v>
      </c>
      <c r="K373" t="s">
        <v>595</v>
      </c>
      <c r="L373">
        <v>415</v>
      </c>
      <c r="M373">
        <f t="shared" si="5"/>
        <v>415</v>
      </c>
    </row>
    <row r="374" spans="2:13">
      <c r="B374">
        <v>20</v>
      </c>
      <c r="C374" s="33" t="s">
        <v>266</v>
      </c>
      <c r="D374" s="33" t="s">
        <v>268</v>
      </c>
      <c r="E374" t="s">
        <v>508</v>
      </c>
      <c r="F374" t="s">
        <v>557</v>
      </c>
      <c r="G374" t="s">
        <v>596</v>
      </c>
      <c r="H374" t="s">
        <v>597</v>
      </c>
      <c r="I374" t="s">
        <v>598</v>
      </c>
      <c r="J374">
        <v>1</v>
      </c>
      <c r="K374" t="s">
        <v>599</v>
      </c>
      <c r="L374">
        <v>53</v>
      </c>
      <c r="M374">
        <f t="shared" si="5"/>
        <v>53</v>
      </c>
    </row>
    <row r="375" spans="2:13">
      <c r="B375">
        <v>35</v>
      </c>
      <c r="C375" s="33" t="s">
        <v>266</v>
      </c>
      <c r="D375" s="33" t="s">
        <v>268</v>
      </c>
      <c r="E375" t="s">
        <v>508</v>
      </c>
      <c r="F375" t="s">
        <v>557</v>
      </c>
      <c r="G375" t="s">
        <v>561</v>
      </c>
      <c r="H375" t="s">
        <v>481</v>
      </c>
      <c r="I375" t="s">
        <v>600</v>
      </c>
      <c r="J375">
        <v>1</v>
      </c>
      <c r="K375" t="s">
        <v>601</v>
      </c>
      <c r="L375">
        <v>44.38</v>
      </c>
      <c r="M375">
        <f t="shared" si="5"/>
        <v>44.38</v>
      </c>
    </row>
    <row r="376" spans="2:13">
      <c r="B376">
        <v>37</v>
      </c>
      <c r="C376" s="33" t="s">
        <v>266</v>
      </c>
      <c r="D376" s="33" t="s">
        <v>268</v>
      </c>
      <c r="E376" t="s">
        <v>508</v>
      </c>
      <c r="F376" t="s">
        <v>557</v>
      </c>
      <c r="G376" t="s">
        <v>571</v>
      </c>
      <c r="H376" t="s">
        <v>602</v>
      </c>
      <c r="I376" t="s">
        <v>603</v>
      </c>
      <c r="J376">
        <v>1</v>
      </c>
      <c r="K376" t="s">
        <v>604</v>
      </c>
      <c r="L376">
        <v>48.27</v>
      </c>
      <c r="M376">
        <f t="shared" si="5"/>
        <v>48.27</v>
      </c>
    </row>
    <row r="377" spans="2:13">
      <c r="B377">
        <v>38</v>
      </c>
      <c r="C377" s="33" t="s">
        <v>266</v>
      </c>
      <c r="D377" s="33" t="s">
        <v>268</v>
      </c>
      <c r="E377" t="s">
        <v>508</v>
      </c>
      <c r="F377" t="s">
        <v>557</v>
      </c>
      <c r="G377" t="s">
        <v>561</v>
      </c>
      <c r="H377" t="s">
        <v>482</v>
      </c>
      <c r="I377" t="s">
        <v>605</v>
      </c>
      <c r="J377">
        <v>1</v>
      </c>
      <c r="K377" t="s">
        <v>566</v>
      </c>
      <c r="L377">
        <v>15.82</v>
      </c>
      <c r="M377">
        <f t="shared" si="5"/>
        <v>15.82</v>
      </c>
    </row>
    <row r="378" spans="2:13">
      <c r="B378">
        <v>39</v>
      </c>
      <c r="C378" s="33" t="s">
        <v>266</v>
      </c>
      <c r="D378" s="33" t="s">
        <v>268</v>
      </c>
      <c r="E378" t="s">
        <v>508</v>
      </c>
      <c r="F378" t="s">
        <v>557</v>
      </c>
      <c r="G378" t="s">
        <v>561</v>
      </c>
      <c r="H378" t="s">
        <v>606</v>
      </c>
      <c r="I378" t="s">
        <v>607</v>
      </c>
      <c r="J378">
        <v>1</v>
      </c>
      <c r="K378" t="s">
        <v>550</v>
      </c>
      <c r="L378">
        <v>4.29</v>
      </c>
      <c r="M378">
        <f t="shared" si="5"/>
        <v>4.29</v>
      </c>
    </row>
    <row r="379" spans="2:13">
      <c r="B379">
        <v>40</v>
      </c>
      <c r="C379" s="33" t="s">
        <v>266</v>
      </c>
      <c r="D379" s="33" t="s">
        <v>268</v>
      </c>
      <c r="E379" t="s">
        <v>508</v>
      </c>
      <c r="F379" t="s">
        <v>557</v>
      </c>
      <c r="G379" t="s">
        <v>561</v>
      </c>
      <c r="H379" t="s">
        <v>608</v>
      </c>
      <c r="I379" t="s">
        <v>609</v>
      </c>
      <c r="J379">
        <v>1</v>
      </c>
      <c r="K379" t="s">
        <v>610</v>
      </c>
      <c r="L379">
        <v>58</v>
      </c>
      <c r="M379">
        <f t="shared" si="5"/>
        <v>58</v>
      </c>
    </row>
    <row r="380" spans="2:13">
      <c r="B380">
        <v>41</v>
      </c>
      <c r="C380" s="33" t="s">
        <v>266</v>
      </c>
      <c r="D380" s="33" t="s">
        <v>268</v>
      </c>
      <c r="E380" t="s">
        <v>508</v>
      </c>
      <c r="F380" t="s">
        <v>611</v>
      </c>
      <c r="G380" t="s">
        <v>544</v>
      </c>
      <c r="H380" t="s">
        <v>612</v>
      </c>
      <c r="I380" t="s">
        <v>613</v>
      </c>
      <c r="J380">
        <v>1</v>
      </c>
      <c r="K380" t="s">
        <v>595</v>
      </c>
      <c r="L380">
        <v>290</v>
      </c>
      <c r="M380">
        <f t="shared" si="5"/>
        <v>290</v>
      </c>
    </row>
    <row r="381" spans="2:13">
      <c r="B381">
        <v>42</v>
      </c>
      <c r="C381" s="33" t="s">
        <v>266</v>
      </c>
      <c r="D381" s="33" t="s">
        <v>268</v>
      </c>
      <c r="E381" t="s">
        <v>508</v>
      </c>
      <c r="F381" t="s">
        <v>611</v>
      </c>
      <c r="G381" t="s">
        <v>571</v>
      </c>
      <c r="H381" t="s">
        <v>614</v>
      </c>
      <c r="I381" t="s">
        <v>615</v>
      </c>
      <c r="J381">
        <v>1</v>
      </c>
      <c r="K381" t="s">
        <v>554</v>
      </c>
      <c r="L381">
        <v>100</v>
      </c>
      <c r="M381">
        <f t="shared" si="5"/>
        <v>100</v>
      </c>
    </row>
    <row r="382" spans="2:13">
      <c r="B382">
        <v>43</v>
      </c>
      <c r="C382" s="33" t="s">
        <v>266</v>
      </c>
      <c r="D382" s="33" t="s">
        <v>268</v>
      </c>
      <c r="E382" t="s">
        <v>508</v>
      </c>
      <c r="F382" t="s">
        <v>611</v>
      </c>
      <c r="G382" t="s">
        <v>561</v>
      </c>
      <c r="H382" t="s">
        <v>616</v>
      </c>
      <c r="I382" t="s">
        <v>617</v>
      </c>
      <c r="J382">
        <v>1</v>
      </c>
      <c r="K382" t="s">
        <v>618</v>
      </c>
      <c r="L382">
        <v>55</v>
      </c>
      <c r="M382">
        <f t="shared" si="5"/>
        <v>55</v>
      </c>
    </row>
    <row r="383" spans="2:13">
      <c r="B383">
        <v>44</v>
      </c>
      <c r="C383" s="33" t="s">
        <v>266</v>
      </c>
      <c r="D383" s="33" t="s">
        <v>268</v>
      </c>
      <c r="E383" t="s">
        <v>508</v>
      </c>
      <c r="F383" t="s">
        <v>611</v>
      </c>
      <c r="G383" t="s">
        <v>576</v>
      </c>
      <c r="H383" t="s">
        <v>619</v>
      </c>
      <c r="I383" t="s">
        <v>620</v>
      </c>
      <c r="J383">
        <v>1</v>
      </c>
      <c r="K383" t="s">
        <v>554</v>
      </c>
      <c r="L383">
        <v>66.26</v>
      </c>
      <c r="M383">
        <f t="shared" si="5"/>
        <v>66.26</v>
      </c>
    </row>
    <row r="384" spans="2:13">
      <c r="B384">
        <v>45</v>
      </c>
      <c r="C384" s="33" t="s">
        <v>266</v>
      </c>
      <c r="D384" s="33" t="s">
        <v>268</v>
      </c>
      <c r="E384" t="s">
        <v>508</v>
      </c>
      <c r="F384" t="s">
        <v>611</v>
      </c>
      <c r="G384" t="s">
        <v>621</v>
      </c>
      <c r="H384" t="s">
        <v>622</v>
      </c>
      <c r="I384" t="s">
        <v>623</v>
      </c>
      <c r="J384">
        <v>1</v>
      </c>
      <c r="K384" t="s">
        <v>554</v>
      </c>
      <c r="L384">
        <v>101</v>
      </c>
      <c r="M384">
        <f t="shared" si="5"/>
        <v>101</v>
      </c>
    </row>
    <row r="385" spans="2:13">
      <c r="B385">
        <v>46</v>
      </c>
      <c r="C385" s="33" t="s">
        <v>266</v>
      </c>
      <c r="D385" s="33" t="s">
        <v>268</v>
      </c>
      <c r="E385" t="s">
        <v>508</v>
      </c>
      <c r="F385" t="s">
        <v>611</v>
      </c>
      <c r="G385" t="s">
        <v>621</v>
      </c>
      <c r="H385" t="s">
        <v>624</v>
      </c>
      <c r="I385" t="s">
        <v>625</v>
      </c>
      <c r="J385">
        <v>1</v>
      </c>
      <c r="K385" t="s">
        <v>554</v>
      </c>
      <c r="L385">
        <v>418</v>
      </c>
      <c r="M385">
        <f t="shared" si="5"/>
        <v>418</v>
      </c>
    </row>
    <row r="386" spans="2:13">
      <c r="B386">
        <v>47</v>
      </c>
      <c r="C386" s="33" t="s">
        <v>266</v>
      </c>
      <c r="D386" s="33" t="s">
        <v>268</v>
      </c>
      <c r="E386" t="s">
        <v>508</v>
      </c>
      <c r="F386" t="s">
        <v>611</v>
      </c>
      <c r="G386" t="s">
        <v>621</v>
      </c>
      <c r="H386" t="s">
        <v>626</v>
      </c>
      <c r="I386" t="s">
        <v>627</v>
      </c>
      <c r="J386">
        <v>1</v>
      </c>
      <c r="K386" t="s">
        <v>554</v>
      </c>
      <c r="L386">
        <v>37</v>
      </c>
      <c r="M386">
        <f t="shared" si="5"/>
        <v>37</v>
      </c>
    </row>
    <row r="387" spans="2:13">
      <c r="B387">
        <v>1</v>
      </c>
      <c r="C387" s="33" t="s">
        <v>266</v>
      </c>
      <c r="D387" s="33" t="s">
        <v>268</v>
      </c>
      <c r="E387" t="s">
        <v>508</v>
      </c>
      <c r="F387" t="s">
        <v>611</v>
      </c>
      <c r="G387" t="s">
        <v>571</v>
      </c>
      <c r="H387" t="s">
        <v>628</v>
      </c>
      <c r="I387" t="s">
        <v>629</v>
      </c>
      <c r="J387">
        <v>1</v>
      </c>
      <c r="K387" t="s">
        <v>604</v>
      </c>
      <c r="L387">
        <v>370</v>
      </c>
      <c r="M387">
        <f t="shared" si="5"/>
        <v>370</v>
      </c>
    </row>
    <row r="388" spans="2:13">
      <c r="B388">
        <v>2</v>
      </c>
      <c r="C388" s="33" t="s">
        <v>266</v>
      </c>
      <c r="D388" s="33" t="s">
        <v>268</v>
      </c>
      <c r="E388" t="s">
        <v>508</v>
      </c>
      <c r="F388" t="s">
        <v>611</v>
      </c>
      <c r="G388" t="s">
        <v>551</v>
      </c>
      <c r="H388" t="s">
        <v>630</v>
      </c>
      <c r="I388" t="s">
        <v>631</v>
      </c>
      <c r="J388">
        <v>1</v>
      </c>
      <c r="K388" t="s">
        <v>566</v>
      </c>
      <c r="L388">
        <v>4.7</v>
      </c>
      <c r="M388">
        <f t="shared" si="5"/>
        <v>4.7</v>
      </c>
    </row>
    <row r="389" spans="2:13">
      <c r="B389">
        <v>3</v>
      </c>
      <c r="C389" s="33" t="s">
        <v>266</v>
      </c>
      <c r="D389" s="33" t="s">
        <v>268</v>
      </c>
      <c r="E389" t="s">
        <v>508</v>
      </c>
      <c r="F389" t="s">
        <v>611</v>
      </c>
      <c r="G389" t="s">
        <v>621</v>
      </c>
      <c r="H389" t="s">
        <v>632</v>
      </c>
      <c r="I389" t="s">
        <v>633</v>
      </c>
      <c r="J389">
        <v>1</v>
      </c>
      <c r="K389" t="s">
        <v>601</v>
      </c>
      <c r="L389">
        <v>370</v>
      </c>
      <c r="M389">
        <f t="shared" ref="M389:M452" si="6">J389*L389</f>
        <v>370</v>
      </c>
    </row>
    <row r="390" spans="2:13">
      <c r="B390">
        <v>4</v>
      </c>
      <c r="C390" s="33" t="s">
        <v>266</v>
      </c>
      <c r="D390" s="33" t="s">
        <v>268</v>
      </c>
      <c r="E390" t="s">
        <v>508</v>
      </c>
      <c r="F390" t="s">
        <v>611</v>
      </c>
      <c r="G390" t="s">
        <v>621</v>
      </c>
      <c r="H390" t="s">
        <v>634</v>
      </c>
      <c r="I390" t="s">
        <v>635</v>
      </c>
      <c r="J390">
        <v>1</v>
      </c>
      <c r="K390" t="s">
        <v>554</v>
      </c>
      <c r="L390">
        <v>39.5</v>
      </c>
      <c r="M390">
        <f t="shared" si="6"/>
        <v>39.5</v>
      </c>
    </row>
    <row r="391" spans="2:13">
      <c r="B391">
        <v>5</v>
      </c>
      <c r="C391" s="33" t="s">
        <v>266</v>
      </c>
      <c r="D391" s="33" t="s">
        <v>268</v>
      </c>
      <c r="E391" t="s">
        <v>508</v>
      </c>
      <c r="F391" t="s">
        <v>611</v>
      </c>
      <c r="G391" t="s">
        <v>583</v>
      </c>
      <c r="H391" t="s">
        <v>636</v>
      </c>
      <c r="I391" t="s">
        <v>637</v>
      </c>
      <c r="J391">
        <v>1</v>
      </c>
      <c r="K391" t="s">
        <v>554</v>
      </c>
      <c r="L391">
        <v>41</v>
      </c>
      <c r="M391">
        <f t="shared" si="6"/>
        <v>41</v>
      </c>
    </row>
    <row r="392" spans="2:13">
      <c r="B392">
        <v>6</v>
      </c>
      <c r="C392" s="33" t="s">
        <v>266</v>
      </c>
      <c r="D392" s="33" t="s">
        <v>268</v>
      </c>
      <c r="E392" t="s">
        <v>508</v>
      </c>
      <c r="F392" t="s">
        <v>611</v>
      </c>
      <c r="G392" t="s">
        <v>621</v>
      </c>
      <c r="H392" t="s">
        <v>638</v>
      </c>
      <c r="I392" t="s">
        <v>639</v>
      </c>
      <c r="J392">
        <v>1</v>
      </c>
      <c r="K392" t="s">
        <v>554</v>
      </c>
      <c r="L392">
        <v>17.2</v>
      </c>
      <c r="M392">
        <f t="shared" si="6"/>
        <v>17.2</v>
      </c>
    </row>
    <row r="393" spans="2:13">
      <c r="B393">
        <v>7</v>
      </c>
      <c r="C393" s="33" t="s">
        <v>266</v>
      </c>
      <c r="D393" s="33" t="s">
        <v>268</v>
      </c>
      <c r="E393" t="s">
        <v>509</v>
      </c>
      <c r="F393" t="s">
        <v>543</v>
      </c>
      <c r="G393" t="s">
        <v>544</v>
      </c>
      <c r="H393" t="s">
        <v>545</v>
      </c>
      <c r="I393" t="s">
        <v>546</v>
      </c>
      <c r="J393">
        <v>1</v>
      </c>
      <c r="K393" t="s">
        <v>547</v>
      </c>
      <c r="L393">
        <v>920</v>
      </c>
      <c r="M393">
        <f t="shared" si="6"/>
        <v>920</v>
      </c>
    </row>
    <row r="394" spans="2:13">
      <c r="B394">
        <v>8</v>
      </c>
      <c r="C394" s="33" t="s">
        <v>266</v>
      </c>
      <c r="D394" s="33" t="s">
        <v>268</v>
      </c>
      <c r="E394" t="s">
        <v>509</v>
      </c>
      <c r="F394" t="s">
        <v>543</v>
      </c>
      <c r="G394" t="s">
        <v>544</v>
      </c>
      <c r="H394" t="s">
        <v>548</v>
      </c>
      <c r="I394" t="s">
        <v>549</v>
      </c>
      <c r="J394">
        <v>1</v>
      </c>
      <c r="K394" t="s">
        <v>550</v>
      </c>
      <c r="L394">
        <v>380</v>
      </c>
      <c r="M394">
        <f t="shared" si="6"/>
        <v>380</v>
      </c>
    </row>
    <row r="395" spans="2:13">
      <c r="B395">
        <v>9</v>
      </c>
      <c r="C395" s="33" t="s">
        <v>266</v>
      </c>
      <c r="D395" s="33" t="s">
        <v>268</v>
      </c>
      <c r="E395" t="s">
        <v>509</v>
      </c>
      <c r="F395" t="s">
        <v>543</v>
      </c>
      <c r="G395" t="s">
        <v>551</v>
      </c>
      <c r="H395" t="s">
        <v>552</v>
      </c>
      <c r="I395" t="s">
        <v>553</v>
      </c>
      <c r="J395">
        <v>1</v>
      </c>
      <c r="K395" t="s">
        <v>554</v>
      </c>
      <c r="L395">
        <v>14</v>
      </c>
      <c r="M395">
        <f t="shared" si="6"/>
        <v>14</v>
      </c>
    </row>
    <row r="396" spans="2:13">
      <c r="C396" s="33" t="s">
        <v>266</v>
      </c>
      <c r="D396" s="33" t="s">
        <v>268</v>
      </c>
      <c r="E396" t="s">
        <v>509</v>
      </c>
      <c r="F396" t="s">
        <v>543</v>
      </c>
      <c r="G396" t="s">
        <v>551</v>
      </c>
      <c r="H396" t="s">
        <v>555</v>
      </c>
      <c r="I396" t="s">
        <v>556</v>
      </c>
      <c r="J396">
        <v>1</v>
      </c>
      <c r="K396" t="s">
        <v>554</v>
      </c>
      <c r="L396">
        <v>33</v>
      </c>
      <c r="M396">
        <f t="shared" si="6"/>
        <v>33</v>
      </c>
    </row>
    <row r="397" spans="2:13">
      <c r="C397" s="33" t="s">
        <v>266</v>
      </c>
      <c r="D397" s="33" t="s">
        <v>268</v>
      </c>
      <c r="E397" t="s">
        <v>509</v>
      </c>
      <c r="F397" t="s">
        <v>643</v>
      </c>
      <c r="G397" t="s">
        <v>558</v>
      </c>
      <c r="H397" t="s">
        <v>559</v>
      </c>
      <c r="I397" t="s">
        <v>560</v>
      </c>
      <c r="J397">
        <v>1</v>
      </c>
      <c r="K397" t="s">
        <v>554</v>
      </c>
      <c r="L397">
        <v>0</v>
      </c>
      <c r="M397">
        <f t="shared" si="6"/>
        <v>0</v>
      </c>
    </row>
    <row r="398" spans="2:13">
      <c r="C398" s="33" t="s">
        <v>266</v>
      </c>
      <c r="D398" s="33" t="s">
        <v>268</v>
      </c>
      <c r="E398" t="s">
        <v>509</v>
      </c>
      <c r="F398" t="s">
        <v>643</v>
      </c>
      <c r="G398" t="s">
        <v>561</v>
      </c>
      <c r="H398" t="s">
        <v>562</v>
      </c>
      <c r="I398" t="s">
        <v>563</v>
      </c>
      <c r="J398">
        <v>1</v>
      </c>
      <c r="K398" t="s">
        <v>554</v>
      </c>
      <c r="L398">
        <v>13.38</v>
      </c>
      <c r="M398">
        <f t="shared" si="6"/>
        <v>13.38</v>
      </c>
    </row>
    <row r="399" spans="2:13">
      <c r="C399" s="33" t="s">
        <v>266</v>
      </c>
      <c r="D399" s="33" t="s">
        <v>268</v>
      </c>
      <c r="E399" t="s">
        <v>509</v>
      </c>
      <c r="F399" t="s">
        <v>643</v>
      </c>
      <c r="G399" t="s">
        <v>561</v>
      </c>
      <c r="H399" t="s">
        <v>644</v>
      </c>
      <c r="I399" t="s">
        <v>645</v>
      </c>
      <c r="J399">
        <v>1</v>
      </c>
      <c r="K399" t="s">
        <v>554</v>
      </c>
      <c r="L399">
        <v>39.06</v>
      </c>
      <c r="M399">
        <f t="shared" si="6"/>
        <v>39.06</v>
      </c>
    </row>
    <row r="400" spans="2:13">
      <c r="C400" s="33" t="s">
        <v>266</v>
      </c>
      <c r="D400" s="33" t="s">
        <v>268</v>
      </c>
      <c r="E400" t="s">
        <v>509</v>
      </c>
      <c r="F400" t="s">
        <v>643</v>
      </c>
      <c r="G400" t="s">
        <v>561</v>
      </c>
      <c r="H400" t="s">
        <v>646</v>
      </c>
      <c r="I400" t="s">
        <v>654</v>
      </c>
      <c r="J400">
        <v>1</v>
      </c>
      <c r="K400" t="s">
        <v>566</v>
      </c>
      <c r="L400">
        <v>8.39</v>
      </c>
      <c r="M400">
        <f t="shared" si="6"/>
        <v>8.39</v>
      </c>
    </row>
    <row r="401" spans="3:13">
      <c r="C401" s="33" t="s">
        <v>266</v>
      </c>
      <c r="D401" s="33" t="s">
        <v>268</v>
      </c>
      <c r="E401" t="s">
        <v>509</v>
      </c>
      <c r="F401" t="s">
        <v>643</v>
      </c>
      <c r="G401" t="s">
        <v>561</v>
      </c>
      <c r="H401" t="s">
        <v>485</v>
      </c>
      <c r="I401" t="s">
        <v>648</v>
      </c>
      <c r="J401">
        <v>1</v>
      </c>
      <c r="K401" t="s">
        <v>566</v>
      </c>
      <c r="L401">
        <v>15.22</v>
      </c>
      <c r="M401">
        <f t="shared" si="6"/>
        <v>15.22</v>
      </c>
    </row>
    <row r="402" spans="3:13">
      <c r="C402" s="33" t="s">
        <v>266</v>
      </c>
      <c r="D402" s="33" t="s">
        <v>268</v>
      </c>
      <c r="E402" t="s">
        <v>509</v>
      </c>
      <c r="F402" t="s">
        <v>643</v>
      </c>
      <c r="G402" t="s">
        <v>561</v>
      </c>
      <c r="H402" t="s">
        <v>606</v>
      </c>
      <c r="I402" t="s">
        <v>649</v>
      </c>
      <c r="J402">
        <v>2</v>
      </c>
      <c r="K402" t="s">
        <v>550</v>
      </c>
      <c r="L402">
        <v>4.75</v>
      </c>
      <c r="M402">
        <f t="shared" si="6"/>
        <v>9.5</v>
      </c>
    </row>
    <row r="403" spans="3:13">
      <c r="C403" s="33" t="s">
        <v>266</v>
      </c>
      <c r="D403" s="33" t="s">
        <v>268</v>
      </c>
      <c r="E403" t="s">
        <v>509</v>
      </c>
      <c r="F403" t="s">
        <v>643</v>
      </c>
      <c r="G403" t="s">
        <v>571</v>
      </c>
      <c r="H403" t="s">
        <v>572</v>
      </c>
      <c r="I403" t="s">
        <v>573</v>
      </c>
      <c r="J403">
        <v>1</v>
      </c>
      <c r="K403" t="s">
        <v>554</v>
      </c>
      <c r="L403">
        <v>1680</v>
      </c>
      <c r="M403">
        <f t="shared" si="6"/>
        <v>1680</v>
      </c>
    </row>
    <row r="404" spans="3:13">
      <c r="C404" s="33" t="s">
        <v>266</v>
      </c>
      <c r="D404" s="33" t="s">
        <v>268</v>
      </c>
      <c r="E404" t="s">
        <v>509</v>
      </c>
      <c r="F404" t="s">
        <v>643</v>
      </c>
      <c r="G404" t="s">
        <v>571</v>
      </c>
      <c r="H404" t="s">
        <v>574</v>
      </c>
      <c r="I404" t="s">
        <v>575</v>
      </c>
      <c r="J404">
        <v>1</v>
      </c>
      <c r="K404" t="s">
        <v>554</v>
      </c>
      <c r="L404">
        <v>10</v>
      </c>
      <c r="M404">
        <f t="shared" si="6"/>
        <v>10</v>
      </c>
    </row>
    <row r="405" spans="3:13">
      <c r="C405" s="33" t="s">
        <v>266</v>
      </c>
      <c r="D405" s="33" t="s">
        <v>268</v>
      </c>
      <c r="E405" t="s">
        <v>509</v>
      </c>
      <c r="F405" t="s">
        <v>643</v>
      </c>
      <c r="G405" t="s">
        <v>576</v>
      </c>
      <c r="H405" t="s">
        <v>577</v>
      </c>
      <c r="I405" t="s">
        <v>578</v>
      </c>
      <c r="J405">
        <v>1</v>
      </c>
      <c r="K405" t="s">
        <v>554</v>
      </c>
      <c r="L405">
        <v>93</v>
      </c>
      <c r="M405">
        <f t="shared" si="6"/>
        <v>93</v>
      </c>
    </row>
    <row r="406" spans="3:13">
      <c r="C406" s="33" t="s">
        <v>266</v>
      </c>
      <c r="D406" s="33" t="s">
        <v>268</v>
      </c>
      <c r="E406" t="s">
        <v>509</v>
      </c>
      <c r="F406" t="s">
        <v>643</v>
      </c>
      <c r="G406" t="s">
        <v>576</v>
      </c>
      <c r="H406" t="s">
        <v>579</v>
      </c>
      <c r="I406" t="s">
        <v>580</v>
      </c>
      <c r="J406">
        <v>1</v>
      </c>
      <c r="K406" t="s">
        <v>554</v>
      </c>
      <c r="L406">
        <v>56</v>
      </c>
      <c r="M406">
        <f t="shared" si="6"/>
        <v>56</v>
      </c>
    </row>
    <row r="407" spans="3:13">
      <c r="C407" s="33" t="s">
        <v>266</v>
      </c>
      <c r="D407" s="33" t="s">
        <v>268</v>
      </c>
      <c r="E407" t="s">
        <v>509</v>
      </c>
      <c r="F407" t="s">
        <v>643</v>
      </c>
      <c r="G407" t="s">
        <v>558</v>
      </c>
      <c r="H407" t="s">
        <v>581</v>
      </c>
      <c r="I407" t="s">
        <v>582</v>
      </c>
      <c r="J407">
        <v>1</v>
      </c>
      <c r="K407" t="s">
        <v>554</v>
      </c>
      <c r="L407">
        <v>84</v>
      </c>
      <c r="M407">
        <f t="shared" si="6"/>
        <v>84</v>
      </c>
    </row>
    <row r="408" spans="3:13">
      <c r="C408" s="33" t="s">
        <v>266</v>
      </c>
      <c r="D408" s="33" t="s">
        <v>268</v>
      </c>
      <c r="E408" t="s">
        <v>509</v>
      </c>
      <c r="F408" t="s">
        <v>643</v>
      </c>
      <c r="G408" t="s">
        <v>583</v>
      </c>
      <c r="H408" t="s">
        <v>584</v>
      </c>
      <c r="I408" t="s">
        <v>585</v>
      </c>
      <c r="J408">
        <v>1</v>
      </c>
      <c r="K408" t="s">
        <v>554</v>
      </c>
      <c r="L408">
        <v>165</v>
      </c>
      <c r="M408">
        <f t="shared" si="6"/>
        <v>165</v>
      </c>
    </row>
    <row r="409" spans="3:13">
      <c r="C409" s="33" t="s">
        <v>266</v>
      </c>
      <c r="D409" s="33" t="s">
        <v>268</v>
      </c>
      <c r="E409" t="s">
        <v>509</v>
      </c>
      <c r="F409" t="s">
        <v>643</v>
      </c>
      <c r="G409" t="s">
        <v>561</v>
      </c>
      <c r="H409" t="s">
        <v>586</v>
      </c>
      <c r="I409" t="s">
        <v>587</v>
      </c>
      <c r="J409">
        <v>1</v>
      </c>
      <c r="K409" t="s">
        <v>554</v>
      </c>
      <c r="L409">
        <v>43</v>
      </c>
      <c r="M409">
        <f t="shared" si="6"/>
        <v>43</v>
      </c>
    </row>
    <row r="410" spans="3:13">
      <c r="C410" s="33" t="s">
        <v>266</v>
      </c>
      <c r="D410" s="33" t="s">
        <v>268</v>
      </c>
      <c r="E410" t="s">
        <v>509</v>
      </c>
      <c r="F410" t="s">
        <v>643</v>
      </c>
      <c r="G410" t="s">
        <v>588</v>
      </c>
      <c r="H410" t="s">
        <v>589</v>
      </c>
      <c r="I410" t="s">
        <v>590</v>
      </c>
      <c r="J410">
        <v>1</v>
      </c>
      <c r="K410" t="s">
        <v>554</v>
      </c>
      <c r="L410">
        <v>425</v>
      </c>
      <c r="M410">
        <f t="shared" si="6"/>
        <v>425</v>
      </c>
    </row>
    <row r="411" spans="3:13">
      <c r="C411" s="33" t="s">
        <v>266</v>
      </c>
      <c r="D411" s="33" t="s">
        <v>268</v>
      </c>
      <c r="E411" t="s">
        <v>509</v>
      </c>
      <c r="F411" t="s">
        <v>643</v>
      </c>
      <c r="G411" t="s">
        <v>561</v>
      </c>
      <c r="H411" t="s">
        <v>591</v>
      </c>
      <c r="I411" t="s">
        <v>592</v>
      </c>
      <c r="J411">
        <v>1</v>
      </c>
      <c r="K411" t="s">
        <v>554</v>
      </c>
      <c r="L411">
        <v>77</v>
      </c>
      <c r="M411">
        <f t="shared" si="6"/>
        <v>77</v>
      </c>
    </row>
    <row r="412" spans="3:13">
      <c r="C412" s="33" t="s">
        <v>266</v>
      </c>
      <c r="D412" s="33" t="s">
        <v>268</v>
      </c>
      <c r="E412" t="s">
        <v>509</v>
      </c>
      <c r="F412" t="s">
        <v>643</v>
      </c>
      <c r="G412" t="s">
        <v>544</v>
      </c>
      <c r="H412" t="s">
        <v>593</v>
      </c>
      <c r="I412" t="s">
        <v>594</v>
      </c>
      <c r="J412">
        <v>1</v>
      </c>
      <c r="K412" t="s">
        <v>595</v>
      </c>
      <c r="L412">
        <v>415</v>
      </c>
      <c r="M412">
        <f t="shared" si="6"/>
        <v>415</v>
      </c>
    </row>
    <row r="413" spans="3:13">
      <c r="C413" s="33" t="s">
        <v>266</v>
      </c>
      <c r="D413" s="33" t="s">
        <v>268</v>
      </c>
      <c r="E413" t="s">
        <v>509</v>
      </c>
      <c r="F413" t="s">
        <v>643</v>
      </c>
      <c r="G413" t="s">
        <v>596</v>
      </c>
      <c r="H413" t="s">
        <v>597</v>
      </c>
      <c r="I413" t="s">
        <v>598</v>
      </c>
      <c r="J413">
        <v>1</v>
      </c>
      <c r="K413" t="s">
        <v>599</v>
      </c>
      <c r="L413">
        <v>53</v>
      </c>
      <c r="M413">
        <f t="shared" si="6"/>
        <v>53</v>
      </c>
    </row>
    <row r="414" spans="3:13">
      <c r="C414" s="33" t="s">
        <v>266</v>
      </c>
      <c r="D414" s="33" t="s">
        <v>268</v>
      </c>
      <c r="E414" t="s">
        <v>509</v>
      </c>
      <c r="F414" t="s">
        <v>643</v>
      </c>
      <c r="G414" t="s">
        <v>561</v>
      </c>
      <c r="H414" t="s">
        <v>608</v>
      </c>
      <c r="I414" t="s">
        <v>609</v>
      </c>
      <c r="J414">
        <v>1</v>
      </c>
      <c r="K414" t="s">
        <v>610</v>
      </c>
      <c r="L414">
        <v>58</v>
      </c>
      <c r="M414">
        <f t="shared" si="6"/>
        <v>58</v>
      </c>
    </row>
    <row r="415" spans="3:13">
      <c r="C415" s="33" t="s">
        <v>266</v>
      </c>
      <c r="D415" s="33" t="s">
        <v>268</v>
      </c>
      <c r="E415" t="s">
        <v>509</v>
      </c>
      <c r="F415" t="s">
        <v>643</v>
      </c>
      <c r="G415" t="s">
        <v>561</v>
      </c>
      <c r="H415" t="s">
        <v>481</v>
      </c>
      <c r="I415" t="s">
        <v>650</v>
      </c>
      <c r="J415">
        <v>1</v>
      </c>
      <c r="K415" t="s">
        <v>601</v>
      </c>
      <c r="L415">
        <v>52.14</v>
      </c>
      <c r="M415">
        <f t="shared" si="6"/>
        <v>52.14</v>
      </c>
    </row>
    <row r="416" spans="3:13">
      <c r="C416" s="33" t="s">
        <v>266</v>
      </c>
      <c r="D416" s="33" t="s">
        <v>268</v>
      </c>
      <c r="E416" t="s">
        <v>509</v>
      </c>
      <c r="F416" t="s">
        <v>643</v>
      </c>
      <c r="G416" t="s">
        <v>571</v>
      </c>
      <c r="H416" t="s">
        <v>602</v>
      </c>
      <c r="I416" t="s">
        <v>603</v>
      </c>
      <c r="J416">
        <v>1</v>
      </c>
      <c r="K416" t="s">
        <v>604</v>
      </c>
      <c r="L416">
        <v>48.27</v>
      </c>
      <c r="M416">
        <f t="shared" si="6"/>
        <v>48.27</v>
      </c>
    </row>
    <row r="417" spans="3:13">
      <c r="C417" s="33" t="s">
        <v>266</v>
      </c>
      <c r="D417" s="33" t="s">
        <v>268</v>
      </c>
      <c r="E417" t="s">
        <v>509</v>
      </c>
      <c r="F417" t="s">
        <v>557</v>
      </c>
      <c r="G417" t="s">
        <v>544</v>
      </c>
      <c r="H417" t="s">
        <v>651</v>
      </c>
      <c r="I417" t="s">
        <v>652</v>
      </c>
      <c r="J417">
        <v>1</v>
      </c>
      <c r="K417" t="s">
        <v>595</v>
      </c>
      <c r="L417">
        <v>800</v>
      </c>
      <c r="M417">
        <f t="shared" si="6"/>
        <v>800</v>
      </c>
    </row>
    <row r="418" spans="3:13">
      <c r="C418" s="33" t="s">
        <v>266</v>
      </c>
      <c r="D418" s="33" t="s">
        <v>268</v>
      </c>
      <c r="E418" t="s">
        <v>509</v>
      </c>
      <c r="F418" t="s">
        <v>557</v>
      </c>
      <c r="G418" t="s">
        <v>561</v>
      </c>
      <c r="H418" t="s">
        <v>564</v>
      </c>
      <c r="I418" t="s">
        <v>565</v>
      </c>
      <c r="J418">
        <v>1</v>
      </c>
      <c r="K418" t="s">
        <v>566</v>
      </c>
      <c r="L418">
        <v>26.93</v>
      </c>
      <c r="M418">
        <f t="shared" si="6"/>
        <v>26.93</v>
      </c>
    </row>
    <row r="419" spans="3:13">
      <c r="C419" s="33" t="s">
        <v>266</v>
      </c>
      <c r="D419" s="33" t="s">
        <v>268</v>
      </c>
      <c r="E419" t="s">
        <v>509</v>
      </c>
      <c r="F419" t="s">
        <v>557</v>
      </c>
      <c r="G419" t="s">
        <v>561</v>
      </c>
      <c r="H419" t="s">
        <v>567</v>
      </c>
      <c r="I419" t="s">
        <v>568</v>
      </c>
      <c r="J419">
        <v>1</v>
      </c>
      <c r="K419" t="s">
        <v>566</v>
      </c>
      <c r="L419">
        <v>23.77</v>
      </c>
      <c r="M419">
        <f t="shared" si="6"/>
        <v>23.77</v>
      </c>
    </row>
    <row r="420" spans="3:13">
      <c r="C420" s="33" t="s">
        <v>266</v>
      </c>
      <c r="D420" s="33" t="s">
        <v>268</v>
      </c>
      <c r="E420" t="s">
        <v>509</v>
      </c>
      <c r="F420" t="s">
        <v>557</v>
      </c>
      <c r="G420" t="s">
        <v>561</v>
      </c>
      <c r="H420" t="s">
        <v>569</v>
      </c>
      <c r="I420" t="s">
        <v>570</v>
      </c>
      <c r="J420">
        <v>1</v>
      </c>
      <c r="K420" t="s">
        <v>554</v>
      </c>
      <c r="L420">
        <v>47.7</v>
      </c>
      <c r="M420">
        <f t="shared" si="6"/>
        <v>47.7</v>
      </c>
    </row>
    <row r="421" spans="3:13">
      <c r="C421" s="33" t="s">
        <v>266</v>
      </c>
      <c r="D421" s="33" t="s">
        <v>268</v>
      </c>
      <c r="E421" t="s">
        <v>509</v>
      </c>
      <c r="F421" t="s">
        <v>557</v>
      </c>
      <c r="G421" t="s">
        <v>544</v>
      </c>
      <c r="H421" t="s">
        <v>593</v>
      </c>
      <c r="I421" t="s">
        <v>594</v>
      </c>
      <c r="J421">
        <v>1</v>
      </c>
      <c r="K421" t="s">
        <v>595</v>
      </c>
      <c r="L421">
        <v>415</v>
      </c>
      <c r="M421">
        <f t="shared" si="6"/>
        <v>415</v>
      </c>
    </row>
    <row r="422" spans="3:13">
      <c r="C422" s="33" t="s">
        <v>266</v>
      </c>
      <c r="D422" s="33" t="s">
        <v>268</v>
      </c>
      <c r="E422" t="s">
        <v>509</v>
      </c>
      <c r="F422" t="s">
        <v>557</v>
      </c>
      <c r="G422" t="s">
        <v>596</v>
      </c>
      <c r="H422" t="s">
        <v>597</v>
      </c>
      <c r="I422" t="s">
        <v>640</v>
      </c>
      <c r="J422">
        <v>1</v>
      </c>
      <c r="K422" t="s">
        <v>641</v>
      </c>
      <c r="L422">
        <v>77</v>
      </c>
      <c r="M422">
        <f t="shared" si="6"/>
        <v>77</v>
      </c>
    </row>
    <row r="423" spans="3:13">
      <c r="C423" s="33" t="s">
        <v>266</v>
      </c>
      <c r="D423" s="33" t="s">
        <v>268</v>
      </c>
      <c r="E423" t="s">
        <v>509</v>
      </c>
      <c r="F423" t="s">
        <v>557</v>
      </c>
      <c r="G423" t="s">
        <v>571</v>
      </c>
      <c r="H423" t="s">
        <v>572</v>
      </c>
      <c r="I423" t="s">
        <v>573</v>
      </c>
      <c r="J423">
        <v>1</v>
      </c>
      <c r="K423" t="s">
        <v>554</v>
      </c>
      <c r="L423">
        <v>1680</v>
      </c>
      <c r="M423">
        <f t="shared" si="6"/>
        <v>1680</v>
      </c>
    </row>
    <row r="424" spans="3:13">
      <c r="C424" s="33" t="s">
        <v>266</v>
      </c>
      <c r="D424" s="33" t="s">
        <v>268</v>
      </c>
      <c r="E424" t="s">
        <v>509</v>
      </c>
      <c r="F424" t="s">
        <v>557</v>
      </c>
      <c r="G424" t="s">
        <v>571</v>
      </c>
      <c r="H424" t="s">
        <v>574</v>
      </c>
      <c r="I424" t="s">
        <v>575</v>
      </c>
      <c r="J424">
        <v>1</v>
      </c>
      <c r="K424" t="s">
        <v>554</v>
      </c>
      <c r="L424">
        <v>10</v>
      </c>
      <c r="M424">
        <f t="shared" si="6"/>
        <v>10</v>
      </c>
    </row>
    <row r="425" spans="3:13">
      <c r="C425" s="33" t="s">
        <v>266</v>
      </c>
      <c r="D425" s="33" t="s">
        <v>268</v>
      </c>
      <c r="E425" t="s">
        <v>509</v>
      </c>
      <c r="F425" t="s">
        <v>557</v>
      </c>
      <c r="G425" t="s">
        <v>558</v>
      </c>
      <c r="H425" t="s">
        <v>581</v>
      </c>
      <c r="I425" t="s">
        <v>582</v>
      </c>
      <c r="J425">
        <v>1</v>
      </c>
      <c r="K425" t="s">
        <v>554</v>
      </c>
      <c r="L425">
        <v>84</v>
      </c>
      <c r="M425">
        <f t="shared" si="6"/>
        <v>84</v>
      </c>
    </row>
    <row r="426" spans="3:13">
      <c r="C426" s="33" t="s">
        <v>266</v>
      </c>
      <c r="D426" s="33" t="s">
        <v>268</v>
      </c>
      <c r="E426" t="s">
        <v>509</v>
      </c>
      <c r="F426" t="s">
        <v>557</v>
      </c>
      <c r="G426" t="s">
        <v>576</v>
      </c>
      <c r="H426" t="s">
        <v>577</v>
      </c>
      <c r="I426" t="s">
        <v>578</v>
      </c>
      <c r="J426">
        <v>1</v>
      </c>
      <c r="K426" t="s">
        <v>554</v>
      </c>
      <c r="L426">
        <v>93</v>
      </c>
      <c r="M426">
        <f t="shared" si="6"/>
        <v>93</v>
      </c>
    </row>
    <row r="427" spans="3:13">
      <c r="C427" s="33" t="s">
        <v>266</v>
      </c>
      <c r="D427" s="33" t="s">
        <v>268</v>
      </c>
      <c r="E427" t="s">
        <v>509</v>
      </c>
      <c r="F427" t="s">
        <v>611</v>
      </c>
      <c r="G427" t="s">
        <v>544</v>
      </c>
      <c r="H427" t="s">
        <v>612</v>
      </c>
      <c r="I427" t="s">
        <v>613</v>
      </c>
      <c r="J427">
        <v>1</v>
      </c>
      <c r="K427" t="s">
        <v>595</v>
      </c>
      <c r="L427">
        <v>290</v>
      </c>
      <c r="M427">
        <f t="shared" si="6"/>
        <v>290</v>
      </c>
    </row>
    <row r="428" spans="3:13">
      <c r="C428" s="33" t="s">
        <v>266</v>
      </c>
      <c r="D428" s="33" t="s">
        <v>268</v>
      </c>
      <c r="E428" t="s">
        <v>509</v>
      </c>
      <c r="F428" t="s">
        <v>611</v>
      </c>
      <c r="G428" t="s">
        <v>571</v>
      </c>
      <c r="H428" t="s">
        <v>614</v>
      </c>
      <c r="I428" t="s">
        <v>615</v>
      </c>
      <c r="J428">
        <v>1</v>
      </c>
      <c r="K428" t="s">
        <v>554</v>
      </c>
      <c r="L428">
        <v>100</v>
      </c>
      <c r="M428">
        <f t="shared" si="6"/>
        <v>100</v>
      </c>
    </row>
    <row r="429" spans="3:13">
      <c r="C429" s="33" t="s">
        <v>266</v>
      </c>
      <c r="D429" s="33" t="s">
        <v>268</v>
      </c>
      <c r="E429" t="s">
        <v>509</v>
      </c>
      <c r="F429" t="s">
        <v>611</v>
      </c>
      <c r="G429" t="s">
        <v>561</v>
      </c>
      <c r="H429" t="s">
        <v>616</v>
      </c>
      <c r="I429" t="s">
        <v>617</v>
      </c>
      <c r="J429">
        <v>1</v>
      </c>
      <c r="K429" t="s">
        <v>618</v>
      </c>
      <c r="L429">
        <v>55</v>
      </c>
      <c r="M429">
        <f t="shared" si="6"/>
        <v>55</v>
      </c>
    </row>
    <row r="430" spans="3:13">
      <c r="C430" s="33" t="s">
        <v>266</v>
      </c>
      <c r="D430" s="33" t="s">
        <v>268</v>
      </c>
      <c r="E430" t="s">
        <v>509</v>
      </c>
      <c r="F430" t="s">
        <v>611</v>
      </c>
      <c r="G430" t="s">
        <v>576</v>
      </c>
      <c r="H430" t="s">
        <v>619</v>
      </c>
      <c r="I430" t="s">
        <v>620</v>
      </c>
      <c r="J430">
        <v>1</v>
      </c>
      <c r="K430" t="s">
        <v>554</v>
      </c>
      <c r="L430">
        <v>66.26</v>
      </c>
      <c r="M430">
        <f t="shared" si="6"/>
        <v>66.26</v>
      </c>
    </row>
    <row r="431" spans="3:13">
      <c r="C431" s="33" t="s">
        <v>266</v>
      </c>
      <c r="D431" s="33" t="s">
        <v>268</v>
      </c>
      <c r="E431" t="s">
        <v>509</v>
      </c>
      <c r="F431" t="s">
        <v>611</v>
      </c>
      <c r="G431" t="s">
        <v>621</v>
      </c>
      <c r="H431" t="s">
        <v>622</v>
      </c>
      <c r="I431" t="s">
        <v>623</v>
      </c>
      <c r="J431">
        <v>1</v>
      </c>
      <c r="K431" t="s">
        <v>554</v>
      </c>
      <c r="L431">
        <v>101</v>
      </c>
      <c r="M431">
        <f t="shared" si="6"/>
        <v>101</v>
      </c>
    </row>
    <row r="432" spans="3:13">
      <c r="C432" s="33" t="s">
        <v>266</v>
      </c>
      <c r="D432" s="33" t="s">
        <v>268</v>
      </c>
      <c r="E432" t="s">
        <v>509</v>
      </c>
      <c r="F432" t="s">
        <v>611</v>
      </c>
      <c r="G432" t="s">
        <v>621</v>
      </c>
      <c r="H432" t="s">
        <v>624</v>
      </c>
      <c r="I432" t="s">
        <v>625</v>
      </c>
      <c r="J432">
        <v>1</v>
      </c>
      <c r="K432" t="s">
        <v>554</v>
      </c>
      <c r="L432">
        <v>418</v>
      </c>
      <c r="M432">
        <f t="shared" si="6"/>
        <v>418</v>
      </c>
    </row>
    <row r="433" spans="3:13">
      <c r="C433" s="33" t="s">
        <v>266</v>
      </c>
      <c r="D433" s="33" t="s">
        <v>268</v>
      </c>
      <c r="E433" t="s">
        <v>509</v>
      </c>
      <c r="F433" t="s">
        <v>611</v>
      </c>
      <c r="G433" t="s">
        <v>621</v>
      </c>
      <c r="H433" t="s">
        <v>626</v>
      </c>
      <c r="I433" t="s">
        <v>627</v>
      </c>
      <c r="J433">
        <v>1</v>
      </c>
      <c r="K433" t="s">
        <v>554</v>
      </c>
      <c r="L433">
        <v>37</v>
      </c>
      <c r="M433">
        <f t="shared" si="6"/>
        <v>37</v>
      </c>
    </row>
    <row r="434" spans="3:13">
      <c r="C434" s="33" t="s">
        <v>266</v>
      </c>
      <c r="D434" s="33" t="s">
        <v>268</v>
      </c>
      <c r="E434" t="s">
        <v>509</v>
      </c>
      <c r="F434" t="s">
        <v>611</v>
      </c>
      <c r="G434" t="s">
        <v>571</v>
      </c>
      <c r="H434" t="s">
        <v>628</v>
      </c>
      <c r="I434" t="s">
        <v>653</v>
      </c>
      <c r="J434">
        <v>1</v>
      </c>
      <c r="K434" t="s">
        <v>604</v>
      </c>
      <c r="L434">
        <v>430</v>
      </c>
      <c r="M434">
        <f t="shared" si="6"/>
        <v>430</v>
      </c>
    </row>
    <row r="435" spans="3:13">
      <c r="C435" s="33" t="s">
        <v>266</v>
      </c>
      <c r="D435" s="33" t="s">
        <v>268</v>
      </c>
      <c r="E435" t="s">
        <v>509</v>
      </c>
      <c r="F435" t="s">
        <v>611</v>
      </c>
      <c r="G435" t="s">
        <v>583</v>
      </c>
      <c r="H435" t="s">
        <v>636</v>
      </c>
      <c r="I435" t="s">
        <v>637</v>
      </c>
      <c r="J435">
        <v>1</v>
      </c>
      <c r="K435" t="s">
        <v>554</v>
      </c>
      <c r="L435">
        <v>41</v>
      </c>
      <c r="M435">
        <f t="shared" si="6"/>
        <v>41</v>
      </c>
    </row>
    <row r="436" spans="3:13">
      <c r="C436" s="33" t="s">
        <v>266</v>
      </c>
      <c r="D436" s="33" t="s">
        <v>268</v>
      </c>
      <c r="E436" t="s">
        <v>509</v>
      </c>
      <c r="F436" t="s">
        <v>611</v>
      </c>
      <c r="G436" t="s">
        <v>551</v>
      </c>
      <c r="H436" t="s">
        <v>630</v>
      </c>
      <c r="I436" t="s">
        <v>631</v>
      </c>
      <c r="J436">
        <v>1</v>
      </c>
      <c r="K436" t="s">
        <v>566</v>
      </c>
      <c r="L436">
        <v>4.7</v>
      </c>
      <c r="M436">
        <f t="shared" si="6"/>
        <v>4.7</v>
      </c>
    </row>
    <row r="437" spans="3:13">
      <c r="C437" s="33" t="s">
        <v>266</v>
      </c>
      <c r="D437" s="33" t="s">
        <v>268</v>
      </c>
      <c r="E437" t="s">
        <v>509</v>
      </c>
      <c r="F437" t="s">
        <v>611</v>
      </c>
      <c r="G437" t="s">
        <v>621</v>
      </c>
      <c r="H437" t="s">
        <v>632</v>
      </c>
      <c r="I437" t="s">
        <v>633</v>
      </c>
      <c r="J437">
        <v>1</v>
      </c>
      <c r="K437" t="s">
        <v>601</v>
      </c>
      <c r="L437">
        <v>370</v>
      </c>
      <c r="M437">
        <f t="shared" si="6"/>
        <v>370</v>
      </c>
    </row>
    <row r="438" spans="3:13">
      <c r="C438" s="33" t="s">
        <v>266</v>
      </c>
      <c r="D438" s="33" t="s">
        <v>268</v>
      </c>
      <c r="E438" t="s">
        <v>509</v>
      </c>
      <c r="F438" t="s">
        <v>611</v>
      </c>
      <c r="G438" t="s">
        <v>621</v>
      </c>
      <c r="H438" t="s">
        <v>634</v>
      </c>
      <c r="I438" t="s">
        <v>635</v>
      </c>
      <c r="J438">
        <v>1</v>
      </c>
      <c r="K438" t="s">
        <v>554</v>
      </c>
      <c r="L438">
        <v>39.5</v>
      </c>
      <c r="M438">
        <f t="shared" si="6"/>
        <v>39.5</v>
      </c>
    </row>
    <row r="439" spans="3:13">
      <c r="C439" s="33" t="s">
        <v>266</v>
      </c>
      <c r="D439" s="33" t="s">
        <v>268</v>
      </c>
      <c r="E439" t="s">
        <v>509</v>
      </c>
      <c r="F439" t="s">
        <v>611</v>
      </c>
      <c r="G439" t="s">
        <v>621</v>
      </c>
      <c r="H439" t="s">
        <v>638</v>
      </c>
      <c r="I439" t="s">
        <v>639</v>
      </c>
      <c r="J439">
        <v>1</v>
      </c>
      <c r="K439" t="s">
        <v>554</v>
      </c>
      <c r="L439">
        <v>17.2</v>
      </c>
      <c r="M439">
        <f t="shared" si="6"/>
        <v>17.2</v>
      </c>
    </row>
    <row r="440" spans="3:13">
      <c r="C440" s="33" t="s">
        <v>266</v>
      </c>
      <c r="D440" s="33" t="s">
        <v>268</v>
      </c>
      <c r="E440" t="s">
        <v>510</v>
      </c>
      <c r="F440" t="s">
        <v>543</v>
      </c>
      <c r="G440" t="s">
        <v>544</v>
      </c>
      <c r="H440" t="s">
        <v>545</v>
      </c>
      <c r="I440" t="s">
        <v>546</v>
      </c>
      <c r="J440">
        <v>1</v>
      </c>
      <c r="K440" t="s">
        <v>547</v>
      </c>
      <c r="L440">
        <v>920</v>
      </c>
      <c r="M440">
        <f t="shared" si="6"/>
        <v>920</v>
      </c>
    </row>
    <row r="441" spans="3:13">
      <c r="C441" s="33" t="s">
        <v>266</v>
      </c>
      <c r="D441" s="33" t="s">
        <v>268</v>
      </c>
      <c r="E441" t="s">
        <v>510</v>
      </c>
      <c r="F441" t="s">
        <v>543</v>
      </c>
      <c r="G441" t="s">
        <v>544</v>
      </c>
      <c r="H441" t="s">
        <v>548</v>
      </c>
      <c r="I441" t="s">
        <v>549</v>
      </c>
      <c r="J441">
        <v>1</v>
      </c>
      <c r="K441" t="s">
        <v>550</v>
      </c>
      <c r="L441">
        <v>380</v>
      </c>
      <c r="M441">
        <f t="shared" si="6"/>
        <v>380</v>
      </c>
    </row>
    <row r="442" spans="3:13">
      <c r="C442" s="33" t="s">
        <v>266</v>
      </c>
      <c r="D442" s="33" t="s">
        <v>268</v>
      </c>
      <c r="E442" t="s">
        <v>510</v>
      </c>
      <c r="F442" t="s">
        <v>543</v>
      </c>
      <c r="G442" t="s">
        <v>551</v>
      </c>
      <c r="H442" t="s">
        <v>552</v>
      </c>
      <c r="I442" t="s">
        <v>553</v>
      </c>
      <c r="J442">
        <v>1</v>
      </c>
      <c r="K442" t="s">
        <v>554</v>
      </c>
      <c r="L442">
        <v>14</v>
      </c>
      <c r="M442">
        <f t="shared" si="6"/>
        <v>14</v>
      </c>
    </row>
    <row r="443" spans="3:13">
      <c r="C443" s="33" t="s">
        <v>266</v>
      </c>
      <c r="D443" s="33" t="s">
        <v>268</v>
      </c>
      <c r="E443" t="s">
        <v>510</v>
      </c>
      <c r="F443" t="s">
        <v>543</v>
      </c>
      <c r="G443" t="s">
        <v>551</v>
      </c>
      <c r="H443" t="s">
        <v>555</v>
      </c>
      <c r="I443" t="s">
        <v>556</v>
      </c>
      <c r="J443">
        <v>1</v>
      </c>
      <c r="K443" t="s">
        <v>554</v>
      </c>
      <c r="L443">
        <v>33</v>
      </c>
      <c r="M443">
        <f t="shared" si="6"/>
        <v>33</v>
      </c>
    </row>
    <row r="444" spans="3:13">
      <c r="C444" s="33" t="s">
        <v>266</v>
      </c>
      <c r="D444" s="33" t="s">
        <v>268</v>
      </c>
      <c r="E444" t="s">
        <v>510</v>
      </c>
      <c r="F444" t="s">
        <v>643</v>
      </c>
      <c r="G444" t="s">
        <v>558</v>
      </c>
      <c r="H444" t="s">
        <v>559</v>
      </c>
      <c r="I444" t="s">
        <v>560</v>
      </c>
      <c r="J444">
        <v>1</v>
      </c>
      <c r="K444" t="s">
        <v>554</v>
      </c>
      <c r="L444">
        <v>0</v>
      </c>
      <c r="M444">
        <f t="shared" si="6"/>
        <v>0</v>
      </c>
    </row>
    <row r="445" spans="3:13">
      <c r="C445" s="33" t="s">
        <v>266</v>
      </c>
      <c r="D445" s="33" t="s">
        <v>268</v>
      </c>
      <c r="E445" t="s">
        <v>510</v>
      </c>
      <c r="F445" t="s">
        <v>643</v>
      </c>
      <c r="G445" t="s">
        <v>561</v>
      </c>
      <c r="H445" t="s">
        <v>562</v>
      </c>
      <c r="I445" t="s">
        <v>563</v>
      </c>
      <c r="J445">
        <v>1</v>
      </c>
      <c r="K445" t="s">
        <v>554</v>
      </c>
      <c r="L445">
        <v>13.38</v>
      </c>
      <c r="M445">
        <f t="shared" si="6"/>
        <v>13.38</v>
      </c>
    </row>
    <row r="446" spans="3:13">
      <c r="C446" s="33" t="s">
        <v>266</v>
      </c>
      <c r="D446" s="33" t="s">
        <v>268</v>
      </c>
      <c r="E446" t="s">
        <v>510</v>
      </c>
      <c r="F446" t="s">
        <v>643</v>
      </c>
      <c r="G446" t="s">
        <v>561</v>
      </c>
      <c r="H446" t="s">
        <v>482</v>
      </c>
      <c r="I446" t="s">
        <v>605</v>
      </c>
      <c r="J446">
        <v>1</v>
      </c>
      <c r="K446" t="s">
        <v>566</v>
      </c>
      <c r="L446">
        <v>15.82</v>
      </c>
      <c r="M446">
        <f t="shared" si="6"/>
        <v>15.82</v>
      </c>
    </row>
    <row r="447" spans="3:13">
      <c r="C447" s="33" t="s">
        <v>266</v>
      </c>
      <c r="D447" s="33" t="s">
        <v>268</v>
      </c>
      <c r="E447" t="s">
        <v>510</v>
      </c>
      <c r="F447" t="s">
        <v>643</v>
      </c>
      <c r="G447" t="s">
        <v>561</v>
      </c>
      <c r="H447" t="s">
        <v>606</v>
      </c>
      <c r="I447" t="s">
        <v>607</v>
      </c>
      <c r="J447">
        <v>1</v>
      </c>
      <c r="K447" t="s">
        <v>550</v>
      </c>
      <c r="L447">
        <v>4.29</v>
      </c>
      <c r="M447">
        <f t="shared" si="6"/>
        <v>4.29</v>
      </c>
    </row>
    <row r="448" spans="3:13">
      <c r="C448" s="33" t="s">
        <v>266</v>
      </c>
      <c r="D448" s="33" t="s">
        <v>268</v>
      </c>
      <c r="E448" t="s">
        <v>510</v>
      </c>
      <c r="F448" t="s">
        <v>643</v>
      </c>
      <c r="G448" t="s">
        <v>571</v>
      </c>
      <c r="H448" t="s">
        <v>572</v>
      </c>
      <c r="I448" t="s">
        <v>573</v>
      </c>
      <c r="J448">
        <v>1</v>
      </c>
      <c r="K448" t="s">
        <v>554</v>
      </c>
      <c r="L448">
        <v>1680</v>
      </c>
      <c r="M448">
        <f t="shared" si="6"/>
        <v>1680</v>
      </c>
    </row>
    <row r="449" spans="3:13">
      <c r="C449" s="33" t="s">
        <v>266</v>
      </c>
      <c r="D449" s="33" t="s">
        <v>268</v>
      </c>
      <c r="E449" t="s">
        <v>510</v>
      </c>
      <c r="F449" t="s">
        <v>643</v>
      </c>
      <c r="G449" t="s">
        <v>571</v>
      </c>
      <c r="H449" t="s">
        <v>574</v>
      </c>
      <c r="I449" t="s">
        <v>575</v>
      </c>
      <c r="J449">
        <v>1</v>
      </c>
      <c r="K449" t="s">
        <v>554</v>
      </c>
      <c r="L449">
        <v>10</v>
      </c>
      <c r="M449">
        <f t="shared" si="6"/>
        <v>10</v>
      </c>
    </row>
    <row r="450" spans="3:13">
      <c r="C450" s="33" t="s">
        <v>266</v>
      </c>
      <c r="D450" s="33" t="s">
        <v>268</v>
      </c>
      <c r="E450" t="s">
        <v>510</v>
      </c>
      <c r="F450" t="s">
        <v>643</v>
      </c>
      <c r="G450" t="s">
        <v>576</v>
      </c>
      <c r="H450" t="s">
        <v>577</v>
      </c>
      <c r="I450" t="s">
        <v>578</v>
      </c>
      <c r="J450">
        <v>1</v>
      </c>
      <c r="K450" t="s">
        <v>554</v>
      </c>
      <c r="L450">
        <v>93</v>
      </c>
      <c r="M450">
        <f t="shared" si="6"/>
        <v>93</v>
      </c>
    </row>
    <row r="451" spans="3:13">
      <c r="C451" s="33" t="s">
        <v>266</v>
      </c>
      <c r="D451" s="33" t="s">
        <v>268</v>
      </c>
      <c r="E451" t="s">
        <v>510</v>
      </c>
      <c r="F451" t="s">
        <v>643</v>
      </c>
      <c r="G451" t="s">
        <v>576</v>
      </c>
      <c r="H451" t="s">
        <v>579</v>
      </c>
      <c r="I451" t="s">
        <v>580</v>
      </c>
      <c r="J451">
        <v>1</v>
      </c>
      <c r="K451" t="s">
        <v>554</v>
      </c>
      <c r="L451">
        <v>56</v>
      </c>
      <c r="M451">
        <f t="shared" si="6"/>
        <v>56</v>
      </c>
    </row>
    <row r="452" spans="3:13">
      <c r="C452" s="33" t="s">
        <v>266</v>
      </c>
      <c r="D452" s="33" t="s">
        <v>268</v>
      </c>
      <c r="E452" t="s">
        <v>510</v>
      </c>
      <c r="F452" t="s">
        <v>643</v>
      </c>
      <c r="G452" t="s">
        <v>558</v>
      </c>
      <c r="H452" t="s">
        <v>581</v>
      </c>
      <c r="I452" t="s">
        <v>582</v>
      </c>
      <c r="J452">
        <v>1</v>
      </c>
      <c r="K452" t="s">
        <v>554</v>
      </c>
      <c r="L452">
        <v>84</v>
      </c>
      <c r="M452">
        <f t="shared" si="6"/>
        <v>84</v>
      </c>
    </row>
    <row r="453" spans="3:13">
      <c r="C453" s="33" t="s">
        <v>266</v>
      </c>
      <c r="D453" s="33" t="s">
        <v>268</v>
      </c>
      <c r="E453" t="s">
        <v>510</v>
      </c>
      <c r="F453" t="s">
        <v>643</v>
      </c>
      <c r="G453" t="s">
        <v>583</v>
      </c>
      <c r="H453" t="s">
        <v>584</v>
      </c>
      <c r="I453" t="s">
        <v>585</v>
      </c>
      <c r="J453">
        <v>1</v>
      </c>
      <c r="K453" t="s">
        <v>554</v>
      </c>
      <c r="L453">
        <v>165</v>
      </c>
      <c r="M453">
        <f t="shared" ref="M453:M516" si="7">J453*L453</f>
        <v>165</v>
      </c>
    </row>
    <row r="454" spans="3:13">
      <c r="C454" s="33" t="s">
        <v>266</v>
      </c>
      <c r="D454" s="33" t="s">
        <v>268</v>
      </c>
      <c r="E454" t="s">
        <v>510</v>
      </c>
      <c r="F454" t="s">
        <v>643</v>
      </c>
      <c r="G454" t="s">
        <v>561</v>
      </c>
      <c r="H454" t="s">
        <v>586</v>
      </c>
      <c r="I454" t="s">
        <v>587</v>
      </c>
      <c r="J454">
        <v>1</v>
      </c>
      <c r="K454" t="s">
        <v>554</v>
      </c>
      <c r="L454">
        <v>43</v>
      </c>
      <c r="M454">
        <f t="shared" si="7"/>
        <v>43</v>
      </c>
    </row>
    <row r="455" spans="3:13">
      <c r="C455" s="33" t="s">
        <v>266</v>
      </c>
      <c r="D455" s="33" t="s">
        <v>268</v>
      </c>
      <c r="E455" t="s">
        <v>510</v>
      </c>
      <c r="F455" t="s">
        <v>643</v>
      </c>
      <c r="G455" t="s">
        <v>588</v>
      </c>
      <c r="H455" t="s">
        <v>589</v>
      </c>
      <c r="I455" t="s">
        <v>590</v>
      </c>
      <c r="J455">
        <v>1</v>
      </c>
      <c r="K455" t="s">
        <v>554</v>
      </c>
      <c r="L455">
        <v>425</v>
      </c>
      <c r="M455">
        <f t="shared" si="7"/>
        <v>425</v>
      </c>
    </row>
    <row r="456" spans="3:13">
      <c r="C456" s="33" t="s">
        <v>266</v>
      </c>
      <c r="D456" s="33" t="s">
        <v>268</v>
      </c>
      <c r="E456" t="s">
        <v>510</v>
      </c>
      <c r="F456" t="s">
        <v>643</v>
      </c>
      <c r="G456" t="s">
        <v>561</v>
      </c>
      <c r="H456" t="s">
        <v>591</v>
      </c>
      <c r="I456" t="s">
        <v>592</v>
      </c>
      <c r="J456">
        <v>1</v>
      </c>
      <c r="K456" t="s">
        <v>554</v>
      </c>
      <c r="L456">
        <v>77</v>
      </c>
      <c r="M456">
        <f t="shared" si="7"/>
        <v>77</v>
      </c>
    </row>
    <row r="457" spans="3:13">
      <c r="C457" s="33" t="s">
        <v>266</v>
      </c>
      <c r="D457" s="33" t="s">
        <v>268</v>
      </c>
      <c r="E457" t="s">
        <v>510</v>
      </c>
      <c r="F457" t="s">
        <v>643</v>
      </c>
      <c r="G457" t="s">
        <v>544</v>
      </c>
      <c r="H457" t="s">
        <v>593</v>
      </c>
      <c r="I457" t="s">
        <v>594</v>
      </c>
      <c r="J457">
        <v>1</v>
      </c>
      <c r="K457" t="s">
        <v>595</v>
      </c>
      <c r="L457">
        <v>415</v>
      </c>
      <c r="M457">
        <f t="shared" si="7"/>
        <v>415</v>
      </c>
    </row>
    <row r="458" spans="3:13">
      <c r="C458" s="33" t="s">
        <v>266</v>
      </c>
      <c r="D458" s="33" t="s">
        <v>268</v>
      </c>
      <c r="E458" t="s">
        <v>510</v>
      </c>
      <c r="F458" t="s">
        <v>643</v>
      </c>
      <c r="G458" t="s">
        <v>596</v>
      </c>
      <c r="H458" t="s">
        <v>597</v>
      </c>
      <c r="I458" t="s">
        <v>598</v>
      </c>
      <c r="J458">
        <v>1</v>
      </c>
      <c r="K458" t="s">
        <v>599</v>
      </c>
      <c r="L458">
        <v>53</v>
      </c>
      <c r="M458">
        <f t="shared" si="7"/>
        <v>53</v>
      </c>
    </row>
    <row r="459" spans="3:13">
      <c r="C459" s="33" t="s">
        <v>266</v>
      </c>
      <c r="D459" s="33" t="s">
        <v>268</v>
      </c>
      <c r="E459" t="s">
        <v>510</v>
      </c>
      <c r="F459" t="s">
        <v>643</v>
      </c>
      <c r="G459" t="s">
        <v>561</v>
      </c>
      <c r="H459" t="s">
        <v>608</v>
      </c>
      <c r="I459" t="s">
        <v>609</v>
      </c>
      <c r="J459">
        <v>1</v>
      </c>
      <c r="K459" t="s">
        <v>610</v>
      </c>
      <c r="L459">
        <v>58</v>
      </c>
      <c r="M459">
        <f t="shared" si="7"/>
        <v>58</v>
      </c>
    </row>
    <row r="460" spans="3:13">
      <c r="C460" s="33" t="s">
        <v>266</v>
      </c>
      <c r="D460" s="33" t="s">
        <v>268</v>
      </c>
      <c r="E460" t="s">
        <v>510</v>
      </c>
      <c r="F460" t="s">
        <v>643</v>
      </c>
      <c r="G460" t="s">
        <v>561</v>
      </c>
      <c r="H460" t="s">
        <v>481</v>
      </c>
      <c r="I460" t="s">
        <v>600</v>
      </c>
      <c r="J460">
        <v>1</v>
      </c>
      <c r="K460" t="s">
        <v>601</v>
      </c>
      <c r="L460">
        <v>44.38</v>
      </c>
      <c r="M460">
        <f t="shared" si="7"/>
        <v>44.38</v>
      </c>
    </row>
    <row r="461" spans="3:13">
      <c r="C461" s="33" t="s">
        <v>266</v>
      </c>
      <c r="D461" s="33" t="s">
        <v>268</v>
      </c>
      <c r="E461" t="s">
        <v>510</v>
      </c>
      <c r="F461" t="s">
        <v>643</v>
      </c>
      <c r="G461" t="s">
        <v>571</v>
      </c>
      <c r="H461" t="s">
        <v>602</v>
      </c>
      <c r="I461" t="s">
        <v>603</v>
      </c>
      <c r="J461">
        <v>1</v>
      </c>
      <c r="K461" t="s">
        <v>604</v>
      </c>
      <c r="L461">
        <v>48.27</v>
      </c>
      <c r="M461">
        <f t="shared" si="7"/>
        <v>48.27</v>
      </c>
    </row>
    <row r="462" spans="3:13">
      <c r="C462" s="33" t="s">
        <v>266</v>
      </c>
      <c r="D462" s="33" t="s">
        <v>268</v>
      </c>
      <c r="E462" t="s">
        <v>510</v>
      </c>
      <c r="F462" t="s">
        <v>557</v>
      </c>
      <c r="G462" t="s">
        <v>544</v>
      </c>
      <c r="H462" t="s">
        <v>651</v>
      </c>
      <c r="I462" t="s">
        <v>652</v>
      </c>
      <c r="J462">
        <v>1</v>
      </c>
      <c r="K462" t="s">
        <v>595</v>
      </c>
      <c r="L462">
        <v>800</v>
      </c>
      <c r="M462">
        <f t="shared" si="7"/>
        <v>800</v>
      </c>
    </row>
    <row r="463" spans="3:13">
      <c r="C463" s="33" t="s">
        <v>266</v>
      </c>
      <c r="D463" s="33" t="s">
        <v>268</v>
      </c>
      <c r="E463" t="s">
        <v>510</v>
      </c>
      <c r="F463" t="s">
        <v>557</v>
      </c>
      <c r="G463" t="s">
        <v>561</v>
      </c>
      <c r="H463" t="s">
        <v>564</v>
      </c>
      <c r="I463" t="s">
        <v>565</v>
      </c>
      <c r="J463">
        <v>1</v>
      </c>
      <c r="K463" t="s">
        <v>566</v>
      </c>
      <c r="L463">
        <v>26.93</v>
      </c>
      <c r="M463">
        <f t="shared" si="7"/>
        <v>26.93</v>
      </c>
    </row>
    <row r="464" spans="3:13">
      <c r="C464" s="33" t="s">
        <v>266</v>
      </c>
      <c r="D464" s="33" t="s">
        <v>268</v>
      </c>
      <c r="E464" t="s">
        <v>510</v>
      </c>
      <c r="F464" t="s">
        <v>557</v>
      </c>
      <c r="G464" t="s">
        <v>561</v>
      </c>
      <c r="H464" t="s">
        <v>567</v>
      </c>
      <c r="I464" t="s">
        <v>568</v>
      </c>
      <c r="J464">
        <v>1</v>
      </c>
      <c r="K464" t="s">
        <v>566</v>
      </c>
      <c r="L464">
        <v>23.77</v>
      </c>
      <c r="M464">
        <f t="shared" si="7"/>
        <v>23.77</v>
      </c>
    </row>
    <row r="465" spans="3:13">
      <c r="C465" s="33" t="s">
        <v>266</v>
      </c>
      <c r="D465" s="33" t="s">
        <v>268</v>
      </c>
      <c r="E465" t="s">
        <v>510</v>
      </c>
      <c r="F465" t="s">
        <v>557</v>
      </c>
      <c r="G465" t="s">
        <v>561</v>
      </c>
      <c r="H465" t="s">
        <v>569</v>
      </c>
      <c r="I465" t="s">
        <v>570</v>
      </c>
      <c r="J465">
        <v>1</v>
      </c>
      <c r="K465" t="s">
        <v>554</v>
      </c>
      <c r="L465">
        <v>47.7</v>
      </c>
      <c r="M465">
        <f t="shared" si="7"/>
        <v>47.7</v>
      </c>
    </row>
    <row r="466" spans="3:13">
      <c r="C466" s="33" t="s">
        <v>266</v>
      </c>
      <c r="D466" s="33" t="s">
        <v>268</v>
      </c>
      <c r="E466" t="s">
        <v>510</v>
      </c>
      <c r="F466" t="s">
        <v>557</v>
      </c>
      <c r="G466" t="s">
        <v>544</v>
      </c>
      <c r="H466" t="s">
        <v>593</v>
      </c>
      <c r="I466" t="s">
        <v>594</v>
      </c>
      <c r="J466">
        <v>1</v>
      </c>
      <c r="K466" t="s">
        <v>595</v>
      </c>
      <c r="L466">
        <v>415</v>
      </c>
      <c r="M466">
        <f t="shared" si="7"/>
        <v>415</v>
      </c>
    </row>
    <row r="467" spans="3:13">
      <c r="C467" s="33" t="s">
        <v>266</v>
      </c>
      <c r="D467" s="33" t="s">
        <v>268</v>
      </c>
      <c r="E467" t="s">
        <v>510</v>
      </c>
      <c r="F467" t="s">
        <v>557</v>
      </c>
      <c r="G467" t="s">
        <v>596</v>
      </c>
      <c r="H467" t="s">
        <v>597</v>
      </c>
      <c r="I467" t="s">
        <v>640</v>
      </c>
      <c r="J467">
        <v>1</v>
      </c>
      <c r="K467" t="s">
        <v>641</v>
      </c>
      <c r="L467">
        <v>77</v>
      </c>
      <c r="M467">
        <f t="shared" si="7"/>
        <v>77</v>
      </c>
    </row>
    <row r="468" spans="3:13">
      <c r="C468" s="33" t="s">
        <v>266</v>
      </c>
      <c r="D468" s="33" t="s">
        <v>268</v>
      </c>
      <c r="E468" t="s">
        <v>510</v>
      </c>
      <c r="F468" t="s">
        <v>557</v>
      </c>
      <c r="G468" t="s">
        <v>571</v>
      </c>
      <c r="H468" t="s">
        <v>572</v>
      </c>
      <c r="I468" t="s">
        <v>573</v>
      </c>
      <c r="J468">
        <v>1</v>
      </c>
      <c r="K468" t="s">
        <v>554</v>
      </c>
      <c r="L468">
        <v>1680</v>
      </c>
      <c r="M468">
        <f t="shared" si="7"/>
        <v>1680</v>
      </c>
    </row>
    <row r="469" spans="3:13">
      <c r="C469" s="33" t="s">
        <v>266</v>
      </c>
      <c r="D469" s="33" t="s">
        <v>268</v>
      </c>
      <c r="E469" t="s">
        <v>510</v>
      </c>
      <c r="F469" t="s">
        <v>557</v>
      </c>
      <c r="G469" t="s">
        <v>571</v>
      </c>
      <c r="H469" t="s">
        <v>574</v>
      </c>
      <c r="I469" t="s">
        <v>575</v>
      </c>
      <c r="J469">
        <v>1</v>
      </c>
      <c r="K469" t="s">
        <v>554</v>
      </c>
      <c r="L469">
        <v>10</v>
      </c>
      <c r="M469">
        <f t="shared" si="7"/>
        <v>10</v>
      </c>
    </row>
    <row r="470" spans="3:13">
      <c r="C470" s="33" t="s">
        <v>266</v>
      </c>
      <c r="D470" s="33" t="s">
        <v>268</v>
      </c>
      <c r="E470" t="s">
        <v>510</v>
      </c>
      <c r="F470" t="s">
        <v>557</v>
      </c>
      <c r="G470" t="s">
        <v>558</v>
      </c>
      <c r="H470" t="s">
        <v>581</v>
      </c>
      <c r="I470" t="s">
        <v>582</v>
      </c>
      <c r="J470">
        <v>1</v>
      </c>
      <c r="K470" t="s">
        <v>554</v>
      </c>
      <c r="L470">
        <v>84</v>
      </c>
      <c r="M470">
        <f t="shared" si="7"/>
        <v>84</v>
      </c>
    </row>
    <row r="471" spans="3:13">
      <c r="C471" s="33" t="s">
        <v>266</v>
      </c>
      <c r="D471" s="33" t="s">
        <v>268</v>
      </c>
      <c r="E471" t="s">
        <v>510</v>
      </c>
      <c r="F471" t="s">
        <v>557</v>
      </c>
      <c r="G471" t="s">
        <v>576</v>
      </c>
      <c r="H471" t="s">
        <v>577</v>
      </c>
      <c r="I471" t="s">
        <v>578</v>
      </c>
      <c r="J471">
        <v>1</v>
      </c>
      <c r="K471" t="s">
        <v>554</v>
      </c>
      <c r="L471">
        <v>93</v>
      </c>
      <c r="M471">
        <f t="shared" si="7"/>
        <v>93</v>
      </c>
    </row>
    <row r="472" spans="3:13">
      <c r="C472" s="33" t="s">
        <v>266</v>
      </c>
      <c r="D472" s="33" t="s">
        <v>268</v>
      </c>
      <c r="E472" t="s">
        <v>510</v>
      </c>
      <c r="F472" t="s">
        <v>611</v>
      </c>
      <c r="G472" t="s">
        <v>544</v>
      </c>
      <c r="H472" t="s">
        <v>612</v>
      </c>
      <c r="I472" t="s">
        <v>613</v>
      </c>
      <c r="J472">
        <v>1</v>
      </c>
      <c r="K472" t="s">
        <v>595</v>
      </c>
      <c r="L472">
        <v>290</v>
      </c>
      <c r="M472">
        <f t="shared" si="7"/>
        <v>290</v>
      </c>
    </row>
    <row r="473" spans="3:13">
      <c r="C473" s="33" t="s">
        <v>266</v>
      </c>
      <c r="D473" s="33" t="s">
        <v>268</v>
      </c>
      <c r="E473" t="s">
        <v>510</v>
      </c>
      <c r="F473" t="s">
        <v>611</v>
      </c>
      <c r="G473" t="s">
        <v>571</v>
      </c>
      <c r="H473" t="s">
        <v>614</v>
      </c>
      <c r="I473" t="s">
        <v>615</v>
      </c>
      <c r="J473">
        <v>1</v>
      </c>
      <c r="K473" t="s">
        <v>554</v>
      </c>
      <c r="L473">
        <v>100</v>
      </c>
      <c r="M473">
        <f t="shared" si="7"/>
        <v>100</v>
      </c>
    </row>
    <row r="474" spans="3:13">
      <c r="C474" s="33" t="s">
        <v>266</v>
      </c>
      <c r="D474" s="33" t="s">
        <v>268</v>
      </c>
      <c r="E474" t="s">
        <v>510</v>
      </c>
      <c r="F474" t="s">
        <v>611</v>
      </c>
      <c r="G474" t="s">
        <v>561</v>
      </c>
      <c r="H474" t="s">
        <v>616</v>
      </c>
      <c r="I474" t="s">
        <v>617</v>
      </c>
      <c r="J474">
        <v>1</v>
      </c>
      <c r="K474" t="s">
        <v>618</v>
      </c>
      <c r="L474">
        <v>55</v>
      </c>
      <c r="M474">
        <f t="shared" si="7"/>
        <v>55</v>
      </c>
    </row>
    <row r="475" spans="3:13">
      <c r="C475" s="33" t="s">
        <v>266</v>
      </c>
      <c r="D475" s="33" t="s">
        <v>268</v>
      </c>
      <c r="E475" t="s">
        <v>510</v>
      </c>
      <c r="F475" t="s">
        <v>611</v>
      </c>
      <c r="G475" t="s">
        <v>576</v>
      </c>
      <c r="H475" t="s">
        <v>619</v>
      </c>
      <c r="I475" t="s">
        <v>620</v>
      </c>
      <c r="J475">
        <v>1</v>
      </c>
      <c r="K475" t="s">
        <v>554</v>
      </c>
      <c r="L475">
        <v>66.26</v>
      </c>
      <c r="M475">
        <f t="shared" si="7"/>
        <v>66.26</v>
      </c>
    </row>
    <row r="476" spans="3:13">
      <c r="C476" s="33" t="s">
        <v>266</v>
      </c>
      <c r="D476" s="33" t="s">
        <v>268</v>
      </c>
      <c r="E476" t="s">
        <v>510</v>
      </c>
      <c r="F476" t="s">
        <v>611</v>
      </c>
      <c r="G476" t="s">
        <v>621</v>
      </c>
      <c r="H476" t="s">
        <v>622</v>
      </c>
      <c r="I476" t="s">
        <v>623</v>
      </c>
      <c r="J476">
        <v>1</v>
      </c>
      <c r="K476" t="s">
        <v>554</v>
      </c>
      <c r="L476">
        <v>101</v>
      </c>
      <c r="M476">
        <f t="shared" si="7"/>
        <v>101</v>
      </c>
    </row>
    <row r="477" spans="3:13">
      <c r="C477" s="33" t="s">
        <v>266</v>
      </c>
      <c r="D477" s="33" t="s">
        <v>268</v>
      </c>
      <c r="E477" t="s">
        <v>510</v>
      </c>
      <c r="F477" t="s">
        <v>611</v>
      </c>
      <c r="G477" t="s">
        <v>621</v>
      </c>
      <c r="H477" t="s">
        <v>624</v>
      </c>
      <c r="I477" t="s">
        <v>625</v>
      </c>
      <c r="J477">
        <v>1</v>
      </c>
      <c r="K477" t="s">
        <v>554</v>
      </c>
      <c r="L477">
        <v>418</v>
      </c>
      <c r="M477">
        <f t="shared" si="7"/>
        <v>418</v>
      </c>
    </row>
    <row r="478" spans="3:13">
      <c r="C478" s="33" t="s">
        <v>266</v>
      </c>
      <c r="D478" s="33" t="s">
        <v>268</v>
      </c>
      <c r="E478" t="s">
        <v>510</v>
      </c>
      <c r="F478" t="s">
        <v>611</v>
      </c>
      <c r="G478" t="s">
        <v>621</v>
      </c>
      <c r="H478" t="s">
        <v>626</v>
      </c>
      <c r="I478" t="s">
        <v>627</v>
      </c>
      <c r="J478">
        <v>1</v>
      </c>
      <c r="K478" t="s">
        <v>554</v>
      </c>
      <c r="L478">
        <v>37</v>
      </c>
      <c r="M478">
        <f t="shared" si="7"/>
        <v>37</v>
      </c>
    </row>
    <row r="479" spans="3:13">
      <c r="C479" s="33" t="s">
        <v>266</v>
      </c>
      <c r="D479" s="33" t="s">
        <v>268</v>
      </c>
      <c r="E479" t="s">
        <v>510</v>
      </c>
      <c r="F479" t="s">
        <v>611</v>
      </c>
      <c r="G479" t="s">
        <v>571</v>
      </c>
      <c r="H479" t="s">
        <v>628</v>
      </c>
      <c r="I479" t="s">
        <v>653</v>
      </c>
      <c r="J479">
        <v>1</v>
      </c>
      <c r="K479" t="s">
        <v>604</v>
      </c>
      <c r="L479">
        <v>430</v>
      </c>
      <c r="M479">
        <f t="shared" si="7"/>
        <v>430</v>
      </c>
    </row>
    <row r="480" spans="3:13">
      <c r="C480" s="33" t="s">
        <v>266</v>
      </c>
      <c r="D480" s="33" t="s">
        <v>268</v>
      </c>
      <c r="E480" t="s">
        <v>510</v>
      </c>
      <c r="F480" t="s">
        <v>611</v>
      </c>
      <c r="G480" t="s">
        <v>583</v>
      </c>
      <c r="H480" t="s">
        <v>636</v>
      </c>
      <c r="I480" t="s">
        <v>637</v>
      </c>
      <c r="J480">
        <v>1</v>
      </c>
      <c r="K480" t="s">
        <v>554</v>
      </c>
      <c r="L480">
        <v>41</v>
      </c>
      <c r="M480">
        <f t="shared" si="7"/>
        <v>41</v>
      </c>
    </row>
    <row r="481" spans="3:13">
      <c r="C481" s="33" t="s">
        <v>266</v>
      </c>
      <c r="D481" s="33" t="s">
        <v>268</v>
      </c>
      <c r="E481" t="s">
        <v>510</v>
      </c>
      <c r="F481" t="s">
        <v>611</v>
      </c>
      <c r="G481" t="s">
        <v>551</v>
      </c>
      <c r="H481" t="s">
        <v>630</v>
      </c>
      <c r="I481" t="s">
        <v>631</v>
      </c>
      <c r="J481">
        <v>1</v>
      </c>
      <c r="K481" t="s">
        <v>566</v>
      </c>
      <c r="L481">
        <v>4.7</v>
      </c>
      <c r="M481">
        <f t="shared" si="7"/>
        <v>4.7</v>
      </c>
    </row>
    <row r="482" spans="3:13">
      <c r="C482" s="33" t="s">
        <v>266</v>
      </c>
      <c r="D482" s="33" t="s">
        <v>268</v>
      </c>
      <c r="E482" t="s">
        <v>510</v>
      </c>
      <c r="F482" t="s">
        <v>611</v>
      </c>
      <c r="G482" t="s">
        <v>621</v>
      </c>
      <c r="H482" t="s">
        <v>632</v>
      </c>
      <c r="I482" t="s">
        <v>633</v>
      </c>
      <c r="J482">
        <v>1</v>
      </c>
      <c r="K482" t="s">
        <v>601</v>
      </c>
      <c r="L482">
        <v>370</v>
      </c>
      <c r="M482">
        <f t="shared" si="7"/>
        <v>370</v>
      </c>
    </row>
    <row r="483" spans="3:13">
      <c r="C483" s="33" t="s">
        <v>266</v>
      </c>
      <c r="D483" s="33" t="s">
        <v>268</v>
      </c>
      <c r="E483" t="s">
        <v>510</v>
      </c>
      <c r="F483" t="s">
        <v>611</v>
      </c>
      <c r="G483" t="s">
        <v>621</v>
      </c>
      <c r="H483" t="s">
        <v>634</v>
      </c>
      <c r="I483" t="s">
        <v>635</v>
      </c>
      <c r="J483">
        <v>1</v>
      </c>
      <c r="K483" t="s">
        <v>554</v>
      </c>
      <c r="L483">
        <v>39.5</v>
      </c>
      <c r="M483">
        <f t="shared" si="7"/>
        <v>39.5</v>
      </c>
    </row>
    <row r="484" spans="3:13">
      <c r="C484" s="33" t="s">
        <v>266</v>
      </c>
      <c r="D484" s="33" t="s">
        <v>268</v>
      </c>
      <c r="E484" t="s">
        <v>510</v>
      </c>
      <c r="F484" t="s">
        <v>611</v>
      </c>
      <c r="G484" t="s">
        <v>621</v>
      </c>
      <c r="H484" t="s">
        <v>638</v>
      </c>
      <c r="I484" t="s">
        <v>639</v>
      </c>
      <c r="J484">
        <v>1</v>
      </c>
      <c r="K484" t="s">
        <v>554</v>
      </c>
      <c r="L484">
        <v>17.2</v>
      </c>
      <c r="M484">
        <f t="shared" si="7"/>
        <v>17.2</v>
      </c>
    </row>
    <row r="485" spans="3:13">
      <c r="C485" s="33" t="s">
        <v>266</v>
      </c>
      <c r="D485" s="33" t="s">
        <v>268</v>
      </c>
      <c r="E485" t="s">
        <v>511</v>
      </c>
      <c r="F485" t="s">
        <v>543</v>
      </c>
      <c r="G485" t="s">
        <v>544</v>
      </c>
      <c r="H485" t="s">
        <v>545</v>
      </c>
      <c r="I485" t="s">
        <v>546</v>
      </c>
      <c r="J485">
        <v>1</v>
      </c>
      <c r="K485" t="s">
        <v>547</v>
      </c>
      <c r="L485">
        <v>920</v>
      </c>
      <c r="M485">
        <f t="shared" si="7"/>
        <v>920</v>
      </c>
    </row>
    <row r="486" spans="3:13">
      <c r="C486" s="33" t="s">
        <v>266</v>
      </c>
      <c r="D486" s="33" t="s">
        <v>268</v>
      </c>
      <c r="E486" t="s">
        <v>511</v>
      </c>
      <c r="F486" t="s">
        <v>543</v>
      </c>
      <c r="G486" t="s">
        <v>544</v>
      </c>
      <c r="H486" t="s">
        <v>548</v>
      </c>
      <c r="I486" t="s">
        <v>549</v>
      </c>
      <c r="J486">
        <v>1</v>
      </c>
      <c r="K486" t="s">
        <v>550</v>
      </c>
      <c r="L486">
        <v>380</v>
      </c>
      <c r="M486">
        <f t="shared" si="7"/>
        <v>380</v>
      </c>
    </row>
    <row r="487" spans="3:13">
      <c r="C487" s="33" t="s">
        <v>266</v>
      </c>
      <c r="D487" s="33" t="s">
        <v>268</v>
      </c>
      <c r="E487" t="s">
        <v>511</v>
      </c>
      <c r="F487" t="s">
        <v>543</v>
      </c>
      <c r="G487" t="s">
        <v>551</v>
      </c>
      <c r="H487" t="s">
        <v>552</v>
      </c>
      <c r="I487" t="s">
        <v>553</v>
      </c>
      <c r="J487">
        <v>1</v>
      </c>
      <c r="K487" t="s">
        <v>554</v>
      </c>
      <c r="L487">
        <v>14</v>
      </c>
      <c r="M487">
        <f t="shared" si="7"/>
        <v>14</v>
      </c>
    </row>
    <row r="488" spans="3:13">
      <c r="C488" s="33" t="s">
        <v>266</v>
      </c>
      <c r="D488" s="33" t="s">
        <v>268</v>
      </c>
      <c r="E488" t="s">
        <v>511</v>
      </c>
      <c r="F488" t="s">
        <v>543</v>
      </c>
      <c r="G488" t="s">
        <v>551</v>
      </c>
      <c r="H488" t="s">
        <v>555</v>
      </c>
      <c r="I488" t="s">
        <v>556</v>
      </c>
      <c r="J488">
        <v>1</v>
      </c>
      <c r="K488" t="s">
        <v>554</v>
      </c>
      <c r="L488">
        <v>33</v>
      </c>
      <c r="M488">
        <f t="shared" si="7"/>
        <v>33</v>
      </c>
    </row>
    <row r="489" spans="3:13">
      <c r="C489" s="33" t="s">
        <v>266</v>
      </c>
      <c r="D489" s="33" t="s">
        <v>268</v>
      </c>
      <c r="E489" t="s">
        <v>511</v>
      </c>
      <c r="F489" t="s">
        <v>557</v>
      </c>
      <c r="G489" t="s">
        <v>558</v>
      </c>
      <c r="H489" t="s">
        <v>559</v>
      </c>
      <c r="I489" t="s">
        <v>560</v>
      </c>
      <c r="J489">
        <v>1</v>
      </c>
      <c r="K489" t="s">
        <v>554</v>
      </c>
      <c r="L489">
        <v>0</v>
      </c>
      <c r="M489">
        <f t="shared" si="7"/>
        <v>0</v>
      </c>
    </row>
    <row r="490" spans="3:13">
      <c r="C490" s="33" t="s">
        <v>266</v>
      </c>
      <c r="D490" s="33" t="s">
        <v>268</v>
      </c>
      <c r="E490" t="s">
        <v>511</v>
      </c>
      <c r="F490" t="s">
        <v>557</v>
      </c>
      <c r="G490" t="s">
        <v>561</v>
      </c>
      <c r="H490" t="s">
        <v>562</v>
      </c>
      <c r="I490" t="s">
        <v>563</v>
      </c>
      <c r="J490">
        <v>1</v>
      </c>
      <c r="K490" t="s">
        <v>554</v>
      </c>
      <c r="L490">
        <v>13.38</v>
      </c>
      <c r="M490">
        <f t="shared" si="7"/>
        <v>13.38</v>
      </c>
    </row>
    <row r="491" spans="3:13">
      <c r="C491" s="33" t="s">
        <v>266</v>
      </c>
      <c r="D491" s="33" t="s">
        <v>268</v>
      </c>
      <c r="E491" t="s">
        <v>511</v>
      </c>
      <c r="F491" t="s">
        <v>557</v>
      </c>
      <c r="G491" t="s">
        <v>561</v>
      </c>
      <c r="H491" t="s">
        <v>564</v>
      </c>
      <c r="I491" t="s">
        <v>565</v>
      </c>
      <c r="J491">
        <v>1</v>
      </c>
      <c r="K491" t="s">
        <v>566</v>
      </c>
      <c r="L491">
        <v>26.93</v>
      </c>
      <c r="M491">
        <f t="shared" si="7"/>
        <v>26.93</v>
      </c>
    </row>
    <row r="492" spans="3:13">
      <c r="C492" s="33" t="s">
        <v>266</v>
      </c>
      <c r="D492" s="33" t="s">
        <v>268</v>
      </c>
      <c r="E492" t="s">
        <v>511</v>
      </c>
      <c r="F492" t="s">
        <v>557</v>
      </c>
      <c r="G492" t="s">
        <v>561</v>
      </c>
      <c r="H492" t="s">
        <v>567</v>
      </c>
      <c r="I492" t="s">
        <v>568</v>
      </c>
      <c r="J492">
        <v>1</v>
      </c>
      <c r="K492" t="s">
        <v>566</v>
      </c>
      <c r="L492">
        <v>23.77</v>
      </c>
      <c r="M492">
        <f t="shared" si="7"/>
        <v>23.77</v>
      </c>
    </row>
    <row r="493" spans="3:13">
      <c r="C493" s="33" t="s">
        <v>266</v>
      </c>
      <c r="D493" s="33" t="s">
        <v>268</v>
      </c>
      <c r="E493" t="s">
        <v>511</v>
      </c>
      <c r="F493" t="s">
        <v>557</v>
      </c>
      <c r="G493" t="s">
        <v>561</v>
      </c>
      <c r="H493" t="s">
        <v>569</v>
      </c>
      <c r="I493" t="s">
        <v>570</v>
      </c>
      <c r="J493">
        <v>1</v>
      </c>
      <c r="K493" t="s">
        <v>554</v>
      </c>
      <c r="L493">
        <v>47.7</v>
      </c>
      <c r="M493">
        <f t="shared" si="7"/>
        <v>47.7</v>
      </c>
    </row>
    <row r="494" spans="3:13">
      <c r="C494" s="33" t="s">
        <v>266</v>
      </c>
      <c r="D494" s="33" t="s">
        <v>268</v>
      </c>
      <c r="E494" t="s">
        <v>511</v>
      </c>
      <c r="F494" t="s">
        <v>557</v>
      </c>
      <c r="G494" t="s">
        <v>571</v>
      </c>
      <c r="H494" t="s">
        <v>572</v>
      </c>
      <c r="I494" t="s">
        <v>573</v>
      </c>
      <c r="J494">
        <v>1</v>
      </c>
      <c r="K494" t="s">
        <v>554</v>
      </c>
      <c r="L494">
        <v>1680</v>
      </c>
      <c r="M494">
        <f t="shared" si="7"/>
        <v>1680</v>
      </c>
    </row>
    <row r="495" spans="3:13">
      <c r="C495" s="33" t="s">
        <v>266</v>
      </c>
      <c r="D495" s="33" t="s">
        <v>268</v>
      </c>
      <c r="E495" t="s">
        <v>511</v>
      </c>
      <c r="F495" t="s">
        <v>557</v>
      </c>
      <c r="G495" t="s">
        <v>571</v>
      </c>
      <c r="H495" t="s">
        <v>574</v>
      </c>
      <c r="I495" t="s">
        <v>575</v>
      </c>
      <c r="J495">
        <v>1</v>
      </c>
      <c r="K495" t="s">
        <v>554</v>
      </c>
      <c r="L495">
        <v>10</v>
      </c>
      <c r="M495">
        <f t="shared" si="7"/>
        <v>10</v>
      </c>
    </row>
    <row r="496" spans="3:13">
      <c r="C496" s="33" t="s">
        <v>266</v>
      </c>
      <c r="D496" s="33" t="s">
        <v>268</v>
      </c>
      <c r="E496" t="s">
        <v>511</v>
      </c>
      <c r="F496" t="s">
        <v>557</v>
      </c>
      <c r="G496" t="s">
        <v>576</v>
      </c>
      <c r="H496" t="s">
        <v>577</v>
      </c>
      <c r="I496" t="s">
        <v>578</v>
      </c>
      <c r="J496">
        <v>1</v>
      </c>
      <c r="K496" t="s">
        <v>554</v>
      </c>
      <c r="L496">
        <v>93</v>
      </c>
      <c r="M496">
        <f t="shared" si="7"/>
        <v>93</v>
      </c>
    </row>
    <row r="497" spans="3:13">
      <c r="C497" s="33" t="s">
        <v>266</v>
      </c>
      <c r="D497" s="33" t="s">
        <v>268</v>
      </c>
      <c r="E497" t="s">
        <v>511</v>
      </c>
      <c r="F497" t="s">
        <v>557</v>
      </c>
      <c r="G497" t="s">
        <v>576</v>
      </c>
      <c r="H497" t="s">
        <v>579</v>
      </c>
      <c r="I497" t="s">
        <v>580</v>
      </c>
      <c r="J497">
        <v>1</v>
      </c>
      <c r="K497" t="s">
        <v>554</v>
      </c>
      <c r="L497">
        <v>56</v>
      </c>
      <c r="M497">
        <f t="shared" si="7"/>
        <v>56</v>
      </c>
    </row>
    <row r="498" spans="3:13">
      <c r="C498" s="33" t="s">
        <v>266</v>
      </c>
      <c r="D498" s="33" t="s">
        <v>268</v>
      </c>
      <c r="E498" t="s">
        <v>511</v>
      </c>
      <c r="F498" t="s">
        <v>557</v>
      </c>
      <c r="G498" t="s">
        <v>558</v>
      </c>
      <c r="H498" t="s">
        <v>581</v>
      </c>
      <c r="I498" t="s">
        <v>582</v>
      </c>
      <c r="J498">
        <v>1</v>
      </c>
      <c r="K498" t="s">
        <v>554</v>
      </c>
      <c r="L498">
        <v>84</v>
      </c>
      <c r="M498">
        <f t="shared" si="7"/>
        <v>84</v>
      </c>
    </row>
    <row r="499" spans="3:13">
      <c r="C499" s="33" t="s">
        <v>266</v>
      </c>
      <c r="D499" s="33" t="s">
        <v>268</v>
      </c>
      <c r="E499" t="s">
        <v>511</v>
      </c>
      <c r="F499" t="s">
        <v>557</v>
      </c>
      <c r="G499" t="s">
        <v>583</v>
      </c>
      <c r="H499" t="s">
        <v>584</v>
      </c>
      <c r="I499" t="s">
        <v>585</v>
      </c>
      <c r="J499">
        <v>1</v>
      </c>
      <c r="K499" t="s">
        <v>554</v>
      </c>
      <c r="L499">
        <v>165</v>
      </c>
      <c r="M499">
        <f t="shared" si="7"/>
        <v>165</v>
      </c>
    </row>
    <row r="500" spans="3:13">
      <c r="C500" s="33" t="s">
        <v>266</v>
      </c>
      <c r="D500" s="33" t="s">
        <v>268</v>
      </c>
      <c r="E500" t="s">
        <v>511</v>
      </c>
      <c r="F500" t="s">
        <v>557</v>
      </c>
      <c r="G500" t="s">
        <v>561</v>
      </c>
      <c r="H500" t="s">
        <v>586</v>
      </c>
      <c r="I500" t="s">
        <v>587</v>
      </c>
      <c r="J500">
        <v>1</v>
      </c>
      <c r="K500" t="s">
        <v>554</v>
      </c>
      <c r="L500">
        <v>43</v>
      </c>
      <c r="M500">
        <f t="shared" si="7"/>
        <v>43</v>
      </c>
    </row>
    <row r="501" spans="3:13">
      <c r="C501" s="33" t="s">
        <v>266</v>
      </c>
      <c r="D501" s="33" t="s">
        <v>268</v>
      </c>
      <c r="E501" t="s">
        <v>511</v>
      </c>
      <c r="F501" t="s">
        <v>557</v>
      </c>
      <c r="G501" t="s">
        <v>588</v>
      </c>
      <c r="H501" t="s">
        <v>589</v>
      </c>
      <c r="I501" t="s">
        <v>590</v>
      </c>
      <c r="J501">
        <v>1</v>
      </c>
      <c r="K501" t="s">
        <v>554</v>
      </c>
      <c r="L501">
        <v>425</v>
      </c>
      <c r="M501">
        <f t="shared" si="7"/>
        <v>425</v>
      </c>
    </row>
    <row r="502" spans="3:13">
      <c r="C502" s="33" t="s">
        <v>266</v>
      </c>
      <c r="D502" s="33" t="s">
        <v>268</v>
      </c>
      <c r="E502" t="s">
        <v>511</v>
      </c>
      <c r="F502" t="s">
        <v>557</v>
      </c>
      <c r="G502" t="s">
        <v>561</v>
      </c>
      <c r="H502" t="s">
        <v>591</v>
      </c>
      <c r="I502" t="s">
        <v>592</v>
      </c>
      <c r="J502">
        <v>1</v>
      </c>
      <c r="K502" t="s">
        <v>554</v>
      </c>
      <c r="L502">
        <v>77</v>
      </c>
      <c r="M502">
        <f t="shared" si="7"/>
        <v>77</v>
      </c>
    </row>
    <row r="503" spans="3:13">
      <c r="C503" s="33" t="s">
        <v>266</v>
      </c>
      <c r="D503" s="33" t="s">
        <v>268</v>
      </c>
      <c r="E503" t="s">
        <v>511</v>
      </c>
      <c r="F503" t="s">
        <v>557</v>
      </c>
      <c r="G503" t="s">
        <v>544</v>
      </c>
      <c r="H503" t="s">
        <v>593</v>
      </c>
      <c r="I503" t="s">
        <v>594</v>
      </c>
      <c r="J503">
        <v>1</v>
      </c>
      <c r="K503" t="s">
        <v>595</v>
      </c>
      <c r="L503">
        <v>415</v>
      </c>
      <c r="M503">
        <f t="shared" si="7"/>
        <v>415</v>
      </c>
    </row>
    <row r="504" spans="3:13">
      <c r="C504" s="33" t="s">
        <v>266</v>
      </c>
      <c r="D504" s="33" t="s">
        <v>268</v>
      </c>
      <c r="E504" t="s">
        <v>511</v>
      </c>
      <c r="F504" t="s">
        <v>557</v>
      </c>
      <c r="G504" t="s">
        <v>596</v>
      </c>
      <c r="H504" t="s">
        <v>597</v>
      </c>
      <c r="I504" t="s">
        <v>598</v>
      </c>
      <c r="J504">
        <v>1</v>
      </c>
      <c r="K504" t="s">
        <v>599</v>
      </c>
      <c r="L504">
        <v>53</v>
      </c>
      <c r="M504">
        <f t="shared" si="7"/>
        <v>53</v>
      </c>
    </row>
    <row r="505" spans="3:13">
      <c r="C505" s="33" t="s">
        <v>266</v>
      </c>
      <c r="D505" s="33" t="s">
        <v>268</v>
      </c>
      <c r="E505" t="s">
        <v>511</v>
      </c>
      <c r="F505" t="s">
        <v>557</v>
      </c>
      <c r="G505" t="s">
        <v>561</v>
      </c>
      <c r="H505" t="s">
        <v>481</v>
      </c>
      <c r="I505" t="s">
        <v>600</v>
      </c>
      <c r="J505">
        <v>1</v>
      </c>
      <c r="K505" t="s">
        <v>601</v>
      </c>
      <c r="L505">
        <v>44.38</v>
      </c>
      <c r="M505">
        <f t="shared" si="7"/>
        <v>44.38</v>
      </c>
    </row>
    <row r="506" spans="3:13">
      <c r="C506" s="33" t="s">
        <v>266</v>
      </c>
      <c r="D506" s="33" t="s">
        <v>268</v>
      </c>
      <c r="E506" t="s">
        <v>511</v>
      </c>
      <c r="F506" t="s">
        <v>557</v>
      </c>
      <c r="G506" t="s">
        <v>571</v>
      </c>
      <c r="H506" t="s">
        <v>602</v>
      </c>
      <c r="I506" t="s">
        <v>603</v>
      </c>
      <c r="J506">
        <v>1</v>
      </c>
      <c r="K506" t="s">
        <v>604</v>
      </c>
      <c r="L506">
        <v>48.27</v>
      </c>
      <c r="M506">
        <f t="shared" si="7"/>
        <v>48.27</v>
      </c>
    </row>
    <row r="507" spans="3:13">
      <c r="C507" s="33" t="s">
        <v>266</v>
      </c>
      <c r="D507" s="33" t="s">
        <v>268</v>
      </c>
      <c r="E507" t="s">
        <v>511</v>
      </c>
      <c r="F507" t="s">
        <v>557</v>
      </c>
      <c r="G507" t="s">
        <v>561</v>
      </c>
      <c r="H507" t="s">
        <v>482</v>
      </c>
      <c r="I507" t="s">
        <v>605</v>
      </c>
      <c r="J507">
        <v>1</v>
      </c>
      <c r="K507" t="s">
        <v>566</v>
      </c>
      <c r="L507">
        <v>15.82</v>
      </c>
      <c r="M507">
        <f t="shared" si="7"/>
        <v>15.82</v>
      </c>
    </row>
    <row r="508" spans="3:13">
      <c r="C508" s="33" t="s">
        <v>266</v>
      </c>
      <c r="D508" s="33" t="s">
        <v>268</v>
      </c>
      <c r="E508" t="s">
        <v>511</v>
      </c>
      <c r="F508" t="s">
        <v>557</v>
      </c>
      <c r="G508" t="s">
        <v>561</v>
      </c>
      <c r="H508" t="s">
        <v>606</v>
      </c>
      <c r="I508" t="s">
        <v>607</v>
      </c>
      <c r="J508">
        <v>1</v>
      </c>
      <c r="K508" t="s">
        <v>550</v>
      </c>
      <c r="L508">
        <v>4.29</v>
      </c>
      <c r="M508">
        <f t="shared" si="7"/>
        <v>4.29</v>
      </c>
    </row>
    <row r="509" spans="3:13">
      <c r="C509" s="33" t="s">
        <v>266</v>
      </c>
      <c r="D509" s="33" t="s">
        <v>268</v>
      </c>
      <c r="E509" t="s">
        <v>511</v>
      </c>
      <c r="F509" t="s">
        <v>557</v>
      </c>
      <c r="G509" t="s">
        <v>561</v>
      </c>
      <c r="H509" t="s">
        <v>608</v>
      </c>
      <c r="I509" t="s">
        <v>609</v>
      </c>
      <c r="J509">
        <v>1</v>
      </c>
      <c r="K509" t="s">
        <v>610</v>
      </c>
      <c r="L509">
        <v>58</v>
      </c>
      <c r="M509">
        <f t="shared" si="7"/>
        <v>58</v>
      </c>
    </row>
    <row r="510" spans="3:13">
      <c r="C510" s="33" t="s">
        <v>266</v>
      </c>
      <c r="D510" s="33" t="s">
        <v>268</v>
      </c>
      <c r="E510" t="s">
        <v>511</v>
      </c>
      <c r="F510" t="s">
        <v>611</v>
      </c>
      <c r="G510" t="s">
        <v>544</v>
      </c>
      <c r="H510" t="s">
        <v>612</v>
      </c>
      <c r="I510" t="s">
        <v>613</v>
      </c>
      <c r="J510">
        <v>1</v>
      </c>
      <c r="K510" t="s">
        <v>595</v>
      </c>
      <c r="L510">
        <v>290</v>
      </c>
      <c r="M510">
        <f t="shared" si="7"/>
        <v>290</v>
      </c>
    </row>
    <row r="511" spans="3:13">
      <c r="C511" s="33" t="s">
        <v>266</v>
      </c>
      <c r="D511" s="33" t="s">
        <v>268</v>
      </c>
      <c r="E511" t="s">
        <v>511</v>
      </c>
      <c r="F511" t="s">
        <v>611</v>
      </c>
      <c r="G511" t="s">
        <v>571</v>
      </c>
      <c r="H511" t="s">
        <v>614</v>
      </c>
      <c r="I511" t="s">
        <v>615</v>
      </c>
      <c r="J511">
        <v>1</v>
      </c>
      <c r="K511" t="s">
        <v>554</v>
      </c>
      <c r="L511">
        <v>100</v>
      </c>
      <c r="M511">
        <f t="shared" si="7"/>
        <v>100</v>
      </c>
    </row>
    <row r="512" spans="3:13">
      <c r="C512" s="33" t="s">
        <v>266</v>
      </c>
      <c r="D512" s="33" t="s">
        <v>268</v>
      </c>
      <c r="E512" t="s">
        <v>511</v>
      </c>
      <c r="F512" t="s">
        <v>611</v>
      </c>
      <c r="G512" t="s">
        <v>561</v>
      </c>
      <c r="H512" t="s">
        <v>616</v>
      </c>
      <c r="I512" t="s">
        <v>617</v>
      </c>
      <c r="J512">
        <v>1</v>
      </c>
      <c r="K512" t="s">
        <v>618</v>
      </c>
      <c r="L512">
        <v>55</v>
      </c>
      <c r="M512">
        <f t="shared" si="7"/>
        <v>55</v>
      </c>
    </row>
    <row r="513" spans="3:13">
      <c r="C513" s="33" t="s">
        <v>266</v>
      </c>
      <c r="D513" s="33" t="s">
        <v>268</v>
      </c>
      <c r="E513" t="s">
        <v>511</v>
      </c>
      <c r="F513" t="s">
        <v>611</v>
      </c>
      <c r="G513" t="s">
        <v>576</v>
      </c>
      <c r="H513" t="s">
        <v>619</v>
      </c>
      <c r="I513" t="s">
        <v>620</v>
      </c>
      <c r="J513">
        <v>1</v>
      </c>
      <c r="K513" t="s">
        <v>554</v>
      </c>
      <c r="L513">
        <v>66.26</v>
      </c>
      <c r="M513">
        <f t="shared" si="7"/>
        <v>66.26</v>
      </c>
    </row>
    <row r="514" spans="3:13">
      <c r="C514" s="33" t="s">
        <v>266</v>
      </c>
      <c r="D514" s="33" t="s">
        <v>268</v>
      </c>
      <c r="E514" t="s">
        <v>511</v>
      </c>
      <c r="F514" t="s">
        <v>611</v>
      </c>
      <c r="G514" t="s">
        <v>621</v>
      </c>
      <c r="H514" t="s">
        <v>622</v>
      </c>
      <c r="I514" t="s">
        <v>623</v>
      </c>
      <c r="J514">
        <v>1</v>
      </c>
      <c r="K514" t="s">
        <v>554</v>
      </c>
      <c r="L514">
        <v>101</v>
      </c>
      <c r="M514">
        <f t="shared" si="7"/>
        <v>101</v>
      </c>
    </row>
    <row r="515" spans="3:13">
      <c r="C515" s="33" t="s">
        <v>266</v>
      </c>
      <c r="D515" s="33" t="s">
        <v>268</v>
      </c>
      <c r="E515" t="s">
        <v>511</v>
      </c>
      <c r="F515" t="s">
        <v>611</v>
      </c>
      <c r="G515" t="s">
        <v>621</v>
      </c>
      <c r="H515" t="s">
        <v>624</v>
      </c>
      <c r="I515" t="s">
        <v>625</v>
      </c>
      <c r="J515">
        <v>1</v>
      </c>
      <c r="K515" t="s">
        <v>554</v>
      </c>
      <c r="L515">
        <v>418</v>
      </c>
      <c r="M515">
        <f t="shared" si="7"/>
        <v>418</v>
      </c>
    </row>
    <row r="516" spans="3:13">
      <c r="C516" s="33" t="s">
        <v>266</v>
      </c>
      <c r="D516" s="33" t="s">
        <v>268</v>
      </c>
      <c r="E516" t="s">
        <v>511</v>
      </c>
      <c r="F516" t="s">
        <v>611</v>
      </c>
      <c r="G516" t="s">
        <v>621</v>
      </c>
      <c r="H516" t="s">
        <v>626</v>
      </c>
      <c r="I516" t="s">
        <v>627</v>
      </c>
      <c r="J516">
        <v>1</v>
      </c>
      <c r="K516" t="s">
        <v>554</v>
      </c>
      <c r="L516">
        <v>37</v>
      </c>
      <c r="M516">
        <f t="shared" si="7"/>
        <v>37</v>
      </c>
    </row>
    <row r="517" spans="3:13">
      <c r="C517" s="33" t="s">
        <v>266</v>
      </c>
      <c r="D517" s="33" t="s">
        <v>268</v>
      </c>
      <c r="E517" t="s">
        <v>511</v>
      </c>
      <c r="F517" t="s">
        <v>611</v>
      </c>
      <c r="G517" t="s">
        <v>571</v>
      </c>
      <c r="H517" t="s">
        <v>628</v>
      </c>
      <c r="I517" t="s">
        <v>629</v>
      </c>
      <c r="J517">
        <v>1</v>
      </c>
      <c r="K517" t="s">
        <v>604</v>
      </c>
      <c r="L517">
        <v>370</v>
      </c>
      <c r="M517">
        <f t="shared" ref="M517:M580" si="8">J517*L517</f>
        <v>370</v>
      </c>
    </row>
    <row r="518" spans="3:13">
      <c r="C518" s="33" t="s">
        <v>266</v>
      </c>
      <c r="D518" s="33" t="s">
        <v>268</v>
      </c>
      <c r="E518" t="s">
        <v>511</v>
      </c>
      <c r="F518" t="s">
        <v>611</v>
      </c>
      <c r="G518" t="s">
        <v>551</v>
      </c>
      <c r="H518" t="s">
        <v>630</v>
      </c>
      <c r="I518" t="s">
        <v>631</v>
      </c>
      <c r="J518">
        <v>1</v>
      </c>
      <c r="K518" t="s">
        <v>566</v>
      </c>
      <c r="L518">
        <v>4.7</v>
      </c>
      <c r="M518">
        <f t="shared" si="8"/>
        <v>4.7</v>
      </c>
    </row>
    <row r="519" spans="3:13">
      <c r="C519" s="33" t="s">
        <v>266</v>
      </c>
      <c r="D519" s="33" t="s">
        <v>268</v>
      </c>
      <c r="E519" t="s">
        <v>511</v>
      </c>
      <c r="F519" t="s">
        <v>611</v>
      </c>
      <c r="G519" t="s">
        <v>621</v>
      </c>
      <c r="H519" t="s">
        <v>632</v>
      </c>
      <c r="I519" t="s">
        <v>633</v>
      </c>
      <c r="J519">
        <v>1</v>
      </c>
      <c r="K519" t="s">
        <v>601</v>
      </c>
      <c r="L519">
        <v>370</v>
      </c>
      <c r="M519">
        <f t="shared" si="8"/>
        <v>370</v>
      </c>
    </row>
    <row r="520" spans="3:13">
      <c r="C520" s="33" t="s">
        <v>266</v>
      </c>
      <c r="D520" s="33" t="s">
        <v>268</v>
      </c>
      <c r="E520" t="s">
        <v>511</v>
      </c>
      <c r="F520" t="s">
        <v>611</v>
      </c>
      <c r="G520" t="s">
        <v>621</v>
      </c>
      <c r="H520" t="s">
        <v>634</v>
      </c>
      <c r="I520" t="s">
        <v>635</v>
      </c>
      <c r="J520">
        <v>1</v>
      </c>
      <c r="K520" t="s">
        <v>554</v>
      </c>
      <c r="L520">
        <v>39.5</v>
      </c>
      <c r="M520">
        <f t="shared" si="8"/>
        <v>39.5</v>
      </c>
    </row>
    <row r="521" spans="3:13">
      <c r="C521" s="33" t="s">
        <v>266</v>
      </c>
      <c r="D521" s="33" t="s">
        <v>268</v>
      </c>
      <c r="E521" t="s">
        <v>511</v>
      </c>
      <c r="F521" t="s">
        <v>611</v>
      </c>
      <c r="G521" t="s">
        <v>583</v>
      </c>
      <c r="H521" t="s">
        <v>636</v>
      </c>
      <c r="I521" t="s">
        <v>637</v>
      </c>
      <c r="J521">
        <v>1</v>
      </c>
      <c r="K521" t="s">
        <v>554</v>
      </c>
      <c r="L521">
        <v>41</v>
      </c>
      <c r="M521">
        <f t="shared" si="8"/>
        <v>41</v>
      </c>
    </row>
    <row r="522" spans="3:13">
      <c r="C522" s="33" t="s">
        <v>266</v>
      </c>
      <c r="D522" s="33" t="s">
        <v>268</v>
      </c>
      <c r="E522" t="s">
        <v>511</v>
      </c>
      <c r="F522" t="s">
        <v>611</v>
      </c>
      <c r="G522" t="s">
        <v>621</v>
      </c>
      <c r="H522" t="s">
        <v>638</v>
      </c>
      <c r="I522" t="s">
        <v>639</v>
      </c>
      <c r="J522">
        <v>1</v>
      </c>
      <c r="K522" t="s">
        <v>554</v>
      </c>
      <c r="L522">
        <v>17.2</v>
      </c>
      <c r="M522">
        <f t="shared" si="8"/>
        <v>17.2</v>
      </c>
    </row>
    <row r="523" spans="3:13">
      <c r="C523" s="33" t="s">
        <v>266</v>
      </c>
      <c r="D523" s="33" t="s">
        <v>268</v>
      </c>
      <c r="E523" t="s">
        <v>512</v>
      </c>
      <c r="F523" t="s">
        <v>543</v>
      </c>
      <c r="G523" t="s">
        <v>544</v>
      </c>
      <c r="H523" t="s">
        <v>545</v>
      </c>
      <c r="I523" t="s">
        <v>546</v>
      </c>
      <c r="J523">
        <v>1</v>
      </c>
      <c r="K523" t="s">
        <v>547</v>
      </c>
      <c r="L523">
        <v>920</v>
      </c>
      <c r="M523">
        <f t="shared" si="8"/>
        <v>920</v>
      </c>
    </row>
    <row r="524" spans="3:13">
      <c r="C524" s="33" t="s">
        <v>266</v>
      </c>
      <c r="D524" s="33" t="s">
        <v>268</v>
      </c>
      <c r="E524" t="s">
        <v>512</v>
      </c>
      <c r="F524" t="s">
        <v>543</v>
      </c>
      <c r="G524" t="s">
        <v>544</v>
      </c>
      <c r="H524" t="s">
        <v>548</v>
      </c>
      <c r="I524" t="s">
        <v>549</v>
      </c>
      <c r="J524">
        <v>1</v>
      </c>
      <c r="K524" t="s">
        <v>550</v>
      </c>
      <c r="L524">
        <v>380</v>
      </c>
      <c r="M524">
        <f t="shared" si="8"/>
        <v>380</v>
      </c>
    </row>
    <row r="525" spans="3:13">
      <c r="C525" s="33" t="s">
        <v>266</v>
      </c>
      <c r="D525" s="33" t="s">
        <v>268</v>
      </c>
      <c r="E525" t="s">
        <v>512</v>
      </c>
      <c r="F525" t="s">
        <v>543</v>
      </c>
      <c r="G525" t="s">
        <v>551</v>
      </c>
      <c r="H525" t="s">
        <v>552</v>
      </c>
      <c r="I525" t="s">
        <v>553</v>
      </c>
      <c r="J525">
        <v>1</v>
      </c>
      <c r="K525" t="s">
        <v>554</v>
      </c>
      <c r="L525">
        <v>14</v>
      </c>
      <c r="M525">
        <f t="shared" si="8"/>
        <v>14</v>
      </c>
    </row>
    <row r="526" spans="3:13">
      <c r="C526" s="33" t="s">
        <v>266</v>
      </c>
      <c r="D526" s="33" t="s">
        <v>268</v>
      </c>
      <c r="E526" t="s">
        <v>512</v>
      </c>
      <c r="F526" t="s">
        <v>543</v>
      </c>
      <c r="G526" t="s">
        <v>551</v>
      </c>
      <c r="H526" t="s">
        <v>555</v>
      </c>
      <c r="I526" t="s">
        <v>556</v>
      </c>
      <c r="J526">
        <v>1</v>
      </c>
      <c r="K526" t="s">
        <v>554</v>
      </c>
      <c r="L526">
        <v>33</v>
      </c>
      <c r="M526">
        <f t="shared" si="8"/>
        <v>33</v>
      </c>
    </row>
    <row r="527" spans="3:13">
      <c r="C527" s="33" t="s">
        <v>266</v>
      </c>
      <c r="D527" s="33" t="s">
        <v>268</v>
      </c>
      <c r="E527" t="s">
        <v>512</v>
      </c>
      <c r="F527" t="s">
        <v>557</v>
      </c>
      <c r="G527" t="s">
        <v>558</v>
      </c>
      <c r="H527" t="s">
        <v>559</v>
      </c>
      <c r="I527" t="s">
        <v>560</v>
      </c>
      <c r="J527">
        <v>1</v>
      </c>
      <c r="K527" t="s">
        <v>554</v>
      </c>
      <c r="L527">
        <v>0</v>
      </c>
      <c r="M527">
        <f t="shared" si="8"/>
        <v>0</v>
      </c>
    </row>
    <row r="528" spans="3:13">
      <c r="C528" s="33" t="s">
        <v>266</v>
      </c>
      <c r="D528" s="33" t="s">
        <v>268</v>
      </c>
      <c r="E528" t="s">
        <v>512</v>
      </c>
      <c r="F528" t="s">
        <v>557</v>
      </c>
      <c r="G528" t="s">
        <v>561</v>
      </c>
      <c r="H528" t="s">
        <v>562</v>
      </c>
      <c r="I528" t="s">
        <v>563</v>
      </c>
      <c r="J528">
        <v>1</v>
      </c>
      <c r="K528" t="s">
        <v>554</v>
      </c>
      <c r="L528">
        <v>13.38</v>
      </c>
      <c r="M528">
        <f t="shared" si="8"/>
        <v>13.38</v>
      </c>
    </row>
    <row r="529" spans="3:13">
      <c r="C529" s="33" t="s">
        <v>266</v>
      </c>
      <c r="D529" s="33" t="s">
        <v>268</v>
      </c>
      <c r="E529" t="s">
        <v>512</v>
      </c>
      <c r="F529" t="s">
        <v>557</v>
      </c>
      <c r="G529" t="s">
        <v>561</v>
      </c>
      <c r="H529" t="s">
        <v>564</v>
      </c>
      <c r="I529" t="s">
        <v>565</v>
      </c>
      <c r="J529">
        <v>1</v>
      </c>
      <c r="K529" t="s">
        <v>566</v>
      </c>
      <c r="L529">
        <v>26.93</v>
      </c>
      <c r="M529">
        <f t="shared" si="8"/>
        <v>26.93</v>
      </c>
    </row>
    <row r="530" spans="3:13">
      <c r="C530" s="33" t="s">
        <v>266</v>
      </c>
      <c r="D530" s="33" t="s">
        <v>268</v>
      </c>
      <c r="E530" t="s">
        <v>512</v>
      </c>
      <c r="F530" t="s">
        <v>557</v>
      </c>
      <c r="G530" t="s">
        <v>561</v>
      </c>
      <c r="H530" t="s">
        <v>567</v>
      </c>
      <c r="I530" t="s">
        <v>568</v>
      </c>
      <c r="J530">
        <v>1</v>
      </c>
      <c r="K530" t="s">
        <v>566</v>
      </c>
      <c r="L530">
        <v>23.77</v>
      </c>
      <c r="M530">
        <f t="shared" si="8"/>
        <v>23.77</v>
      </c>
    </row>
    <row r="531" spans="3:13">
      <c r="C531" s="33" t="s">
        <v>266</v>
      </c>
      <c r="D531" s="33" t="s">
        <v>268</v>
      </c>
      <c r="E531" t="s">
        <v>512</v>
      </c>
      <c r="F531" t="s">
        <v>557</v>
      </c>
      <c r="G531" t="s">
        <v>561</v>
      </c>
      <c r="H531" t="s">
        <v>569</v>
      </c>
      <c r="I531" t="s">
        <v>570</v>
      </c>
      <c r="J531">
        <v>1</v>
      </c>
      <c r="K531" t="s">
        <v>554</v>
      </c>
      <c r="L531">
        <v>47.7</v>
      </c>
      <c r="M531">
        <f t="shared" si="8"/>
        <v>47.7</v>
      </c>
    </row>
    <row r="532" spans="3:13">
      <c r="C532" s="33" t="s">
        <v>266</v>
      </c>
      <c r="D532" s="33" t="s">
        <v>268</v>
      </c>
      <c r="E532" t="s">
        <v>512</v>
      </c>
      <c r="F532" t="s">
        <v>557</v>
      </c>
      <c r="G532" t="s">
        <v>571</v>
      </c>
      <c r="H532" t="s">
        <v>572</v>
      </c>
      <c r="I532" t="s">
        <v>573</v>
      </c>
      <c r="J532">
        <v>1</v>
      </c>
      <c r="K532" t="s">
        <v>554</v>
      </c>
      <c r="L532">
        <v>1680</v>
      </c>
      <c r="M532">
        <f t="shared" si="8"/>
        <v>1680</v>
      </c>
    </row>
    <row r="533" spans="3:13">
      <c r="C533" s="33" t="s">
        <v>266</v>
      </c>
      <c r="D533" s="33" t="s">
        <v>268</v>
      </c>
      <c r="E533" t="s">
        <v>512</v>
      </c>
      <c r="F533" t="s">
        <v>557</v>
      </c>
      <c r="G533" t="s">
        <v>571</v>
      </c>
      <c r="H533" t="s">
        <v>574</v>
      </c>
      <c r="I533" t="s">
        <v>575</v>
      </c>
      <c r="J533">
        <v>1</v>
      </c>
      <c r="K533" t="s">
        <v>554</v>
      </c>
      <c r="L533">
        <v>10</v>
      </c>
      <c r="M533">
        <f t="shared" si="8"/>
        <v>10</v>
      </c>
    </row>
    <row r="534" spans="3:13">
      <c r="C534" s="33" t="s">
        <v>266</v>
      </c>
      <c r="D534" s="33" t="s">
        <v>268</v>
      </c>
      <c r="E534" t="s">
        <v>512</v>
      </c>
      <c r="F534" t="s">
        <v>557</v>
      </c>
      <c r="G534" t="s">
        <v>576</v>
      </c>
      <c r="H534" t="s">
        <v>577</v>
      </c>
      <c r="I534" t="s">
        <v>578</v>
      </c>
      <c r="J534">
        <v>1</v>
      </c>
      <c r="K534" t="s">
        <v>554</v>
      </c>
      <c r="L534">
        <v>93</v>
      </c>
      <c r="M534">
        <f t="shared" si="8"/>
        <v>93</v>
      </c>
    </row>
    <row r="535" spans="3:13">
      <c r="C535" s="33" t="s">
        <v>266</v>
      </c>
      <c r="D535" s="33" t="s">
        <v>268</v>
      </c>
      <c r="E535" t="s">
        <v>512</v>
      </c>
      <c r="F535" t="s">
        <v>557</v>
      </c>
      <c r="G535" t="s">
        <v>576</v>
      </c>
      <c r="H535" t="s">
        <v>579</v>
      </c>
      <c r="I535" t="s">
        <v>580</v>
      </c>
      <c r="J535">
        <v>2</v>
      </c>
      <c r="K535" t="s">
        <v>554</v>
      </c>
      <c r="L535">
        <v>56</v>
      </c>
      <c r="M535">
        <f t="shared" si="8"/>
        <v>112</v>
      </c>
    </row>
    <row r="536" spans="3:13">
      <c r="C536" s="33" t="s">
        <v>266</v>
      </c>
      <c r="D536" s="33" t="s">
        <v>268</v>
      </c>
      <c r="E536" t="s">
        <v>512</v>
      </c>
      <c r="F536" t="s">
        <v>557</v>
      </c>
      <c r="G536" t="s">
        <v>558</v>
      </c>
      <c r="H536" t="s">
        <v>581</v>
      </c>
      <c r="I536" t="s">
        <v>582</v>
      </c>
      <c r="J536">
        <v>1</v>
      </c>
      <c r="K536" t="s">
        <v>554</v>
      </c>
      <c r="L536">
        <v>84</v>
      </c>
      <c r="M536">
        <f t="shared" si="8"/>
        <v>84</v>
      </c>
    </row>
    <row r="537" spans="3:13">
      <c r="C537" s="33" t="s">
        <v>266</v>
      </c>
      <c r="D537" s="33" t="s">
        <v>268</v>
      </c>
      <c r="E537" t="s">
        <v>512</v>
      </c>
      <c r="F537" t="s">
        <v>557</v>
      </c>
      <c r="G537" t="s">
        <v>583</v>
      </c>
      <c r="H537" t="s">
        <v>584</v>
      </c>
      <c r="I537" t="s">
        <v>585</v>
      </c>
      <c r="J537">
        <v>1</v>
      </c>
      <c r="K537" t="s">
        <v>554</v>
      </c>
      <c r="L537">
        <v>165</v>
      </c>
      <c r="M537">
        <f t="shared" si="8"/>
        <v>165</v>
      </c>
    </row>
    <row r="538" spans="3:13">
      <c r="C538" s="33" t="s">
        <v>266</v>
      </c>
      <c r="D538" s="33" t="s">
        <v>268</v>
      </c>
      <c r="E538" t="s">
        <v>512</v>
      </c>
      <c r="F538" t="s">
        <v>557</v>
      </c>
      <c r="G538" t="s">
        <v>561</v>
      </c>
      <c r="H538" t="s">
        <v>586</v>
      </c>
      <c r="I538" t="s">
        <v>587</v>
      </c>
      <c r="J538">
        <v>1</v>
      </c>
      <c r="K538" t="s">
        <v>554</v>
      </c>
      <c r="L538">
        <v>43</v>
      </c>
      <c r="M538">
        <f t="shared" si="8"/>
        <v>43</v>
      </c>
    </row>
    <row r="539" spans="3:13">
      <c r="C539" s="33" t="s">
        <v>266</v>
      </c>
      <c r="D539" s="33" t="s">
        <v>268</v>
      </c>
      <c r="E539" t="s">
        <v>512</v>
      </c>
      <c r="F539" t="s">
        <v>557</v>
      </c>
      <c r="G539" t="s">
        <v>588</v>
      </c>
      <c r="H539" t="s">
        <v>589</v>
      </c>
      <c r="I539" t="s">
        <v>590</v>
      </c>
      <c r="J539">
        <v>1</v>
      </c>
      <c r="K539" t="s">
        <v>554</v>
      </c>
      <c r="L539">
        <v>425</v>
      </c>
      <c r="M539">
        <f t="shared" si="8"/>
        <v>425</v>
      </c>
    </row>
    <row r="540" spans="3:13">
      <c r="C540" s="33" t="s">
        <v>266</v>
      </c>
      <c r="D540" s="33" t="s">
        <v>268</v>
      </c>
      <c r="E540" t="s">
        <v>512</v>
      </c>
      <c r="F540" t="s">
        <v>557</v>
      </c>
      <c r="G540" t="s">
        <v>561</v>
      </c>
      <c r="H540" t="s">
        <v>591</v>
      </c>
      <c r="I540" t="s">
        <v>592</v>
      </c>
      <c r="J540">
        <v>1</v>
      </c>
      <c r="K540" t="s">
        <v>554</v>
      </c>
      <c r="L540">
        <v>77</v>
      </c>
      <c r="M540">
        <f t="shared" si="8"/>
        <v>77</v>
      </c>
    </row>
    <row r="541" spans="3:13">
      <c r="C541" s="33" t="s">
        <v>266</v>
      </c>
      <c r="D541" s="33" t="s">
        <v>268</v>
      </c>
      <c r="E541" t="s">
        <v>512</v>
      </c>
      <c r="F541" t="s">
        <v>557</v>
      </c>
      <c r="G541" t="s">
        <v>544</v>
      </c>
      <c r="H541" t="s">
        <v>593</v>
      </c>
      <c r="I541" t="s">
        <v>594</v>
      </c>
      <c r="J541">
        <v>1</v>
      </c>
      <c r="K541" t="s">
        <v>595</v>
      </c>
      <c r="L541">
        <v>415</v>
      </c>
      <c r="M541">
        <f t="shared" si="8"/>
        <v>415</v>
      </c>
    </row>
    <row r="542" spans="3:13">
      <c r="C542" s="33" t="s">
        <v>266</v>
      </c>
      <c r="D542" s="33" t="s">
        <v>268</v>
      </c>
      <c r="E542" t="s">
        <v>512</v>
      </c>
      <c r="F542" t="s">
        <v>557</v>
      </c>
      <c r="G542" t="s">
        <v>596</v>
      </c>
      <c r="H542" t="s">
        <v>597</v>
      </c>
      <c r="I542" t="s">
        <v>640</v>
      </c>
      <c r="J542">
        <v>1</v>
      </c>
      <c r="K542" t="s">
        <v>641</v>
      </c>
      <c r="L542">
        <v>77</v>
      </c>
      <c r="M542">
        <f t="shared" si="8"/>
        <v>77</v>
      </c>
    </row>
    <row r="543" spans="3:13">
      <c r="C543" s="33" t="s">
        <v>266</v>
      </c>
      <c r="D543" s="33" t="s">
        <v>268</v>
      </c>
      <c r="E543" t="s">
        <v>512</v>
      </c>
      <c r="F543" t="s">
        <v>557</v>
      </c>
      <c r="G543" t="s">
        <v>561</v>
      </c>
      <c r="H543" t="s">
        <v>481</v>
      </c>
      <c r="I543" t="s">
        <v>600</v>
      </c>
      <c r="J543">
        <v>1</v>
      </c>
      <c r="K543" t="s">
        <v>601</v>
      </c>
      <c r="L543">
        <v>44.38</v>
      </c>
      <c r="M543">
        <f t="shared" si="8"/>
        <v>44.38</v>
      </c>
    </row>
    <row r="544" spans="3:13">
      <c r="C544" s="33" t="s">
        <v>266</v>
      </c>
      <c r="D544" s="33" t="s">
        <v>268</v>
      </c>
      <c r="E544" t="s">
        <v>512</v>
      </c>
      <c r="F544" t="s">
        <v>557</v>
      </c>
      <c r="G544" t="s">
        <v>571</v>
      </c>
      <c r="H544" t="s">
        <v>602</v>
      </c>
      <c r="I544" t="s">
        <v>603</v>
      </c>
      <c r="J544">
        <v>1</v>
      </c>
      <c r="K544" t="s">
        <v>604</v>
      </c>
      <c r="L544">
        <v>48.27</v>
      </c>
      <c r="M544">
        <f t="shared" si="8"/>
        <v>48.27</v>
      </c>
    </row>
    <row r="545" spans="3:13">
      <c r="C545" s="33" t="s">
        <v>266</v>
      </c>
      <c r="D545" s="33" t="s">
        <v>268</v>
      </c>
      <c r="E545" t="s">
        <v>512</v>
      </c>
      <c r="F545" t="s">
        <v>557</v>
      </c>
      <c r="G545" t="s">
        <v>561</v>
      </c>
      <c r="H545" t="s">
        <v>482</v>
      </c>
      <c r="I545" t="s">
        <v>605</v>
      </c>
      <c r="J545">
        <v>1</v>
      </c>
      <c r="K545" t="s">
        <v>566</v>
      </c>
      <c r="L545">
        <v>15.82</v>
      </c>
      <c r="M545">
        <f t="shared" si="8"/>
        <v>15.82</v>
      </c>
    </row>
    <row r="546" spans="3:13">
      <c r="C546" s="33" t="s">
        <v>266</v>
      </c>
      <c r="D546" s="33" t="s">
        <v>268</v>
      </c>
      <c r="E546" t="s">
        <v>512</v>
      </c>
      <c r="F546" t="s">
        <v>557</v>
      </c>
      <c r="G546" t="s">
        <v>561</v>
      </c>
      <c r="H546" t="s">
        <v>606</v>
      </c>
      <c r="I546" t="s">
        <v>607</v>
      </c>
      <c r="J546">
        <v>1</v>
      </c>
      <c r="K546" t="s">
        <v>550</v>
      </c>
      <c r="L546">
        <v>4.29</v>
      </c>
      <c r="M546">
        <f t="shared" si="8"/>
        <v>4.29</v>
      </c>
    </row>
    <row r="547" spans="3:13">
      <c r="C547" s="33" t="s">
        <v>266</v>
      </c>
      <c r="D547" s="33" t="s">
        <v>268</v>
      </c>
      <c r="E547" t="s">
        <v>512</v>
      </c>
      <c r="F547" t="s">
        <v>557</v>
      </c>
      <c r="G547" t="s">
        <v>561</v>
      </c>
      <c r="H547" t="s">
        <v>608</v>
      </c>
      <c r="I547" t="s">
        <v>609</v>
      </c>
      <c r="J547">
        <v>1</v>
      </c>
      <c r="K547" t="s">
        <v>610</v>
      </c>
      <c r="L547">
        <v>58</v>
      </c>
      <c r="M547">
        <f t="shared" si="8"/>
        <v>58</v>
      </c>
    </row>
    <row r="548" spans="3:13">
      <c r="C548" s="33" t="s">
        <v>266</v>
      </c>
      <c r="D548" s="33" t="s">
        <v>268</v>
      </c>
      <c r="E548" t="s">
        <v>512</v>
      </c>
      <c r="F548" t="s">
        <v>611</v>
      </c>
      <c r="G548" t="s">
        <v>544</v>
      </c>
      <c r="H548" t="s">
        <v>612</v>
      </c>
      <c r="I548" t="s">
        <v>613</v>
      </c>
      <c r="J548">
        <v>1</v>
      </c>
      <c r="K548" t="s">
        <v>595</v>
      </c>
      <c r="L548">
        <v>290</v>
      </c>
      <c r="M548">
        <f t="shared" si="8"/>
        <v>290</v>
      </c>
    </row>
    <row r="549" spans="3:13">
      <c r="C549" s="33" t="s">
        <v>266</v>
      </c>
      <c r="D549" s="33" t="s">
        <v>268</v>
      </c>
      <c r="E549" t="s">
        <v>512</v>
      </c>
      <c r="F549" t="s">
        <v>611</v>
      </c>
      <c r="G549" t="s">
        <v>571</v>
      </c>
      <c r="H549" t="s">
        <v>614</v>
      </c>
      <c r="I549" t="s">
        <v>615</v>
      </c>
      <c r="J549">
        <v>1</v>
      </c>
      <c r="K549" t="s">
        <v>554</v>
      </c>
      <c r="L549">
        <v>100</v>
      </c>
      <c r="M549">
        <f t="shared" si="8"/>
        <v>100</v>
      </c>
    </row>
    <row r="550" spans="3:13">
      <c r="C550" s="33" t="s">
        <v>266</v>
      </c>
      <c r="D550" s="33" t="s">
        <v>268</v>
      </c>
      <c r="E550" t="s">
        <v>512</v>
      </c>
      <c r="F550" t="s">
        <v>611</v>
      </c>
      <c r="G550" t="s">
        <v>561</v>
      </c>
      <c r="H550" t="s">
        <v>616</v>
      </c>
      <c r="I550" t="s">
        <v>617</v>
      </c>
      <c r="J550">
        <v>1</v>
      </c>
      <c r="K550" t="s">
        <v>618</v>
      </c>
      <c r="L550">
        <v>55</v>
      </c>
      <c r="M550">
        <f t="shared" si="8"/>
        <v>55</v>
      </c>
    </row>
    <row r="551" spans="3:13">
      <c r="C551" s="33" t="s">
        <v>266</v>
      </c>
      <c r="D551" s="33" t="s">
        <v>268</v>
      </c>
      <c r="E551" t="s">
        <v>512</v>
      </c>
      <c r="F551" t="s">
        <v>611</v>
      </c>
      <c r="G551" t="s">
        <v>576</v>
      </c>
      <c r="H551" t="s">
        <v>619</v>
      </c>
      <c r="I551" t="s">
        <v>620</v>
      </c>
      <c r="J551">
        <v>1</v>
      </c>
      <c r="K551" t="s">
        <v>554</v>
      </c>
      <c r="L551">
        <v>66.26</v>
      </c>
      <c r="M551">
        <f t="shared" si="8"/>
        <v>66.26</v>
      </c>
    </row>
    <row r="552" spans="3:13">
      <c r="C552" s="33" t="s">
        <v>266</v>
      </c>
      <c r="D552" s="33" t="s">
        <v>268</v>
      </c>
      <c r="E552" t="s">
        <v>512</v>
      </c>
      <c r="F552" t="s">
        <v>611</v>
      </c>
      <c r="G552" t="s">
        <v>621</v>
      </c>
      <c r="H552" t="s">
        <v>622</v>
      </c>
      <c r="I552" t="s">
        <v>623</v>
      </c>
      <c r="J552">
        <v>1</v>
      </c>
      <c r="K552" t="s">
        <v>554</v>
      </c>
      <c r="L552">
        <v>101</v>
      </c>
      <c r="M552">
        <f t="shared" si="8"/>
        <v>101</v>
      </c>
    </row>
    <row r="553" spans="3:13">
      <c r="C553" s="33" t="s">
        <v>266</v>
      </c>
      <c r="D553" s="33" t="s">
        <v>268</v>
      </c>
      <c r="E553" t="s">
        <v>512</v>
      </c>
      <c r="F553" t="s">
        <v>611</v>
      </c>
      <c r="G553" t="s">
        <v>621</v>
      </c>
      <c r="H553" t="s">
        <v>624</v>
      </c>
      <c r="I553" t="s">
        <v>625</v>
      </c>
      <c r="J553">
        <v>1</v>
      </c>
      <c r="K553" t="s">
        <v>554</v>
      </c>
      <c r="L553">
        <v>418</v>
      </c>
      <c r="M553">
        <f t="shared" si="8"/>
        <v>418</v>
      </c>
    </row>
    <row r="554" spans="3:13">
      <c r="C554" s="33" t="s">
        <v>266</v>
      </c>
      <c r="D554" s="33" t="s">
        <v>268</v>
      </c>
      <c r="E554" t="s">
        <v>512</v>
      </c>
      <c r="F554" t="s">
        <v>611</v>
      </c>
      <c r="G554" t="s">
        <v>621</v>
      </c>
      <c r="H554" t="s">
        <v>626</v>
      </c>
      <c r="I554" t="s">
        <v>627</v>
      </c>
      <c r="J554">
        <v>1</v>
      </c>
      <c r="K554" t="s">
        <v>554</v>
      </c>
      <c r="L554">
        <v>37</v>
      </c>
      <c r="M554">
        <f t="shared" si="8"/>
        <v>37</v>
      </c>
    </row>
    <row r="555" spans="3:13">
      <c r="C555" s="33" t="s">
        <v>266</v>
      </c>
      <c r="D555" s="33" t="s">
        <v>268</v>
      </c>
      <c r="E555" t="s">
        <v>512</v>
      </c>
      <c r="F555" t="s">
        <v>611</v>
      </c>
      <c r="G555" t="s">
        <v>571</v>
      </c>
      <c r="H555" t="s">
        <v>628</v>
      </c>
      <c r="I555" t="s">
        <v>629</v>
      </c>
      <c r="J555">
        <v>1</v>
      </c>
      <c r="K555" t="s">
        <v>604</v>
      </c>
      <c r="L555">
        <v>370</v>
      </c>
      <c r="M555">
        <f t="shared" si="8"/>
        <v>370</v>
      </c>
    </row>
    <row r="556" spans="3:13">
      <c r="C556" s="33" t="s">
        <v>266</v>
      </c>
      <c r="D556" s="33" t="s">
        <v>268</v>
      </c>
      <c r="E556" t="s">
        <v>512</v>
      </c>
      <c r="F556" t="s">
        <v>611</v>
      </c>
      <c r="G556" t="s">
        <v>551</v>
      </c>
      <c r="H556" t="s">
        <v>630</v>
      </c>
      <c r="I556" t="s">
        <v>631</v>
      </c>
      <c r="J556">
        <v>1</v>
      </c>
      <c r="K556" t="s">
        <v>566</v>
      </c>
      <c r="L556">
        <v>4.7</v>
      </c>
      <c r="M556">
        <f t="shared" si="8"/>
        <v>4.7</v>
      </c>
    </row>
    <row r="557" spans="3:13">
      <c r="C557" s="33" t="s">
        <v>266</v>
      </c>
      <c r="D557" s="33" t="s">
        <v>268</v>
      </c>
      <c r="E557" t="s">
        <v>512</v>
      </c>
      <c r="F557" t="s">
        <v>611</v>
      </c>
      <c r="G557" t="s">
        <v>621</v>
      </c>
      <c r="H557" t="s">
        <v>632</v>
      </c>
      <c r="I557" t="s">
        <v>633</v>
      </c>
      <c r="J557">
        <v>1</v>
      </c>
      <c r="K557" t="s">
        <v>601</v>
      </c>
      <c r="L557">
        <v>370</v>
      </c>
      <c r="M557">
        <f t="shared" si="8"/>
        <v>370</v>
      </c>
    </row>
    <row r="558" spans="3:13">
      <c r="C558" s="33" t="s">
        <v>266</v>
      </c>
      <c r="D558" s="33" t="s">
        <v>268</v>
      </c>
      <c r="E558" t="s">
        <v>512</v>
      </c>
      <c r="F558" t="s">
        <v>611</v>
      </c>
      <c r="G558" t="s">
        <v>621</v>
      </c>
      <c r="H558" t="s">
        <v>634</v>
      </c>
      <c r="I558" t="s">
        <v>635</v>
      </c>
      <c r="J558">
        <v>1</v>
      </c>
      <c r="K558" t="s">
        <v>554</v>
      </c>
      <c r="L558">
        <v>39.5</v>
      </c>
      <c r="M558">
        <f t="shared" si="8"/>
        <v>39.5</v>
      </c>
    </row>
    <row r="559" spans="3:13">
      <c r="C559" s="33" t="s">
        <v>266</v>
      </c>
      <c r="D559" s="33" t="s">
        <v>268</v>
      </c>
      <c r="E559" t="s">
        <v>512</v>
      </c>
      <c r="F559" t="s">
        <v>611</v>
      </c>
      <c r="G559" t="s">
        <v>583</v>
      </c>
      <c r="H559" t="s">
        <v>636</v>
      </c>
      <c r="I559" t="s">
        <v>637</v>
      </c>
      <c r="J559">
        <v>1</v>
      </c>
      <c r="K559" t="s">
        <v>554</v>
      </c>
      <c r="L559">
        <v>41</v>
      </c>
      <c r="M559">
        <f t="shared" si="8"/>
        <v>41</v>
      </c>
    </row>
    <row r="560" spans="3:13">
      <c r="C560" s="33" t="s">
        <v>266</v>
      </c>
      <c r="D560" s="33" t="s">
        <v>268</v>
      </c>
      <c r="E560" t="s">
        <v>512</v>
      </c>
      <c r="F560" t="s">
        <v>611</v>
      </c>
      <c r="G560" t="s">
        <v>621</v>
      </c>
      <c r="H560" t="s">
        <v>638</v>
      </c>
      <c r="I560" t="s">
        <v>639</v>
      </c>
      <c r="J560">
        <v>1</v>
      </c>
      <c r="K560" t="s">
        <v>554</v>
      </c>
      <c r="L560">
        <v>17.2</v>
      </c>
      <c r="M560">
        <f t="shared" si="8"/>
        <v>17.2</v>
      </c>
    </row>
    <row r="561" spans="3:13">
      <c r="C561" s="33" t="s">
        <v>266</v>
      </c>
      <c r="D561" s="33" t="s">
        <v>268</v>
      </c>
      <c r="E561" t="s">
        <v>513</v>
      </c>
      <c r="F561" t="s">
        <v>543</v>
      </c>
      <c r="G561" t="s">
        <v>544</v>
      </c>
      <c r="H561" t="s">
        <v>545</v>
      </c>
      <c r="I561" t="s">
        <v>546</v>
      </c>
      <c r="J561">
        <v>1</v>
      </c>
      <c r="K561" t="s">
        <v>547</v>
      </c>
      <c r="L561">
        <v>920</v>
      </c>
      <c r="M561">
        <f t="shared" si="8"/>
        <v>920</v>
      </c>
    </row>
    <row r="562" spans="3:13">
      <c r="C562" s="33" t="s">
        <v>266</v>
      </c>
      <c r="D562" s="33" t="s">
        <v>268</v>
      </c>
      <c r="E562" t="s">
        <v>513</v>
      </c>
      <c r="F562" t="s">
        <v>543</v>
      </c>
      <c r="G562" t="s">
        <v>544</v>
      </c>
      <c r="H562" t="s">
        <v>548</v>
      </c>
      <c r="I562" t="s">
        <v>549</v>
      </c>
      <c r="J562">
        <v>1</v>
      </c>
      <c r="K562" t="s">
        <v>550</v>
      </c>
      <c r="L562">
        <v>380</v>
      </c>
      <c r="M562">
        <f t="shared" si="8"/>
        <v>380</v>
      </c>
    </row>
    <row r="563" spans="3:13">
      <c r="C563" s="33" t="s">
        <v>266</v>
      </c>
      <c r="D563" s="33" t="s">
        <v>268</v>
      </c>
      <c r="E563" t="s">
        <v>513</v>
      </c>
      <c r="F563" t="s">
        <v>543</v>
      </c>
      <c r="G563" t="s">
        <v>551</v>
      </c>
      <c r="H563" t="s">
        <v>552</v>
      </c>
      <c r="I563" t="s">
        <v>553</v>
      </c>
      <c r="J563">
        <v>1</v>
      </c>
      <c r="K563" t="s">
        <v>554</v>
      </c>
      <c r="L563">
        <v>14</v>
      </c>
      <c r="M563">
        <f t="shared" si="8"/>
        <v>14</v>
      </c>
    </row>
    <row r="564" spans="3:13">
      <c r="C564" s="33" t="s">
        <v>266</v>
      </c>
      <c r="D564" s="33" t="s">
        <v>268</v>
      </c>
      <c r="E564" t="s">
        <v>513</v>
      </c>
      <c r="F564" t="s">
        <v>543</v>
      </c>
      <c r="G564" t="s">
        <v>551</v>
      </c>
      <c r="H564" t="s">
        <v>555</v>
      </c>
      <c r="I564" t="s">
        <v>556</v>
      </c>
      <c r="J564">
        <v>1</v>
      </c>
      <c r="K564" t="s">
        <v>554</v>
      </c>
      <c r="L564">
        <v>33</v>
      </c>
      <c r="M564">
        <f t="shared" si="8"/>
        <v>33</v>
      </c>
    </row>
    <row r="565" spans="3:13">
      <c r="C565" s="33" t="s">
        <v>266</v>
      </c>
      <c r="D565" s="33" t="s">
        <v>268</v>
      </c>
      <c r="E565" t="s">
        <v>513</v>
      </c>
      <c r="F565" t="s">
        <v>557</v>
      </c>
      <c r="G565" t="s">
        <v>558</v>
      </c>
      <c r="H565" t="s">
        <v>559</v>
      </c>
      <c r="I565" t="s">
        <v>560</v>
      </c>
      <c r="J565">
        <v>1</v>
      </c>
      <c r="K565" t="s">
        <v>554</v>
      </c>
      <c r="L565">
        <v>0</v>
      </c>
      <c r="M565">
        <f t="shared" si="8"/>
        <v>0</v>
      </c>
    </row>
    <row r="566" spans="3:13">
      <c r="C566" s="33" t="s">
        <v>266</v>
      </c>
      <c r="D566" s="33" t="s">
        <v>268</v>
      </c>
      <c r="E566" t="s">
        <v>513</v>
      </c>
      <c r="F566" t="s">
        <v>557</v>
      </c>
      <c r="G566" t="s">
        <v>561</v>
      </c>
      <c r="H566" t="s">
        <v>562</v>
      </c>
      <c r="I566" t="s">
        <v>563</v>
      </c>
      <c r="J566">
        <v>1</v>
      </c>
      <c r="K566" t="s">
        <v>554</v>
      </c>
      <c r="L566">
        <v>13.38</v>
      </c>
      <c r="M566">
        <f t="shared" si="8"/>
        <v>13.38</v>
      </c>
    </row>
    <row r="567" spans="3:13">
      <c r="C567" s="33" t="s">
        <v>266</v>
      </c>
      <c r="D567" s="33" t="s">
        <v>268</v>
      </c>
      <c r="E567" t="s">
        <v>513</v>
      </c>
      <c r="F567" t="s">
        <v>557</v>
      </c>
      <c r="G567" t="s">
        <v>561</v>
      </c>
      <c r="H567" t="s">
        <v>564</v>
      </c>
      <c r="I567" t="s">
        <v>565</v>
      </c>
      <c r="J567">
        <v>1</v>
      </c>
      <c r="K567" t="s">
        <v>566</v>
      </c>
      <c r="L567">
        <v>26.93</v>
      </c>
      <c r="M567">
        <f t="shared" si="8"/>
        <v>26.93</v>
      </c>
    </row>
    <row r="568" spans="3:13">
      <c r="C568" s="33" t="s">
        <v>266</v>
      </c>
      <c r="D568" s="33" t="s">
        <v>268</v>
      </c>
      <c r="E568" t="s">
        <v>513</v>
      </c>
      <c r="F568" t="s">
        <v>557</v>
      </c>
      <c r="G568" t="s">
        <v>561</v>
      </c>
      <c r="H568" t="s">
        <v>567</v>
      </c>
      <c r="I568" t="s">
        <v>568</v>
      </c>
      <c r="J568">
        <v>1</v>
      </c>
      <c r="K568" t="s">
        <v>566</v>
      </c>
      <c r="L568">
        <v>23.77</v>
      </c>
      <c r="M568">
        <f t="shared" si="8"/>
        <v>23.77</v>
      </c>
    </row>
    <row r="569" spans="3:13">
      <c r="C569" s="33" t="s">
        <v>266</v>
      </c>
      <c r="D569" s="33" t="s">
        <v>268</v>
      </c>
      <c r="E569" t="s">
        <v>513</v>
      </c>
      <c r="F569" t="s">
        <v>557</v>
      </c>
      <c r="G569" t="s">
        <v>561</v>
      </c>
      <c r="H569" t="s">
        <v>569</v>
      </c>
      <c r="I569" t="s">
        <v>570</v>
      </c>
      <c r="J569">
        <v>1</v>
      </c>
      <c r="K569" t="s">
        <v>554</v>
      </c>
      <c r="L569">
        <v>47.7</v>
      </c>
      <c r="M569">
        <f t="shared" si="8"/>
        <v>47.7</v>
      </c>
    </row>
    <row r="570" spans="3:13">
      <c r="C570" s="33" t="s">
        <v>266</v>
      </c>
      <c r="D570" s="33" t="s">
        <v>268</v>
      </c>
      <c r="E570" t="s">
        <v>513</v>
      </c>
      <c r="F570" t="s">
        <v>557</v>
      </c>
      <c r="G570" t="s">
        <v>571</v>
      </c>
      <c r="H570" t="s">
        <v>572</v>
      </c>
      <c r="I570" t="s">
        <v>573</v>
      </c>
      <c r="J570">
        <v>1</v>
      </c>
      <c r="K570" t="s">
        <v>554</v>
      </c>
      <c r="L570">
        <v>1680</v>
      </c>
      <c r="M570">
        <f t="shared" si="8"/>
        <v>1680</v>
      </c>
    </row>
    <row r="571" spans="3:13">
      <c r="C571" s="33" t="s">
        <v>266</v>
      </c>
      <c r="D571" s="33" t="s">
        <v>268</v>
      </c>
      <c r="E571" t="s">
        <v>513</v>
      </c>
      <c r="F571" t="s">
        <v>557</v>
      </c>
      <c r="G571" t="s">
        <v>571</v>
      </c>
      <c r="H571" t="s">
        <v>574</v>
      </c>
      <c r="I571" t="s">
        <v>575</v>
      </c>
      <c r="J571">
        <v>1</v>
      </c>
      <c r="K571" t="s">
        <v>554</v>
      </c>
      <c r="L571">
        <v>10</v>
      </c>
      <c r="M571">
        <f t="shared" si="8"/>
        <v>10</v>
      </c>
    </row>
    <row r="572" spans="3:13">
      <c r="C572" s="33" t="s">
        <v>266</v>
      </c>
      <c r="D572" s="33" t="s">
        <v>268</v>
      </c>
      <c r="E572" t="s">
        <v>513</v>
      </c>
      <c r="F572" t="s">
        <v>557</v>
      </c>
      <c r="G572" t="s">
        <v>576</v>
      </c>
      <c r="H572" t="s">
        <v>577</v>
      </c>
      <c r="I572" t="s">
        <v>578</v>
      </c>
      <c r="J572">
        <v>1</v>
      </c>
      <c r="K572" t="s">
        <v>554</v>
      </c>
      <c r="L572">
        <v>93</v>
      </c>
      <c r="M572">
        <f t="shared" si="8"/>
        <v>93</v>
      </c>
    </row>
    <row r="573" spans="3:13">
      <c r="C573" s="33" t="s">
        <v>266</v>
      </c>
      <c r="D573" s="33" t="s">
        <v>268</v>
      </c>
      <c r="E573" t="s">
        <v>513</v>
      </c>
      <c r="F573" t="s">
        <v>557</v>
      </c>
      <c r="G573" t="s">
        <v>576</v>
      </c>
      <c r="H573" t="s">
        <v>579</v>
      </c>
      <c r="I573" t="s">
        <v>580</v>
      </c>
      <c r="J573">
        <v>1</v>
      </c>
      <c r="K573" t="s">
        <v>554</v>
      </c>
      <c r="L573">
        <v>56</v>
      </c>
      <c r="M573">
        <f t="shared" si="8"/>
        <v>56</v>
      </c>
    </row>
    <row r="574" spans="3:13">
      <c r="C574" s="33" t="s">
        <v>266</v>
      </c>
      <c r="D574" s="33" t="s">
        <v>268</v>
      </c>
      <c r="E574" t="s">
        <v>513</v>
      </c>
      <c r="F574" t="s">
        <v>557</v>
      </c>
      <c r="G574" t="s">
        <v>558</v>
      </c>
      <c r="H574" t="s">
        <v>581</v>
      </c>
      <c r="I574" t="s">
        <v>582</v>
      </c>
      <c r="J574">
        <v>1</v>
      </c>
      <c r="K574" t="s">
        <v>554</v>
      </c>
      <c r="L574">
        <v>84</v>
      </c>
      <c r="M574">
        <f t="shared" si="8"/>
        <v>84</v>
      </c>
    </row>
    <row r="575" spans="3:13">
      <c r="C575" s="33" t="s">
        <v>266</v>
      </c>
      <c r="D575" s="33" t="s">
        <v>268</v>
      </c>
      <c r="E575" t="s">
        <v>513</v>
      </c>
      <c r="F575" t="s">
        <v>557</v>
      </c>
      <c r="G575" t="s">
        <v>583</v>
      </c>
      <c r="H575" t="s">
        <v>584</v>
      </c>
      <c r="I575" t="s">
        <v>585</v>
      </c>
      <c r="J575">
        <v>1</v>
      </c>
      <c r="K575" t="s">
        <v>554</v>
      </c>
      <c r="L575">
        <v>165</v>
      </c>
      <c r="M575">
        <f t="shared" si="8"/>
        <v>165</v>
      </c>
    </row>
    <row r="576" spans="3:13">
      <c r="C576" s="33" t="s">
        <v>266</v>
      </c>
      <c r="D576" s="33" t="s">
        <v>268</v>
      </c>
      <c r="E576" t="s">
        <v>513</v>
      </c>
      <c r="F576" t="s">
        <v>557</v>
      </c>
      <c r="G576" t="s">
        <v>561</v>
      </c>
      <c r="H576" t="s">
        <v>586</v>
      </c>
      <c r="I576" t="s">
        <v>587</v>
      </c>
      <c r="J576">
        <v>1</v>
      </c>
      <c r="K576" t="s">
        <v>554</v>
      </c>
      <c r="L576">
        <v>43</v>
      </c>
      <c r="M576">
        <f t="shared" si="8"/>
        <v>43</v>
      </c>
    </row>
    <row r="577" spans="3:13">
      <c r="C577" s="33" t="s">
        <v>266</v>
      </c>
      <c r="D577" s="33" t="s">
        <v>268</v>
      </c>
      <c r="E577" t="s">
        <v>513</v>
      </c>
      <c r="F577" t="s">
        <v>557</v>
      </c>
      <c r="G577" t="s">
        <v>588</v>
      </c>
      <c r="H577" t="s">
        <v>589</v>
      </c>
      <c r="I577" t="s">
        <v>590</v>
      </c>
      <c r="J577">
        <v>1</v>
      </c>
      <c r="K577" t="s">
        <v>554</v>
      </c>
      <c r="L577">
        <v>425</v>
      </c>
      <c r="M577">
        <f t="shared" si="8"/>
        <v>425</v>
      </c>
    </row>
    <row r="578" spans="3:13">
      <c r="C578" s="33" t="s">
        <v>266</v>
      </c>
      <c r="D578" s="33" t="s">
        <v>268</v>
      </c>
      <c r="E578" t="s">
        <v>513</v>
      </c>
      <c r="F578" t="s">
        <v>557</v>
      </c>
      <c r="G578" t="s">
        <v>561</v>
      </c>
      <c r="H578" t="s">
        <v>591</v>
      </c>
      <c r="I578" t="s">
        <v>592</v>
      </c>
      <c r="J578">
        <v>1</v>
      </c>
      <c r="K578" t="s">
        <v>554</v>
      </c>
      <c r="L578">
        <v>77</v>
      </c>
      <c r="M578">
        <f t="shared" si="8"/>
        <v>77</v>
      </c>
    </row>
    <row r="579" spans="3:13">
      <c r="C579" s="33" t="s">
        <v>266</v>
      </c>
      <c r="D579" s="33" t="s">
        <v>268</v>
      </c>
      <c r="E579" t="s">
        <v>513</v>
      </c>
      <c r="F579" t="s">
        <v>557</v>
      </c>
      <c r="G579" t="s">
        <v>544</v>
      </c>
      <c r="H579" t="s">
        <v>593</v>
      </c>
      <c r="I579" t="s">
        <v>594</v>
      </c>
      <c r="J579">
        <v>1</v>
      </c>
      <c r="K579" t="s">
        <v>595</v>
      </c>
      <c r="L579">
        <v>415</v>
      </c>
      <c r="M579">
        <f t="shared" si="8"/>
        <v>415</v>
      </c>
    </row>
    <row r="580" spans="3:13">
      <c r="C580" s="33" t="s">
        <v>266</v>
      </c>
      <c r="D580" s="33" t="s">
        <v>268</v>
      </c>
      <c r="E580" t="s">
        <v>513</v>
      </c>
      <c r="F580" t="s">
        <v>557</v>
      </c>
      <c r="G580" t="s">
        <v>596</v>
      </c>
      <c r="H580" t="s">
        <v>597</v>
      </c>
      <c r="I580" t="s">
        <v>598</v>
      </c>
      <c r="J580">
        <v>1</v>
      </c>
      <c r="K580" t="s">
        <v>599</v>
      </c>
      <c r="L580">
        <v>53</v>
      </c>
      <c r="M580">
        <f t="shared" si="8"/>
        <v>53</v>
      </c>
    </row>
    <row r="581" spans="3:13">
      <c r="C581" s="33" t="s">
        <v>266</v>
      </c>
      <c r="D581" s="33" t="s">
        <v>268</v>
      </c>
      <c r="E581" t="s">
        <v>513</v>
      </c>
      <c r="F581" t="s">
        <v>557</v>
      </c>
      <c r="G581" t="s">
        <v>561</v>
      </c>
      <c r="H581" t="s">
        <v>481</v>
      </c>
      <c r="I581" t="s">
        <v>600</v>
      </c>
      <c r="J581">
        <v>1</v>
      </c>
      <c r="K581" t="s">
        <v>601</v>
      </c>
      <c r="L581">
        <v>44.38</v>
      </c>
      <c r="M581">
        <f>J581*L581</f>
        <v>44.38</v>
      </c>
    </row>
    <row r="582" spans="3:13">
      <c r="C582" s="33" t="s">
        <v>266</v>
      </c>
      <c r="D582" s="33" t="s">
        <v>268</v>
      </c>
      <c r="E582" t="s">
        <v>513</v>
      </c>
      <c r="F582" t="s">
        <v>557</v>
      </c>
      <c r="G582" t="s">
        <v>571</v>
      </c>
      <c r="H582" t="s">
        <v>602</v>
      </c>
      <c r="I582" t="s">
        <v>603</v>
      </c>
      <c r="J582">
        <v>1</v>
      </c>
      <c r="K582" t="s">
        <v>604</v>
      </c>
      <c r="L582">
        <v>48.27</v>
      </c>
      <c r="M582">
        <f>J582*L582</f>
        <v>48.27</v>
      </c>
    </row>
    <row r="583" spans="3:13">
      <c r="C583" s="33" t="s">
        <v>266</v>
      </c>
      <c r="D583" s="33" t="s">
        <v>268</v>
      </c>
      <c r="E583" t="s">
        <v>513</v>
      </c>
      <c r="F583" t="s">
        <v>557</v>
      </c>
      <c r="G583" t="s">
        <v>561</v>
      </c>
      <c r="H583" t="s">
        <v>482</v>
      </c>
      <c r="I583" t="s">
        <v>605</v>
      </c>
      <c r="J583">
        <v>1</v>
      </c>
      <c r="K583" t="s">
        <v>566</v>
      </c>
      <c r="L583">
        <v>15.82</v>
      </c>
      <c r="M583">
        <f>J583*L583</f>
        <v>15.82</v>
      </c>
    </row>
    <row r="584" spans="3:13">
      <c r="C584" s="33" t="s">
        <v>266</v>
      </c>
      <c r="D584" s="33" t="s">
        <v>268</v>
      </c>
      <c r="E584" t="s">
        <v>513</v>
      </c>
      <c r="F584" t="s">
        <v>557</v>
      </c>
      <c r="G584" t="s">
        <v>561</v>
      </c>
      <c r="H584" t="s">
        <v>606</v>
      </c>
      <c r="I584" t="s">
        <v>607</v>
      </c>
      <c r="J584">
        <v>1</v>
      </c>
      <c r="K584" t="s">
        <v>550</v>
      </c>
      <c r="L584">
        <v>4.29</v>
      </c>
      <c r="M584">
        <f>J584*L584</f>
        <v>4.29</v>
      </c>
    </row>
    <row r="585" spans="3:13">
      <c r="C585" s="33" t="s">
        <v>266</v>
      </c>
      <c r="D585" s="33" t="s">
        <v>268</v>
      </c>
      <c r="E585" t="s">
        <v>513</v>
      </c>
      <c r="F585" t="s">
        <v>557</v>
      </c>
      <c r="G585" t="s">
        <v>561</v>
      </c>
      <c r="H585" t="s">
        <v>608</v>
      </c>
      <c r="I585" t="s">
        <v>609</v>
      </c>
      <c r="J585">
        <v>1</v>
      </c>
      <c r="K585" t="s">
        <v>610</v>
      </c>
      <c r="L585">
        <v>58</v>
      </c>
      <c r="M585">
        <f>J585*L585</f>
        <v>58</v>
      </c>
    </row>
    <row r="586" spans="3:13">
      <c r="C586" t="s">
        <v>266</v>
      </c>
      <c r="D586" t="s">
        <v>268</v>
      </c>
      <c r="E586" t="s">
        <v>513</v>
      </c>
      <c r="F586" t="s">
        <v>611</v>
      </c>
      <c r="G586" t="s">
        <v>544</v>
      </c>
      <c r="H586" t="s">
        <v>612</v>
      </c>
      <c r="I586" t="s">
        <v>613</v>
      </c>
      <c r="J586">
        <v>1</v>
      </c>
      <c r="K586" t="s">
        <v>595</v>
      </c>
      <c r="L586">
        <v>290</v>
      </c>
      <c r="M586">
        <f t="shared" ref="M586:M649" si="9">J586*L586</f>
        <v>290</v>
      </c>
    </row>
    <row r="587" spans="3:13">
      <c r="C587" t="s">
        <v>266</v>
      </c>
      <c r="D587" t="s">
        <v>268</v>
      </c>
      <c r="E587" t="s">
        <v>513</v>
      </c>
      <c r="F587" t="s">
        <v>611</v>
      </c>
      <c r="G587" t="s">
        <v>571</v>
      </c>
      <c r="H587" t="s">
        <v>614</v>
      </c>
      <c r="I587" t="s">
        <v>615</v>
      </c>
      <c r="J587">
        <v>1</v>
      </c>
      <c r="K587" t="s">
        <v>554</v>
      </c>
      <c r="L587">
        <v>100</v>
      </c>
      <c r="M587">
        <f t="shared" si="9"/>
        <v>100</v>
      </c>
    </row>
    <row r="588" spans="3:13">
      <c r="C588" t="s">
        <v>266</v>
      </c>
      <c r="D588" t="s">
        <v>268</v>
      </c>
      <c r="E588" t="s">
        <v>513</v>
      </c>
      <c r="F588" t="s">
        <v>611</v>
      </c>
      <c r="G588" t="s">
        <v>561</v>
      </c>
      <c r="H588" t="s">
        <v>616</v>
      </c>
      <c r="I588" t="s">
        <v>617</v>
      </c>
      <c r="J588">
        <v>1</v>
      </c>
      <c r="K588" t="s">
        <v>618</v>
      </c>
      <c r="L588">
        <v>55</v>
      </c>
      <c r="M588">
        <f t="shared" si="9"/>
        <v>55</v>
      </c>
    </row>
    <row r="589" spans="3:13">
      <c r="C589" t="s">
        <v>266</v>
      </c>
      <c r="D589" t="s">
        <v>268</v>
      </c>
      <c r="E589" t="s">
        <v>513</v>
      </c>
      <c r="F589" t="s">
        <v>611</v>
      </c>
      <c r="G589" t="s">
        <v>576</v>
      </c>
      <c r="H589" t="s">
        <v>619</v>
      </c>
      <c r="I589" t="s">
        <v>620</v>
      </c>
      <c r="J589">
        <v>1</v>
      </c>
      <c r="K589" t="s">
        <v>554</v>
      </c>
      <c r="L589">
        <v>66.26</v>
      </c>
      <c r="M589">
        <f t="shared" si="9"/>
        <v>66.26</v>
      </c>
    </row>
    <row r="590" spans="3:13">
      <c r="C590" t="s">
        <v>266</v>
      </c>
      <c r="D590" t="s">
        <v>268</v>
      </c>
      <c r="E590" t="s">
        <v>513</v>
      </c>
      <c r="F590" t="s">
        <v>611</v>
      </c>
      <c r="G590" t="s">
        <v>621</v>
      </c>
      <c r="H590" t="s">
        <v>622</v>
      </c>
      <c r="I590" t="s">
        <v>623</v>
      </c>
      <c r="J590">
        <v>1</v>
      </c>
      <c r="K590" t="s">
        <v>554</v>
      </c>
      <c r="L590">
        <v>101</v>
      </c>
      <c r="M590">
        <f t="shared" si="9"/>
        <v>101</v>
      </c>
    </row>
    <row r="591" spans="3:13">
      <c r="C591" t="s">
        <v>266</v>
      </c>
      <c r="D591" t="s">
        <v>268</v>
      </c>
      <c r="E591" t="s">
        <v>513</v>
      </c>
      <c r="F591" t="s">
        <v>611</v>
      </c>
      <c r="G591" t="s">
        <v>621</v>
      </c>
      <c r="H591" t="s">
        <v>624</v>
      </c>
      <c r="I591" t="s">
        <v>625</v>
      </c>
      <c r="J591">
        <v>1</v>
      </c>
      <c r="K591" t="s">
        <v>554</v>
      </c>
      <c r="L591">
        <v>418</v>
      </c>
      <c r="M591">
        <f t="shared" si="9"/>
        <v>418</v>
      </c>
    </row>
    <row r="592" spans="3:13">
      <c r="C592" t="s">
        <v>266</v>
      </c>
      <c r="D592" t="s">
        <v>268</v>
      </c>
      <c r="E592" t="s">
        <v>513</v>
      </c>
      <c r="F592" t="s">
        <v>611</v>
      </c>
      <c r="G592" t="s">
        <v>621</v>
      </c>
      <c r="H592" t="s">
        <v>626</v>
      </c>
      <c r="I592" t="s">
        <v>627</v>
      </c>
      <c r="J592">
        <v>1</v>
      </c>
      <c r="K592" t="s">
        <v>554</v>
      </c>
      <c r="L592">
        <v>37</v>
      </c>
      <c r="M592">
        <f t="shared" si="9"/>
        <v>37</v>
      </c>
    </row>
    <row r="593" spans="3:13">
      <c r="C593" t="s">
        <v>266</v>
      </c>
      <c r="D593" t="s">
        <v>268</v>
      </c>
      <c r="E593" t="s">
        <v>513</v>
      </c>
      <c r="F593" t="s">
        <v>611</v>
      </c>
      <c r="G593" t="s">
        <v>571</v>
      </c>
      <c r="H593" t="s">
        <v>628</v>
      </c>
      <c r="I593" t="s">
        <v>629</v>
      </c>
      <c r="J593">
        <v>1</v>
      </c>
      <c r="K593" t="s">
        <v>604</v>
      </c>
      <c r="L593">
        <v>370</v>
      </c>
      <c r="M593">
        <f t="shared" si="9"/>
        <v>370</v>
      </c>
    </row>
    <row r="594" spans="3:13">
      <c r="C594" t="s">
        <v>266</v>
      </c>
      <c r="D594" t="s">
        <v>268</v>
      </c>
      <c r="E594" t="s">
        <v>513</v>
      </c>
      <c r="F594" t="s">
        <v>611</v>
      </c>
      <c r="G594" t="s">
        <v>551</v>
      </c>
      <c r="H594" t="s">
        <v>630</v>
      </c>
      <c r="I594" t="s">
        <v>631</v>
      </c>
      <c r="J594">
        <v>1</v>
      </c>
      <c r="K594" t="s">
        <v>566</v>
      </c>
      <c r="L594">
        <v>4.7</v>
      </c>
      <c r="M594">
        <f t="shared" si="9"/>
        <v>4.7</v>
      </c>
    </row>
    <row r="595" spans="3:13">
      <c r="C595" t="s">
        <v>266</v>
      </c>
      <c r="D595" t="s">
        <v>268</v>
      </c>
      <c r="E595" t="s">
        <v>513</v>
      </c>
      <c r="F595" t="s">
        <v>611</v>
      </c>
      <c r="G595" t="s">
        <v>621</v>
      </c>
      <c r="H595" t="s">
        <v>632</v>
      </c>
      <c r="I595" t="s">
        <v>633</v>
      </c>
      <c r="J595">
        <v>1</v>
      </c>
      <c r="K595" t="s">
        <v>601</v>
      </c>
      <c r="L595">
        <v>370</v>
      </c>
      <c r="M595">
        <f t="shared" si="9"/>
        <v>370</v>
      </c>
    </row>
    <row r="596" spans="3:13">
      <c r="C596" t="s">
        <v>266</v>
      </c>
      <c r="D596" t="s">
        <v>268</v>
      </c>
      <c r="E596" t="s">
        <v>513</v>
      </c>
      <c r="F596" t="s">
        <v>611</v>
      </c>
      <c r="G596" t="s">
        <v>621</v>
      </c>
      <c r="H596" t="s">
        <v>634</v>
      </c>
      <c r="I596" t="s">
        <v>635</v>
      </c>
      <c r="J596">
        <v>1</v>
      </c>
      <c r="K596" t="s">
        <v>554</v>
      </c>
      <c r="L596">
        <v>39.5</v>
      </c>
      <c r="M596">
        <f t="shared" si="9"/>
        <v>39.5</v>
      </c>
    </row>
    <row r="597" spans="3:13">
      <c r="C597" t="s">
        <v>266</v>
      </c>
      <c r="D597" t="s">
        <v>268</v>
      </c>
      <c r="E597" t="s">
        <v>513</v>
      </c>
      <c r="F597" t="s">
        <v>611</v>
      </c>
      <c r="G597" t="s">
        <v>583</v>
      </c>
      <c r="H597" t="s">
        <v>636</v>
      </c>
      <c r="I597" t="s">
        <v>637</v>
      </c>
      <c r="J597">
        <v>1</v>
      </c>
      <c r="K597" t="s">
        <v>554</v>
      </c>
      <c r="L597">
        <v>41</v>
      </c>
      <c r="M597">
        <f t="shared" si="9"/>
        <v>41</v>
      </c>
    </row>
    <row r="598" spans="3:13">
      <c r="C598" t="s">
        <v>266</v>
      </c>
      <c r="D598" t="s">
        <v>268</v>
      </c>
      <c r="E598" t="s">
        <v>513</v>
      </c>
      <c r="F598" t="s">
        <v>611</v>
      </c>
      <c r="G598" t="s">
        <v>621</v>
      </c>
      <c r="H598" t="s">
        <v>638</v>
      </c>
      <c r="I598" t="s">
        <v>639</v>
      </c>
      <c r="J598">
        <v>1</v>
      </c>
      <c r="K598" t="s">
        <v>554</v>
      </c>
      <c r="L598">
        <v>17.2</v>
      </c>
      <c r="M598">
        <f t="shared" si="9"/>
        <v>17.2</v>
      </c>
    </row>
    <row r="599" spans="3:13">
      <c r="C599" t="s">
        <v>266</v>
      </c>
      <c r="D599" t="s">
        <v>268</v>
      </c>
      <c r="E599" t="s">
        <v>514</v>
      </c>
      <c r="F599" t="s">
        <v>543</v>
      </c>
      <c r="G599" t="s">
        <v>544</v>
      </c>
      <c r="H599" t="s">
        <v>545</v>
      </c>
      <c r="I599" t="s">
        <v>546</v>
      </c>
      <c r="J599">
        <v>1</v>
      </c>
      <c r="K599" t="s">
        <v>547</v>
      </c>
      <c r="L599">
        <v>920</v>
      </c>
      <c r="M599">
        <f t="shared" si="9"/>
        <v>920</v>
      </c>
    </row>
    <row r="600" spans="3:13">
      <c r="C600" t="s">
        <v>266</v>
      </c>
      <c r="D600" t="s">
        <v>268</v>
      </c>
      <c r="E600" t="s">
        <v>514</v>
      </c>
      <c r="F600" t="s">
        <v>543</v>
      </c>
      <c r="G600" t="s">
        <v>544</v>
      </c>
      <c r="H600" t="s">
        <v>548</v>
      </c>
      <c r="I600" t="s">
        <v>549</v>
      </c>
      <c r="J600">
        <v>1</v>
      </c>
      <c r="K600" t="s">
        <v>550</v>
      </c>
      <c r="L600">
        <v>380</v>
      </c>
      <c r="M600">
        <f t="shared" si="9"/>
        <v>380</v>
      </c>
    </row>
    <row r="601" spans="3:13">
      <c r="C601" t="s">
        <v>266</v>
      </c>
      <c r="D601" t="s">
        <v>268</v>
      </c>
      <c r="E601" t="s">
        <v>514</v>
      </c>
      <c r="F601" t="s">
        <v>543</v>
      </c>
      <c r="G601" t="s">
        <v>551</v>
      </c>
      <c r="H601" t="s">
        <v>552</v>
      </c>
      <c r="I601" t="s">
        <v>553</v>
      </c>
      <c r="J601">
        <v>1</v>
      </c>
      <c r="K601" t="s">
        <v>554</v>
      </c>
      <c r="L601">
        <v>14</v>
      </c>
      <c r="M601">
        <f t="shared" si="9"/>
        <v>14</v>
      </c>
    </row>
    <row r="602" spans="3:13">
      <c r="C602" t="s">
        <v>266</v>
      </c>
      <c r="D602" t="s">
        <v>268</v>
      </c>
      <c r="E602" t="s">
        <v>514</v>
      </c>
      <c r="F602" t="s">
        <v>543</v>
      </c>
      <c r="G602" t="s">
        <v>551</v>
      </c>
      <c r="H602" t="s">
        <v>555</v>
      </c>
      <c r="I602" t="s">
        <v>556</v>
      </c>
      <c r="J602">
        <v>1</v>
      </c>
      <c r="K602" t="s">
        <v>554</v>
      </c>
      <c r="L602">
        <v>33</v>
      </c>
      <c r="M602">
        <f t="shared" si="9"/>
        <v>33</v>
      </c>
    </row>
    <row r="603" spans="3:13">
      <c r="C603" t="s">
        <v>266</v>
      </c>
      <c r="D603" t="s">
        <v>268</v>
      </c>
      <c r="E603" t="s">
        <v>514</v>
      </c>
      <c r="F603" t="s">
        <v>557</v>
      </c>
      <c r="G603" t="s">
        <v>558</v>
      </c>
      <c r="H603" t="s">
        <v>559</v>
      </c>
      <c r="I603" t="s">
        <v>560</v>
      </c>
      <c r="J603">
        <v>1</v>
      </c>
      <c r="K603" t="s">
        <v>554</v>
      </c>
      <c r="L603">
        <v>0</v>
      </c>
      <c r="M603">
        <f t="shared" si="9"/>
        <v>0</v>
      </c>
    </row>
    <row r="604" spans="3:13">
      <c r="C604" t="s">
        <v>266</v>
      </c>
      <c r="D604" t="s">
        <v>268</v>
      </c>
      <c r="E604" t="s">
        <v>514</v>
      </c>
      <c r="F604" t="s">
        <v>557</v>
      </c>
      <c r="G604" t="s">
        <v>561</v>
      </c>
      <c r="H604" t="s">
        <v>562</v>
      </c>
      <c r="I604" t="s">
        <v>563</v>
      </c>
      <c r="J604">
        <v>1</v>
      </c>
      <c r="K604" t="s">
        <v>554</v>
      </c>
      <c r="L604">
        <v>13.38</v>
      </c>
      <c r="M604">
        <f t="shared" si="9"/>
        <v>13.38</v>
      </c>
    </row>
    <row r="605" spans="3:13">
      <c r="C605" t="s">
        <v>266</v>
      </c>
      <c r="D605" t="s">
        <v>268</v>
      </c>
      <c r="E605" t="s">
        <v>514</v>
      </c>
      <c r="F605" t="s">
        <v>557</v>
      </c>
      <c r="G605" t="s">
        <v>561</v>
      </c>
      <c r="H605" t="s">
        <v>564</v>
      </c>
      <c r="I605" t="s">
        <v>565</v>
      </c>
      <c r="J605">
        <v>1</v>
      </c>
      <c r="K605" t="s">
        <v>566</v>
      </c>
      <c r="L605">
        <v>26.93</v>
      </c>
      <c r="M605">
        <f t="shared" si="9"/>
        <v>26.93</v>
      </c>
    </row>
    <row r="606" spans="3:13">
      <c r="C606" t="s">
        <v>266</v>
      </c>
      <c r="D606" t="s">
        <v>268</v>
      </c>
      <c r="E606" t="s">
        <v>514</v>
      </c>
      <c r="F606" t="s">
        <v>557</v>
      </c>
      <c r="G606" t="s">
        <v>561</v>
      </c>
      <c r="H606" t="s">
        <v>567</v>
      </c>
      <c r="I606" t="s">
        <v>568</v>
      </c>
      <c r="J606">
        <v>1</v>
      </c>
      <c r="K606" t="s">
        <v>566</v>
      </c>
      <c r="L606">
        <v>23.77</v>
      </c>
      <c r="M606">
        <f t="shared" si="9"/>
        <v>23.77</v>
      </c>
    </row>
    <row r="607" spans="3:13">
      <c r="C607" t="s">
        <v>266</v>
      </c>
      <c r="D607" t="s">
        <v>268</v>
      </c>
      <c r="E607" t="s">
        <v>514</v>
      </c>
      <c r="F607" t="s">
        <v>557</v>
      </c>
      <c r="G607" t="s">
        <v>561</v>
      </c>
      <c r="H607" t="s">
        <v>569</v>
      </c>
      <c r="I607" t="s">
        <v>570</v>
      </c>
      <c r="J607">
        <v>1</v>
      </c>
      <c r="K607" t="s">
        <v>554</v>
      </c>
      <c r="L607">
        <v>47.7</v>
      </c>
      <c r="M607">
        <f t="shared" si="9"/>
        <v>47.7</v>
      </c>
    </row>
    <row r="608" spans="3:13">
      <c r="C608" t="s">
        <v>266</v>
      </c>
      <c r="D608" t="s">
        <v>268</v>
      </c>
      <c r="E608" t="s">
        <v>514</v>
      </c>
      <c r="F608" t="s">
        <v>557</v>
      </c>
      <c r="G608" t="s">
        <v>571</v>
      </c>
      <c r="H608" t="s">
        <v>572</v>
      </c>
      <c r="I608" t="s">
        <v>573</v>
      </c>
      <c r="J608">
        <v>1</v>
      </c>
      <c r="K608" t="s">
        <v>554</v>
      </c>
      <c r="L608">
        <v>1680</v>
      </c>
      <c r="M608">
        <f t="shared" si="9"/>
        <v>1680</v>
      </c>
    </row>
    <row r="609" spans="3:13">
      <c r="C609" t="s">
        <v>266</v>
      </c>
      <c r="D609" t="s">
        <v>268</v>
      </c>
      <c r="E609" t="s">
        <v>514</v>
      </c>
      <c r="F609" t="s">
        <v>557</v>
      </c>
      <c r="G609" t="s">
        <v>571</v>
      </c>
      <c r="H609" t="s">
        <v>574</v>
      </c>
      <c r="I609" t="s">
        <v>575</v>
      </c>
      <c r="J609">
        <v>1</v>
      </c>
      <c r="K609" t="s">
        <v>554</v>
      </c>
      <c r="L609">
        <v>10</v>
      </c>
      <c r="M609">
        <f t="shared" si="9"/>
        <v>10</v>
      </c>
    </row>
    <row r="610" spans="3:13">
      <c r="C610" t="s">
        <v>266</v>
      </c>
      <c r="D610" t="s">
        <v>268</v>
      </c>
      <c r="E610" t="s">
        <v>514</v>
      </c>
      <c r="F610" t="s">
        <v>557</v>
      </c>
      <c r="G610" t="s">
        <v>576</v>
      </c>
      <c r="H610" t="s">
        <v>577</v>
      </c>
      <c r="I610" t="s">
        <v>578</v>
      </c>
      <c r="J610">
        <v>1</v>
      </c>
      <c r="K610" t="s">
        <v>554</v>
      </c>
      <c r="L610">
        <v>93</v>
      </c>
      <c r="M610">
        <f t="shared" si="9"/>
        <v>93</v>
      </c>
    </row>
    <row r="611" spans="3:13">
      <c r="C611" t="s">
        <v>266</v>
      </c>
      <c r="D611" t="s">
        <v>268</v>
      </c>
      <c r="E611" t="s">
        <v>514</v>
      </c>
      <c r="F611" t="s">
        <v>557</v>
      </c>
      <c r="G611" t="s">
        <v>576</v>
      </c>
      <c r="H611" t="s">
        <v>579</v>
      </c>
      <c r="I611" t="s">
        <v>580</v>
      </c>
      <c r="J611">
        <v>2</v>
      </c>
      <c r="K611" t="s">
        <v>554</v>
      </c>
      <c r="L611">
        <v>56</v>
      </c>
      <c r="M611">
        <f t="shared" si="9"/>
        <v>112</v>
      </c>
    </row>
    <row r="612" spans="3:13">
      <c r="C612" t="s">
        <v>266</v>
      </c>
      <c r="D612" t="s">
        <v>268</v>
      </c>
      <c r="E612" t="s">
        <v>514</v>
      </c>
      <c r="F612" t="s">
        <v>557</v>
      </c>
      <c r="G612" t="s">
        <v>558</v>
      </c>
      <c r="H612" t="s">
        <v>581</v>
      </c>
      <c r="I612" t="s">
        <v>582</v>
      </c>
      <c r="J612">
        <v>1</v>
      </c>
      <c r="K612" t="s">
        <v>554</v>
      </c>
      <c r="L612">
        <v>84</v>
      </c>
      <c r="M612">
        <f t="shared" si="9"/>
        <v>84</v>
      </c>
    </row>
    <row r="613" spans="3:13">
      <c r="C613" t="s">
        <v>266</v>
      </c>
      <c r="D613" t="s">
        <v>268</v>
      </c>
      <c r="E613" t="s">
        <v>514</v>
      </c>
      <c r="F613" t="s">
        <v>557</v>
      </c>
      <c r="G613" t="s">
        <v>583</v>
      </c>
      <c r="H613" t="s">
        <v>584</v>
      </c>
      <c r="I613" t="s">
        <v>585</v>
      </c>
      <c r="J613">
        <v>1</v>
      </c>
      <c r="K613" t="s">
        <v>554</v>
      </c>
      <c r="L613">
        <v>165</v>
      </c>
      <c r="M613">
        <f t="shared" si="9"/>
        <v>165</v>
      </c>
    </row>
    <row r="614" spans="3:13">
      <c r="C614" t="s">
        <v>266</v>
      </c>
      <c r="D614" t="s">
        <v>268</v>
      </c>
      <c r="E614" t="s">
        <v>514</v>
      </c>
      <c r="F614" t="s">
        <v>557</v>
      </c>
      <c r="G614" t="s">
        <v>561</v>
      </c>
      <c r="H614" t="s">
        <v>586</v>
      </c>
      <c r="I614" t="s">
        <v>587</v>
      </c>
      <c r="J614">
        <v>1</v>
      </c>
      <c r="K614" t="s">
        <v>554</v>
      </c>
      <c r="L614">
        <v>43</v>
      </c>
      <c r="M614">
        <f t="shared" si="9"/>
        <v>43</v>
      </c>
    </row>
    <row r="615" spans="3:13">
      <c r="C615" t="s">
        <v>266</v>
      </c>
      <c r="D615" t="s">
        <v>268</v>
      </c>
      <c r="E615" t="s">
        <v>514</v>
      </c>
      <c r="F615" t="s">
        <v>557</v>
      </c>
      <c r="G615" t="s">
        <v>588</v>
      </c>
      <c r="H615" t="s">
        <v>589</v>
      </c>
      <c r="I615" t="s">
        <v>590</v>
      </c>
      <c r="J615">
        <v>1</v>
      </c>
      <c r="K615" t="s">
        <v>554</v>
      </c>
      <c r="L615">
        <v>425</v>
      </c>
      <c r="M615">
        <f t="shared" si="9"/>
        <v>425</v>
      </c>
    </row>
    <row r="616" spans="3:13">
      <c r="C616" t="s">
        <v>266</v>
      </c>
      <c r="D616" t="s">
        <v>268</v>
      </c>
      <c r="E616" t="s">
        <v>514</v>
      </c>
      <c r="F616" t="s">
        <v>557</v>
      </c>
      <c r="G616" t="s">
        <v>561</v>
      </c>
      <c r="H616" t="s">
        <v>591</v>
      </c>
      <c r="I616" t="s">
        <v>592</v>
      </c>
      <c r="J616">
        <v>1</v>
      </c>
      <c r="K616" t="s">
        <v>554</v>
      </c>
      <c r="L616">
        <v>77</v>
      </c>
      <c r="M616">
        <f t="shared" si="9"/>
        <v>77</v>
      </c>
    </row>
    <row r="617" spans="3:13">
      <c r="C617" t="s">
        <v>266</v>
      </c>
      <c r="D617" t="s">
        <v>268</v>
      </c>
      <c r="E617" t="s">
        <v>514</v>
      </c>
      <c r="F617" t="s">
        <v>557</v>
      </c>
      <c r="G617" t="s">
        <v>544</v>
      </c>
      <c r="H617" t="s">
        <v>593</v>
      </c>
      <c r="I617" t="s">
        <v>594</v>
      </c>
      <c r="J617">
        <v>1</v>
      </c>
      <c r="K617" t="s">
        <v>595</v>
      </c>
      <c r="L617">
        <v>415</v>
      </c>
      <c r="M617">
        <f t="shared" si="9"/>
        <v>415</v>
      </c>
    </row>
    <row r="618" spans="3:13">
      <c r="C618" t="s">
        <v>266</v>
      </c>
      <c r="D618" t="s">
        <v>268</v>
      </c>
      <c r="E618" t="s">
        <v>514</v>
      </c>
      <c r="F618" t="s">
        <v>557</v>
      </c>
      <c r="G618" t="s">
        <v>596</v>
      </c>
      <c r="H618" t="s">
        <v>597</v>
      </c>
      <c r="I618" t="s">
        <v>598</v>
      </c>
      <c r="J618">
        <v>1</v>
      </c>
      <c r="K618" t="s">
        <v>599</v>
      </c>
      <c r="L618">
        <v>53</v>
      </c>
      <c r="M618">
        <f t="shared" si="9"/>
        <v>53</v>
      </c>
    </row>
    <row r="619" spans="3:13">
      <c r="C619" t="s">
        <v>266</v>
      </c>
      <c r="D619" t="s">
        <v>268</v>
      </c>
      <c r="E619" t="s">
        <v>514</v>
      </c>
      <c r="F619" t="s">
        <v>557</v>
      </c>
      <c r="G619" t="s">
        <v>561</v>
      </c>
      <c r="H619" t="s">
        <v>481</v>
      </c>
      <c r="I619" t="s">
        <v>600</v>
      </c>
      <c r="J619">
        <v>1</v>
      </c>
      <c r="K619" t="s">
        <v>601</v>
      </c>
      <c r="L619">
        <v>44.38</v>
      </c>
      <c r="M619">
        <f t="shared" si="9"/>
        <v>44.38</v>
      </c>
    </row>
    <row r="620" spans="3:13">
      <c r="C620" t="s">
        <v>266</v>
      </c>
      <c r="D620" t="s">
        <v>268</v>
      </c>
      <c r="E620" t="s">
        <v>514</v>
      </c>
      <c r="F620" t="s">
        <v>557</v>
      </c>
      <c r="G620" t="s">
        <v>571</v>
      </c>
      <c r="H620" t="s">
        <v>602</v>
      </c>
      <c r="I620" t="s">
        <v>603</v>
      </c>
      <c r="J620">
        <v>1</v>
      </c>
      <c r="K620" t="s">
        <v>604</v>
      </c>
      <c r="L620">
        <v>48.27</v>
      </c>
      <c r="M620">
        <f t="shared" si="9"/>
        <v>48.27</v>
      </c>
    </row>
    <row r="621" spans="3:13">
      <c r="C621" t="s">
        <v>266</v>
      </c>
      <c r="D621" t="s">
        <v>268</v>
      </c>
      <c r="E621" t="s">
        <v>514</v>
      </c>
      <c r="F621" t="s">
        <v>557</v>
      </c>
      <c r="G621" t="s">
        <v>561</v>
      </c>
      <c r="H621" t="s">
        <v>482</v>
      </c>
      <c r="I621" t="s">
        <v>605</v>
      </c>
      <c r="J621">
        <v>1</v>
      </c>
      <c r="K621" t="s">
        <v>566</v>
      </c>
      <c r="L621">
        <v>15.82</v>
      </c>
      <c r="M621">
        <f t="shared" si="9"/>
        <v>15.82</v>
      </c>
    </row>
    <row r="622" spans="3:13">
      <c r="C622" t="s">
        <v>266</v>
      </c>
      <c r="D622" t="s">
        <v>268</v>
      </c>
      <c r="E622" t="s">
        <v>514</v>
      </c>
      <c r="F622" t="s">
        <v>557</v>
      </c>
      <c r="G622" t="s">
        <v>561</v>
      </c>
      <c r="H622" t="s">
        <v>606</v>
      </c>
      <c r="I622" t="s">
        <v>607</v>
      </c>
      <c r="J622">
        <v>1</v>
      </c>
      <c r="K622" t="s">
        <v>550</v>
      </c>
      <c r="L622">
        <v>4.29</v>
      </c>
      <c r="M622">
        <f t="shared" si="9"/>
        <v>4.29</v>
      </c>
    </row>
    <row r="623" spans="3:13">
      <c r="C623" t="s">
        <v>266</v>
      </c>
      <c r="D623" t="s">
        <v>268</v>
      </c>
      <c r="E623" t="s">
        <v>514</v>
      </c>
      <c r="F623" t="s">
        <v>557</v>
      </c>
      <c r="G623" t="s">
        <v>561</v>
      </c>
      <c r="H623" t="s">
        <v>608</v>
      </c>
      <c r="I623" t="s">
        <v>609</v>
      </c>
      <c r="J623">
        <v>1</v>
      </c>
      <c r="K623" t="s">
        <v>610</v>
      </c>
      <c r="L623">
        <v>58</v>
      </c>
      <c r="M623">
        <f t="shared" si="9"/>
        <v>58</v>
      </c>
    </row>
    <row r="624" spans="3:13">
      <c r="C624" t="s">
        <v>266</v>
      </c>
      <c r="D624" t="s">
        <v>268</v>
      </c>
      <c r="E624" t="s">
        <v>514</v>
      </c>
      <c r="F624" t="s">
        <v>611</v>
      </c>
      <c r="G624" t="s">
        <v>544</v>
      </c>
      <c r="H624" t="s">
        <v>612</v>
      </c>
      <c r="I624" t="s">
        <v>613</v>
      </c>
      <c r="J624">
        <v>1</v>
      </c>
      <c r="K624" t="s">
        <v>595</v>
      </c>
      <c r="L624">
        <v>290</v>
      </c>
      <c r="M624">
        <f t="shared" si="9"/>
        <v>290</v>
      </c>
    </row>
    <row r="625" spans="3:13">
      <c r="C625" t="s">
        <v>266</v>
      </c>
      <c r="D625" t="s">
        <v>268</v>
      </c>
      <c r="E625" t="s">
        <v>514</v>
      </c>
      <c r="F625" t="s">
        <v>611</v>
      </c>
      <c r="G625" t="s">
        <v>571</v>
      </c>
      <c r="H625" t="s">
        <v>614</v>
      </c>
      <c r="I625" t="s">
        <v>615</v>
      </c>
      <c r="J625">
        <v>1</v>
      </c>
      <c r="K625" t="s">
        <v>554</v>
      </c>
      <c r="L625">
        <v>100</v>
      </c>
      <c r="M625">
        <f t="shared" si="9"/>
        <v>100</v>
      </c>
    </row>
    <row r="626" spans="3:13">
      <c r="C626" t="s">
        <v>266</v>
      </c>
      <c r="D626" t="s">
        <v>268</v>
      </c>
      <c r="E626" t="s">
        <v>514</v>
      </c>
      <c r="F626" t="s">
        <v>611</v>
      </c>
      <c r="G626" t="s">
        <v>561</v>
      </c>
      <c r="H626" t="s">
        <v>616</v>
      </c>
      <c r="I626" t="s">
        <v>617</v>
      </c>
      <c r="J626">
        <v>1</v>
      </c>
      <c r="K626" t="s">
        <v>618</v>
      </c>
      <c r="L626">
        <v>55</v>
      </c>
      <c r="M626">
        <f t="shared" si="9"/>
        <v>55</v>
      </c>
    </row>
    <row r="627" spans="3:13">
      <c r="C627" t="s">
        <v>266</v>
      </c>
      <c r="D627" t="s">
        <v>268</v>
      </c>
      <c r="E627" t="s">
        <v>514</v>
      </c>
      <c r="F627" t="s">
        <v>611</v>
      </c>
      <c r="G627" t="s">
        <v>576</v>
      </c>
      <c r="H627" t="s">
        <v>619</v>
      </c>
      <c r="I627" t="s">
        <v>620</v>
      </c>
      <c r="J627">
        <v>1</v>
      </c>
      <c r="K627" t="s">
        <v>554</v>
      </c>
      <c r="L627">
        <v>66.26</v>
      </c>
      <c r="M627">
        <f t="shared" si="9"/>
        <v>66.26</v>
      </c>
    </row>
    <row r="628" spans="3:13">
      <c r="C628" t="s">
        <v>266</v>
      </c>
      <c r="D628" t="s">
        <v>268</v>
      </c>
      <c r="E628" t="s">
        <v>514</v>
      </c>
      <c r="F628" t="s">
        <v>611</v>
      </c>
      <c r="G628" t="s">
        <v>621</v>
      </c>
      <c r="H628" t="s">
        <v>622</v>
      </c>
      <c r="I628" t="s">
        <v>623</v>
      </c>
      <c r="J628">
        <v>1</v>
      </c>
      <c r="K628" t="s">
        <v>554</v>
      </c>
      <c r="L628">
        <v>101</v>
      </c>
      <c r="M628">
        <f t="shared" si="9"/>
        <v>101</v>
      </c>
    </row>
    <row r="629" spans="3:13">
      <c r="C629" t="s">
        <v>266</v>
      </c>
      <c r="D629" t="s">
        <v>268</v>
      </c>
      <c r="E629" t="s">
        <v>514</v>
      </c>
      <c r="F629" t="s">
        <v>611</v>
      </c>
      <c r="G629" t="s">
        <v>621</v>
      </c>
      <c r="H629" t="s">
        <v>624</v>
      </c>
      <c r="I629" t="s">
        <v>625</v>
      </c>
      <c r="J629">
        <v>1</v>
      </c>
      <c r="K629" t="s">
        <v>554</v>
      </c>
      <c r="L629">
        <v>418</v>
      </c>
      <c r="M629">
        <f t="shared" si="9"/>
        <v>418</v>
      </c>
    </row>
    <row r="630" spans="3:13">
      <c r="C630" t="s">
        <v>266</v>
      </c>
      <c r="D630" t="s">
        <v>268</v>
      </c>
      <c r="E630" t="s">
        <v>514</v>
      </c>
      <c r="F630" t="s">
        <v>611</v>
      </c>
      <c r="G630" t="s">
        <v>621</v>
      </c>
      <c r="H630" t="s">
        <v>626</v>
      </c>
      <c r="I630" t="s">
        <v>627</v>
      </c>
      <c r="J630">
        <v>1</v>
      </c>
      <c r="K630" t="s">
        <v>554</v>
      </c>
      <c r="L630">
        <v>37</v>
      </c>
      <c r="M630">
        <f t="shared" si="9"/>
        <v>37</v>
      </c>
    </row>
    <row r="631" spans="3:13">
      <c r="C631" t="s">
        <v>266</v>
      </c>
      <c r="D631" t="s">
        <v>268</v>
      </c>
      <c r="E631" t="s">
        <v>514</v>
      </c>
      <c r="F631" t="s">
        <v>611</v>
      </c>
      <c r="G631" t="s">
        <v>571</v>
      </c>
      <c r="H631" t="s">
        <v>628</v>
      </c>
      <c r="I631" t="s">
        <v>629</v>
      </c>
      <c r="J631">
        <v>1</v>
      </c>
      <c r="K631" t="s">
        <v>604</v>
      </c>
      <c r="L631">
        <v>370</v>
      </c>
      <c r="M631">
        <f t="shared" si="9"/>
        <v>370</v>
      </c>
    </row>
    <row r="632" spans="3:13">
      <c r="C632" t="s">
        <v>266</v>
      </c>
      <c r="D632" t="s">
        <v>268</v>
      </c>
      <c r="E632" t="s">
        <v>514</v>
      </c>
      <c r="F632" t="s">
        <v>611</v>
      </c>
      <c r="G632" t="s">
        <v>551</v>
      </c>
      <c r="H632" t="s">
        <v>630</v>
      </c>
      <c r="I632" t="s">
        <v>631</v>
      </c>
      <c r="J632">
        <v>1</v>
      </c>
      <c r="K632" t="s">
        <v>566</v>
      </c>
      <c r="L632">
        <v>4.7</v>
      </c>
      <c r="M632">
        <f t="shared" si="9"/>
        <v>4.7</v>
      </c>
    </row>
    <row r="633" spans="3:13">
      <c r="C633" t="s">
        <v>266</v>
      </c>
      <c r="D633" t="s">
        <v>268</v>
      </c>
      <c r="E633" t="s">
        <v>514</v>
      </c>
      <c r="F633" t="s">
        <v>611</v>
      </c>
      <c r="G633" t="s">
        <v>621</v>
      </c>
      <c r="H633" t="s">
        <v>632</v>
      </c>
      <c r="I633" t="s">
        <v>633</v>
      </c>
      <c r="J633">
        <v>1</v>
      </c>
      <c r="K633" t="s">
        <v>601</v>
      </c>
      <c r="L633">
        <v>370</v>
      </c>
      <c r="M633">
        <f t="shared" si="9"/>
        <v>370</v>
      </c>
    </row>
    <row r="634" spans="3:13">
      <c r="C634" t="s">
        <v>266</v>
      </c>
      <c r="D634" t="s">
        <v>268</v>
      </c>
      <c r="E634" t="s">
        <v>514</v>
      </c>
      <c r="F634" t="s">
        <v>611</v>
      </c>
      <c r="G634" t="s">
        <v>621</v>
      </c>
      <c r="H634" t="s">
        <v>634</v>
      </c>
      <c r="I634" t="s">
        <v>635</v>
      </c>
      <c r="J634">
        <v>1</v>
      </c>
      <c r="K634" t="s">
        <v>554</v>
      </c>
      <c r="L634">
        <v>39.5</v>
      </c>
      <c r="M634">
        <f t="shared" si="9"/>
        <v>39.5</v>
      </c>
    </row>
    <row r="635" spans="3:13">
      <c r="C635" t="s">
        <v>266</v>
      </c>
      <c r="D635" t="s">
        <v>268</v>
      </c>
      <c r="E635" t="s">
        <v>514</v>
      </c>
      <c r="F635" t="s">
        <v>611</v>
      </c>
      <c r="G635" t="s">
        <v>583</v>
      </c>
      <c r="H635" t="s">
        <v>636</v>
      </c>
      <c r="I635" t="s">
        <v>637</v>
      </c>
      <c r="J635">
        <v>1</v>
      </c>
      <c r="K635" t="s">
        <v>554</v>
      </c>
      <c r="L635">
        <v>41</v>
      </c>
      <c r="M635">
        <f t="shared" si="9"/>
        <v>41</v>
      </c>
    </row>
    <row r="636" spans="3:13">
      <c r="C636" t="s">
        <v>266</v>
      </c>
      <c r="D636" t="s">
        <v>268</v>
      </c>
      <c r="E636" t="s">
        <v>514</v>
      </c>
      <c r="F636" t="s">
        <v>611</v>
      </c>
      <c r="G636" t="s">
        <v>621</v>
      </c>
      <c r="H636" t="s">
        <v>638</v>
      </c>
      <c r="I636" t="s">
        <v>639</v>
      </c>
      <c r="J636">
        <v>1</v>
      </c>
      <c r="K636" t="s">
        <v>554</v>
      </c>
      <c r="L636">
        <v>17.2</v>
      </c>
      <c r="M636">
        <f t="shared" si="9"/>
        <v>17.2</v>
      </c>
    </row>
    <row r="637" spans="3:13">
      <c r="C637" t="s">
        <v>266</v>
      </c>
      <c r="D637" t="s">
        <v>268</v>
      </c>
      <c r="E637" t="s">
        <v>515</v>
      </c>
      <c r="F637" t="s">
        <v>543</v>
      </c>
      <c r="G637" t="s">
        <v>544</v>
      </c>
      <c r="H637" t="s">
        <v>545</v>
      </c>
      <c r="I637" t="s">
        <v>546</v>
      </c>
      <c r="J637">
        <v>1</v>
      </c>
      <c r="K637" t="s">
        <v>547</v>
      </c>
      <c r="L637">
        <v>920</v>
      </c>
      <c r="M637">
        <f t="shared" si="9"/>
        <v>920</v>
      </c>
    </row>
    <row r="638" spans="3:13">
      <c r="C638" t="s">
        <v>266</v>
      </c>
      <c r="D638" t="s">
        <v>268</v>
      </c>
      <c r="E638" t="s">
        <v>515</v>
      </c>
      <c r="F638" t="s">
        <v>543</v>
      </c>
      <c r="G638" t="s">
        <v>544</v>
      </c>
      <c r="H638" t="s">
        <v>548</v>
      </c>
      <c r="I638" t="s">
        <v>549</v>
      </c>
      <c r="J638">
        <v>1</v>
      </c>
      <c r="K638" t="s">
        <v>550</v>
      </c>
      <c r="L638">
        <v>380</v>
      </c>
      <c r="M638">
        <f t="shared" si="9"/>
        <v>380</v>
      </c>
    </row>
    <row r="639" spans="3:13">
      <c r="C639" t="s">
        <v>266</v>
      </c>
      <c r="D639" t="s">
        <v>268</v>
      </c>
      <c r="E639" t="s">
        <v>515</v>
      </c>
      <c r="F639" t="s">
        <v>543</v>
      </c>
      <c r="G639" t="s">
        <v>551</v>
      </c>
      <c r="H639" t="s">
        <v>552</v>
      </c>
      <c r="I639" t="s">
        <v>553</v>
      </c>
      <c r="J639">
        <v>1</v>
      </c>
      <c r="K639" t="s">
        <v>554</v>
      </c>
      <c r="L639">
        <v>14</v>
      </c>
      <c r="M639">
        <f t="shared" si="9"/>
        <v>14</v>
      </c>
    </row>
    <row r="640" spans="3:13">
      <c r="C640" t="s">
        <v>266</v>
      </c>
      <c r="D640" t="s">
        <v>268</v>
      </c>
      <c r="E640" t="s">
        <v>515</v>
      </c>
      <c r="F640" t="s">
        <v>543</v>
      </c>
      <c r="G640" t="s">
        <v>551</v>
      </c>
      <c r="H640" t="s">
        <v>555</v>
      </c>
      <c r="I640" t="s">
        <v>556</v>
      </c>
      <c r="J640">
        <v>1</v>
      </c>
      <c r="K640" t="s">
        <v>554</v>
      </c>
      <c r="L640">
        <v>33</v>
      </c>
      <c r="M640">
        <f t="shared" si="9"/>
        <v>33</v>
      </c>
    </row>
    <row r="641" spans="3:13">
      <c r="C641" t="s">
        <v>266</v>
      </c>
      <c r="D641" t="s">
        <v>268</v>
      </c>
      <c r="E641" t="s">
        <v>515</v>
      </c>
      <c r="F641" t="s">
        <v>643</v>
      </c>
      <c r="G641" t="s">
        <v>558</v>
      </c>
      <c r="H641" t="s">
        <v>559</v>
      </c>
      <c r="I641" t="s">
        <v>560</v>
      </c>
      <c r="J641">
        <v>1</v>
      </c>
      <c r="K641" t="s">
        <v>554</v>
      </c>
      <c r="L641">
        <v>0</v>
      </c>
      <c r="M641">
        <f t="shared" si="9"/>
        <v>0</v>
      </c>
    </row>
    <row r="642" spans="3:13">
      <c r="C642" t="s">
        <v>266</v>
      </c>
      <c r="D642" t="s">
        <v>268</v>
      </c>
      <c r="E642" t="s">
        <v>515</v>
      </c>
      <c r="F642" t="s">
        <v>643</v>
      </c>
      <c r="G642" t="s">
        <v>561</v>
      </c>
      <c r="H642" t="s">
        <v>562</v>
      </c>
      <c r="I642" t="s">
        <v>563</v>
      </c>
      <c r="J642">
        <v>1</v>
      </c>
      <c r="K642" t="s">
        <v>554</v>
      </c>
      <c r="L642">
        <v>13.38</v>
      </c>
      <c r="M642">
        <f t="shared" si="9"/>
        <v>13.38</v>
      </c>
    </row>
    <row r="643" spans="3:13">
      <c r="C643" t="s">
        <v>266</v>
      </c>
      <c r="D643" t="s">
        <v>268</v>
      </c>
      <c r="E643" t="s">
        <v>515</v>
      </c>
      <c r="F643" t="s">
        <v>643</v>
      </c>
      <c r="G643" t="s">
        <v>561</v>
      </c>
      <c r="H643" t="s">
        <v>644</v>
      </c>
      <c r="I643" t="s">
        <v>645</v>
      </c>
      <c r="J643">
        <v>1</v>
      </c>
      <c r="K643" t="s">
        <v>554</v>
      </c>
      <c r="L643">
        <v>39.06</v>
      </c>
      <c r="M643">
        <f t="shared" si="9"/>
        <v>39.06</v>
      </c>
    </row>
    <row r="644" spans="3:13">
      <c r="C644" t="s">
        <v>266</v>
      </c>
      <c r="D644" t="s">
        <v>268</v>
      </c>
      <c r="E644" t="s">
        <v>515</v>
      </c>
      <c r="F644" t="s">
        <v>643</v>
      </c>
      <c r="G644" t="s">
        <v>561</v>
      </c>
      <c r="H644" t="s">
        <v>485</v>
      </c>
      <c r="I644" t="s">
        <v>648</v>
      </c>
      <c r="J644">
        <v>1</v>
      </c>
      <c r="K644" t="s">
        <v>566</v>
      </c>
      <c r="L644">
        <v>15.22</v>
      </c>
      <c r="M644">
        <f t="shared" si="9"/>
        <v>15.22</v>
      </c>
    </row>
    <row r="645" spans="3:13">
      <c r="C645" t="s">
        <v>266</v>
      </c>
      <c r="D645" t="s">
        <v>268</v>
      </c>
      <c r="E645" t="s">
        <v>515</v>
      </c>
      <c r="F645" t="s">
        <v>643</v>
      </c>
      <c r="G645" t="s">
        <v>561</v>
      </c>
      <c r="H645" t="s">
        <v>606</v>
      </c>
      <c r="I645" t="s">
        <v>649</v>
      </c>
      <c r="J645">
        <v>2</v>
      </c>
      <c r="K645" t="s">
        <v>550</v>
      </c>
      <c r="L645">
        <v>4.75</v>
      </c>
      <c r="M645">
        <f t="shared" si="9"/>
        <v>9.5</v>
      </c>
    </row>
    <row r="646" spans="3:13">
      <c r="C646" t="s">
        <v>266</v>
      </c>
      <c r="D646" t="s">
        <v>268</v>
      </c>
      <c r="E646" t="s">
        <v>515</v>
      </c>
      <c r="F646" t="s">
        <v>643</v>
      </c>
      <c r="G646" t="s">
        <v>571</v>
      </c>
      <c r="H646" t="s">
        <v>572</v>
      </c>
      <c r="I646" t="s">
        <v>573</v>
      </c>
      <c r="J646">
        <v>1</v>
      </c>
      <c r="K646" t="s">
        <v>554</v>
      </c>
      <c r="L646">
        <v>1680</v>
      </c>
      <c r="M646">
        <f t="shared" si="9"/>
        <v>1680</v>
      </c>
    </row>
    <row r="647" spans="3:13">
      <c r="C647" t="s">
        <v>266</v>
      </c>
      <c r="D647" t="s">
        <v>268</v>
      </c>
      <c r="E647" t="s">
        <v>515</v>
      </c>
      <c r="F647" t="s">
        <v>643</v>
      </c>
      <c r="G647" t="s">
        <v>571</v>
      </c>
      <c r="H647" t="s">
        <v>574</v>
      </c>
      <c r="I647" t="s">
        <v>575</v>
      </c>
      <c r="J647">
        <v>1</v>
      </c>
      <c r="K647" t="s">
        <v>554</v>
      </c>
      <c r="L647">
        <v>10</v>
      </c>
      <c r="M647">
        <f t="shared" si="9"/>
        <v>10</v>
      </c>
    </row>
    <row r="648" spans="3:13">
      <c r="C648" t="s">
        <v>266</v>
      </c>
      <c r="D648" t="s">
        <v>268</v>
      </c>
      <c r="E648" t="s">
        <v>515</v>
      </c>
      <c r="F648" t="s">
        <v>643</v>
      </c>
      <c r="G648" t="s">
        <v>576</v>
      </c>
      <c r="H648" t="s">
        <v>577</v>
      </c>
      <c r="I648" t="s">
        <v>578</v>
      </c>
      <c r="J648">
        <v>1</v>
      </c>
      <c r="K648" t="s">
        <v>554</v>
      </c>
      <c r="L648">
        <v>93</v>
      </c>
      <c r="M648">
        <f t="shared" si="9"/>
        <v>93</v>
      </c>
    </row>
    <row r="649" spans="3:13">
      <c r="C649" t="s">
        <v>266</v>
      </c>
      <c r="D649" t="s">
        <v>268</v>
      </c>
      <c r="E649" t="s">
        <v>515</v>
      </c>
      <c r="F649" t="s">
        <v>643</v>
      </c>
      <c r="G649" t="s">
        <v>558</v>
      </c>
      <c r="H649" t="s">
        <v>581</v>
      </c>
      <c r="I649" t="s">
        <v>582</v>
      </c>
      <c r="J649">
        <v>1</v>
      </c>
      <c r="K649" t="s">
        <v>554</v>
      </c>
      <c r="L649">
        <v>84</v>
      </c>
      <c r="M649">
        <f t="shared" si="9"/>
        <v>84</v>
      </c>
    </row>
    <row r="650" spans="3:13">
      <c r="C650" t="s">
        <v>266</v>
      </c>
      <c r="D650" t="s">
        <v>268</v>
      </c>
      <c r="E650" t="s">
        <v>515</v>
      </c>
      <c r="F650" t="s">
        <v>643</v>
      </c>
      <c r="G650" t="s">
        <v>583</v>
      </c>
      <c r="H650" t="s">
        <v>584</v>
      </c>
      <c r="I650" t="s">
        <v>585</v>
      </c>
      <c r="J650">
        <v>1</v>
      </c>
      <c r="K650" t="s">
        <v>554</v>
      </c>
      <c r="L650">
        <v>165</v>
      </c>
      <c r="M650">
        <f t="shared" ref="M650:M713" si="10">J650*L650</f>
        <v>165</v>
      </c>
    </row>
    <row r="651" spans="3:13">
      <c r="C651" t="s">
        <v>266</v>
      </c>
      <c r="D651" t="s">
        <v>268</v>
      </c>
      <c r="E651" t="s">
        <v>515</v>
      </c>
      <c r="F651" t="s">
        <v>643</v>
      </c>
      <c r="G651" t="s">
        <v>561</v>
      </c>
      <c r="H651" t="s">
        <v>586</v>
      </c>
      <c r="I651" t="s">
        <v>587</v>
      </c>
      <c r="J651">
        <v>1</v>
      </c>
      <c r="K651" t="s">
        <v>554</v>
      </c>
      <c r="L651">
        <v>43</v>
      </c>
      <c r="M651">
        <f t="shared" si="10"/>
        <v>43</v>
      </c>
    </row>
    <row r="652" spans="3:13">
      <c r="C652" t="s">
        <v>266</v>
      </c>
      <c r="D652" t="s">
        <v>268</v>
      </c>
      <c r="E652" t="s">
        <v>515</v>
      </c>
      <c r="F652" t="s">
        <v>643</v>
      </c>
      <c r="G652" t="s">
        <v>588</v>
      </c>
      <c r="H652" t="s">
        <v>589</v>
      </c>
      <c r="I652" t="s">
        <v>590</v>
      </c>
      <c r="J652">
        <v>1</v>
      </c>
      <c r="K652" t="s">
        <v>554</v>
      </c>
      <c r="L652">
        <v>425</v>
      </c>
      <c r="M652">
        <f t="shared" si="10"/>
        <v>425</v>
      </c>
    </row>
    <row r="653" spans="3:13">
      <c r="C653" t="s">
        <v>266</v>
      </c>
      <c r="D653" t="s">
        <v>268</v>
      </c>
      <c r="E653" t="s">
        <v>515</v>
      </c>
      <c r="F653" t="s">
        <v>643</v>
      </c>
      <c r="G653" t="s">
        <v>561</v>
      </c>
      <c r="H653" t="s">
        <v>591</v>
      </c>
      <c r="I653" t="s">
        <v>592</v>
      </c>
      <c r="J653">
        <v>1</v>
      </c>
      <c r="K653" t="s">
        <v>554</v>
      </c>
      <c r="L653">
        <v>77</v>
      </c>
      <c r="M653">
        <f t="shared" si="10"/>
        <v>77</v>
      </c>
    </row>
    <row r="654" spans="3:13">
      <c r="C654" t="s">
        <v>266</v>
      </c>
      <c r="D654" t="s">
        <v>268</v>
      </c>
      <c r="E654" t="s">
        <v>515</v>
      </c>
      <c r="F654" t="s">
        <v>643</v>
      </c>
      <c r="G654" t="s">
        <v>544</v>
      </c>
      <c r="H654" t="s">
        <v>593</v>
      </c>
      <c r="I654" t="s">
        <v>594</v>
      </c>
      <c r="J654">
        <v>1</v>
      </c>
      <c r="K654" t="s">
        <v>595</v>
      </c>
      <c r="L654">
        <v>415</v>
      </c>
      <c r="M654">
        <f t="shared" si="10"/>
        <v>415</v>
      </c>
    </row>
    <row r="655" spans="3:13">
      <c r="C655" t="s">
        <v>266</v>
      </c>
      <c r="D655" t="s">
        <v>268</v>
      </c>
      <c r="E655" t="s">
        <v>515</v>
      </c>
      <c r="F655" t="s">
        <v>643</v>
      </c>
      <c r="G655" t="s">
        <v>596</v>
      </c>
      <c r="H655" t="s">
        <v>597</v>
      </c>
      <c r="I655" t="s">
        <v>598</v>
      </c>
      <c r="J655">
        <v>1</v>
      </c>
      <c r="K655" t="s">
        <v>599</v>
      </c>
      <c r="L655">
        <v>53</v>
      </c>
      <c r="M655">
        <f t="shared" si="10"/>
        <v>53</v>
      </c>
    </row>
    <row r="656" spans="3:13">
      <c r="C656" t="s">
        <v>266</v>
      </c>
      <c r="D656" t="s">
        <v>268</v>
      </c>
      <c r="E656" t="s">
        <v>515</v>
      </c>
      <c r="F656" t="s">
        <v>643</v>
      </c>
      <c r="G656" t="s">
        <v>561</v>
      </c>
      <c r="H656" t="s">
        <v>608</v>
      </c>
      <c r="I656" t="s">
        <v>609</v>
      </c>
      <c r="J656">
        <v>1</v>
      </c>
      <c r="K656" t="s">
        <v>610</v>
      </c>
      <c r="L656">
        <v>58</v>
      </c>
      <c r="M656">
        <f t="shared" si="10"/>
        <v>58</v>
      </c>
    </row>
    <row r="657" spans="3:13">
      <c r="C657" t="s">
        <v>266</v>
      </c>
      <c r="D657" t="s">
        <v>268</v>
      </c>
      <c r="E657" t="s">
        <v>515</v>
      </c>
      <c r="F657" t="s">
        <v>643</v>
      </c>
      <c r="G657" t="s">
        <v>561</v>
      </c>
      <c r="H657" t="s">
        <v>481</v>
      </c>
      <c r="I657" t="s">
        <v>600</v>
      </c>
      <c r="J657">
        <v>1</v>
      </c>
      <c r="K657" t="s">
        <v>601</v>
      </c>
      <c r="L657">
        <v>44.38</v>
      </c>
      <c r="M657">
        <f t="shared" si="10"/>
        <v>44.38</v>
      </c>
    </row>
    <row r="658" spans="3:13">
      <c r="C658" t="s">
        <v>266</v>
      </c>
      <c r="D658" t="s">
        <v>268</v>
      </c>
      <c r="E658" t="s">
        <v>515</v>
      </c>
      <c r="F658" t="s">
        <v>643</v>
      </c>
      <c r="G658" t="s">
        <v>571</v>
      </c>
      <c r="H658" t="s">
        <v>602</v>
      </c>
      <c r="I658" t="s">
        <v>603</v>
      </c>
      <c r="J658">
        <v>1</v>
      </c>
      <c r="K658" t="s">
        <v>604</v>
      </c>
      <c r="L658">
        <v>48.27</v>
      </c>
      <c r="M658">
        <f t="shared" si="10"/>
        <v>48.27</v>
      </c>
    </row>
    <row r="659" spans="3:13">
      <c r="C659" t="s">
        <v>266</v>
      </c>
      <c r="D659" t="s">
        <v>268</v>
      </c>
      <c r="E659" t="s">
        <v>515</v>
      </c>
      <c r="F659" t="s">
        <v>557</v>
      </c>
      <c r="G659" t="s">
        <v>544</v>
      </c>
      <c r="H659" t="s">
        <v>651</v>
      </c>
      <c r="I659" t="s">
        <v>652</v>
      </c>
      <c r="J659">
        <v>1</v>
      </c>
      <c r="K659" t="s">
        <v>595</v>
      </c>
      <c r="L659">
        <v>800</v>
      </c>
      <c r="M659">
        <f t="shared" si="10"/>
        <v>800</v>
      </c>
    </row>
    <row r="660" spans="3:13">
      <c r="C660" t="s">
        <v>266</v>
      </c>
      <c r="D660" t="s">
        <v>268</v>
      </c>
      <c r="E660" t="s">
        <v>515</v>
      </c>
      <c r="F660" t="s">
        <v>557</v>
      </c>
      <c r="G660" t="s">
        <v>561</v>
      </c>
      <c r="H660" t="s">
        <v>564</v>
      </c>
      <c r="I660" t="s">
        <v>565</v>
      </c>
      <c r="J660">
        <v>1</v>
      </c>
      <c r="K660" t="s">
        <v>566</v>
      </c>
      <c r="L660">
        <v>26.93</v>
      </c>
      <c r="M660">
        <f t="shared" si="10"/>
        <v>26.93</v>
      </c>
    </row>
    <row r="661" spans="3:13">
      <c r="C661" t="s">
        <v>266</v>
      </c>
      <c r="D661" t="s">
        <v>268</v>
      </c>
      <c r="E661" t="s">
        <v>515</v>
      </c>
      <c r="F661" t="s">
        <v>557</v>
      </c>
      <c r="G661" t="s">
        <v>561</v>
      </c>
      <c r="H661" t="s">
        <v>567</v>
      </c>
      <c r="I661" t="s">
        <v>568</v>
      </c>
      <c r="J661">
        <v>1</v>
      </c>
      <c r="K661" t="s">
        <v>566</v>
      </c>
      <c r="L661">
        <v>23.77</v>
      </c>
      <c r="M661">
        <f t="shared" si="10"/>
        <v>23.77</v>
      </c>
    </row>
    <row r="662" spans="3:13">
      <c r="C662" t="s">
        <v>266</v>
      </c>
      <c r="D662" t="s">
        <v>268</v>
      </c>
      <c r="E662" t="s">
        <v>515</v>
      </c>
      <c r="F662" t="s">
        <v>557</v>
      </c>
      <c r="G662" t="s">
        <v>561</v>
      </c>
      <c r="H662" t="s">
        <v>655</v>
      </c>
      <c r="I662" t="s">
        <v>656</v>
      </c>
      <c r="J662">
        <v>1</v>
      </c>
      <c r="K662" t="s">
        <v>554</v>
      </c>
      <c r="L662">
        <v>7.85</v>
      </c>
      <c r="M662">
        <f t="shared" si="10"/>
        <v>7.85</v>
      </c>
    </row>
    <row r="663" spans="3:13">
      <c r="C663" t="s">
        <v>266</v>
      </c>
      <c r="D663" t="s">
        <v>268</v>
      </c>
      <c r="E663" t="s">
        <v>515</v>
      </c>
      <c r="F663" t="s">
        <v>557</v>
      </c>
      <c r="G663" t="s">
        <v>561</v>
      </c>
      <c r="H663" t="s">
        <v>569</v>
      </c>
      <c r="I663" t="s">
        <v>570</v>
      </c>
      <c r="J663">
        <v>1</v>
      </c>
      <c r="K663" t="s">
        <v>554</v>
      </c>
      <c r="L663">
        <v>47.7</v>
      </c>
      <c r="M663">
        <f t="shared" si="10"/>
        <v>47.7</v>
      </c>
    </row>
    <row r="664" spans="3:13">
      <c r="C664" t="s">
        <v>266</v>
      </c>
      <c r="D664" t="s">
        <v>268</v>
      </c>
      <c r="E664" t="s">
        <v>515</v>
      </c>
      <c r="F664" t="s">
        <v>557</v>
      </c>
      <c r="G664" t="s">
        <v>544</v>
      </c>
      <c r="H664" t="s">
        <v>593</v>
      </c>
      <c r="I664" t="s">
        <v>594</v>
      </c>
      <c r="J664">
        <v>1</v>
      </c>
      <c r="K664" t="s">
        <v>595</v>
      </c>
      <c r="L664">
        <v>415</v>
      </c>
      <c r="M664">
        <f t="shared" si="10"/>
        <v>415</v>
      </c>
    </row>
    <row r="665" spans="3:13">
      <c r="C665" t="s">
        <v>266</v>
      </c>
      <c r="D665" t="s">
        <v>268</v>
      </c>
      <c r="E665" t="s">
        <v>515</v>
      </c>
      <c r="F665" t="s">
        <v>557</v>
      </c>
      <c r="G665" t="s">
        <v>596</v>
      </c>
      <c r="H665" t="s">
        <v>597</v>
      </c>
      <c r="I665" t="s">
        <v>640</v>
      </c>
      <c r="J665">
        <v>1</v>
      </c>
      <c r="K665" t="s">
        <v>641</v>
      </c>
      <c r="L665">
        <v>77</v>
      </c>
      <c r="M665">
        <f t="shared" si="10"/>
        <v>77</v>
      </c>
    </row>
    <row r="666" spans="3:13">
      <c r="C666" t="s">
        <v>266</v>
      </c>
      <c r="D666" t="s">
        <v>268</v>
      </c>
      <c r="E666" t="s">
        <v>515</v>
      </c>
      <c r="F666" t="s">
        <v>557</v>
      </c>
      <c r="G666" t="s">
        <v>571</v>
      </c>
      <c r="H666" t="s">
        <v>572</v>
      </c>
      <c r="I666" t="s">
        <v>573</v>
      </c>
      <c r="J666">
        <v>1</v>
      </c>
      <c r="K666" t="s">
        <v>554</v>
      </c>
      <c r="L666">
        <v>1680</v>
      </c>
      <c r="M666">
        <f t="shared" si="10"/>
        <v>1680</v>
      </c>
    </row>
    <row r="667" spans="3:13">
      <c r="C667" t="s">
        <v>266</v>
      </c>
      <c r="D667" t="s">
        <v>268</v>
      </c>
      <c r="E667" t="s">
        <v>515</v>
      </c>
      <c r="F667" t="s">
        <v>557</v>
      </c>
      <c r="G667" t="s">
        <v>571</v>
      </c>
      <c r="H667" t="s">
        <v>574</v>
      </c>
      <c r="I667" t="s">
        <v>575</v>
      </c>
      <c r="J667">
        <v>1</v>
      </c>
      <c r="K667" t="s">
        <v>554</v>
      </c>
      <c r="L667">
        <v>10</v>
      </c>
      <c r="M667">
        <f t="shared" si="10"/>
        <v>10</v>
      </c>
    </row>
    <row r="668" spans="3:13">
      <c r="C668" t="s">
        <v>266</v>
      </c>
      <c r="D668" t="s">
        <v>268</v>
      </c>
      <c r="E668" t="s">
        <v>515</v>
      </c>
      <c r="F668" t="s">
        <v>557</v>
      </c>
      <c r="G668" t="s">
        <v>558</v>
      </c>
      <c r="H668" t="s">
        <v>581</v>
      </c>
      <c r="I668" t="s">
        <v>582</v>
      </c>
      <c r="J668">
        <v>1</v>
      </c>
      <c r="K668" t="s">
        <v>554</v>
      </c>
      <c r="L668">
        <v>84</v>
      </c>
      <c r="M668">
        <f t="shared" si="10"/>
        <v>84</v>
      </c>
    </row>
    <row r="669" spans="3:13">
      <c r="C669" t="s">
        <v>266</v>
      </c>
      <c r="D669" t="s">
        <v>268</v>
      </c>
      <c r="E669" t="s">
        <v>515</v>
      </c>
      <c r="F669" t="s">
        <v>557</v>
      </c>
      <c r="G669" t="s">
        <v>576</v>
      </c>
      <c r="H669" t="s">
        <v>577</v>
      </c>
      <c r="I669" t="s">
        <v>578</v>
      </c>
      <c r="J669">
        <v>1</v>
      </c>
      <c r="K669" t="s">
        <v>554</v>
      </c>
      <c r="L669">
        <v>93</v>
      </c>
      <c r="M669">
        <f t="shared" si="10"/>
        <v>93</v>
      </c>
    </row>
    <row r="670" spans="3:13">
      <c r="C670" t="s">
        <v>266</v>
      </c>
      <c r="D670" t="s">
        <v>268</v>
      </c>
      <c r="E670" t="s">
        <v>515</v>
      </c>
      <c r="F670" t="s">
        <v>611</v>
      </c>
      <c r="G670" t="s">
        <v>544</v>
      </c>
      <c r="H670" t="s">
        <v>612</v>
      </c>
      <c r="I670" t="s">
        <v>613</v>
      </c>
      <c r="J670">
        <v>1</v>
      </c>
      <c r="K670" t="s">
        <v>595</v>
      </c>
      <c r="L670">
        <v>290</v>
      </c>
      <c r="M670">
        <f t="shared" si="10"/>
        <v>290</v>
      </c>
    </row>
    <row r="671" spans="3:13">
      <c r="C671" t="s">
        <v>266</v>
      </c>
      <c r="D671" t="s">
        <v>268</v>
      </c>
      <c r="E671" t="s">
        <v>515</v>
      </c>
      <c r="F671" t="s">
        <v>611</v>
      </c>
      <c r="G671" t="s">
        <v>571</v>
      </c>
      <c r="H671" t="s">
        <v>614</v>
      </c>
      <c r="I671" t="s">
        <v>615</v>
      </c>
      <c r="J671">
        <v>1</v>
      </c>
      <c r="K671" t="s">
        <v>554</v>
      </c>
      <c r="L671">
        <v>100</v>
      </c>
      <c r="M671">
        <f t="shared" si="10"/>
        <v>100</v>
      </c>
    </row>
    <row r="672" spans="3:13">
      <c r="C672" t="s">
        <v>266</v>
      </c>
      <c r="D672" t="s">
        <v>268</v>
      </c>
      <c r="E672" t="s">
        <v>515</v>
      </c>
      <c r="F672" t="s">
        <v>611</v>
      </c>
      <c r="G672" t="s">
        <v>561</v>
      </c>
      <c r="H672" t="s">
        <v>616</v>
      </c>
      <c r="I672" t="s">
        <v>617</v>
      </c>
      <c r="J672">
        <v>1</v>
      </c>
      <c r="K672" t="s">
        <v>618</v>
      </c>
      <c r="L672">
        <v>55</v>
      </c>
      <c r="M672">
        <f t="shared" si="10"/>
        <v>55</v>
      </c>
    </row>
    <row r="673" spans="3:13">
      <c r="C673" t="s">
        <v>266</v>
      </c>
      <c r="D673" t="s">
        <v>268</v>
      </c>
      <c r="E673" t="s">
        <v>515</v>
      </c>
      <c r="F673" t="s">
        <v>611</v>
      </c>
      <c r="G673" t="s">
        <v>576</v>
      </c>
      <c r="H673" t="s">
        <v>619</v>
      </c>
      <c r="I673" t="s">
        <v>620</v>
      </c>
      <c r="J673">
        <v>1</v>
      </c>
      <c r="K673" t="s">
        <v>554</v>
      </c>
      <c r="L673">
        <v>66.26</v>
      </c>
      <c r="M673">
        <f t="shared" si="10"/>
        <v>66.26</v>
      </c>
    </row>
    <row r="674" spans="3:13">
      <c r="C674" t="s">
        <v>266</v>
      </c>
      <c r="D674" t="s">
        <v>268</v>
      </c>
      <c r="E674" t="s">
        <v>515</v>
      </c>
      <c r="F674" t="s">
        <v>611</v>
      </c>
      <c r="G674" t="s">
        <v>621</v>
      </c>
      <c r="H674" t="s">
        <v>622</v>
      </c>
      <c r="I674" t="s">
        <v>623</v>
      </c>
      <c r="J674">
        <v>1</v>
      </c>
      <c r="K674" t="s">
        <v>554</v>
      </c>
      <c r="L674">
        <v>101</v>
      </c>
      <c r="M674">
        <f t="shared" si="10"/>
        <v>101</v>
      </c>
    </row>
    <row r="675" spans="3:13">
      <c r="C675" t="s">
        <v>266</v>
      </c>
      <c r="D675" t="s">
        <v>268</v>
      </c>
      <c r="E675" t="s">
        <v>515</v>
      </c>
      <c r="F675" t="s">
        <v>611</v>
      </c>
      <c r="G675" t="s">
        <v>621</v>
      </c>
      <c r="H675" t="s">
        <v>624</v>
      </c>
      <c r="I675" t="s">
        <v>625</v>
      </c>
      <c r="J675">
        <v>1</v>
      </c>
      <c r="K675" t="s">
        <v>554</v>
      </c>
      <c r="L675">
        <v>418</v>
      </c>
      <c r="M675">
        <f t="shared" si="10"/>
        <v>418</v>
      </c>
    </row>
    <row r="676" spans="3:13">
      <c r="C676" t="s">
        <v>266</v>
      </c>
      <c r="D676" t="s">
        <v>268</v>
      </c>
      <c r="E676" t="s">
        <v>515</v>
      </c>
      <c r="F676" t="s">
        <v>611</v>
      </c>
      <c r="G676" t="s">
        <v>621</v>
      </c>
      <c r="H676" t="s">
        <v>626</v>
      </c>
      <c r="I676" t="s">
        <v>627</v>
      </c>
      <c r="J676">
        <v>1</v>
      </c>
      <c r="K676" t="s">
        <v>554</v>
      </c>
      <c r="L676">
        <v>37</v>
      </c>
      <c r="M676">
        <f t="shared" si="10"/>
        <v>37</v>
      </c>
    </row>
    <row r="677" spans="3:13">
      <c r="C677" t="s">
        <v>266</v>
      </c>
      <c r="D677" t="s">
        <v>268</v>
      </c>
      <c r="E677" t="s">
        <v>515</v>
      </c>
      <c r="F677" t="s">
        <v>611</v>
      </c>
      <c r="G677" t="s">
        <v>571</v>
      </c>
      <c r="H677" t="s">
        <v>628</v>
      </c>
      <c r="I677" t="s">
        <v>653</v>
      </c>
      <c r="J677">
        <v>1</v>
      </c>
      <c r="K677" t="s">
        <v>604</v>
      </c>
      <c r="L677">
        <v>430</v>
      </c>
      <c r="M677">
        <f t="shared" si="10"/>
        <v>430</v>
      </c>
    </row>
    <row r="678" spans="3:13">
      <c r="C678" t="s">
        <v>266</v>
      </c>
      <c r="D678" t="s">
        <v>268</v>
      </c>
      <c r="E678" t="s">
        <v>515</v>
      </c>
      <c r="F678" t="s">
        <v>611</v>
      </c>
      <c r="G678" t="s">
        <v>583</v>
      </c>
      <c r="H678" t="s">
        <v>636</v>
      </c>
      <c r="I678" t="s">
        <v>637</v>
      </c>
      <c r="J678">
        <v>1</v>
      </c>
      <c r="K678" t="s">
        <v>554</v>
      </c>
      <c r="L678">
        <v>41</v>
      </c>
      <c r="M678">
        <f t="shared" si="10"/>
        <v>41</v>
      </c>
    </row>
    <row r="679" spans="3:13">
      <c r="C679" t="s">
        <v>266</v>
      </c>
      <c r="D679" t="s">
        <v>268</v>
      </c>
      <c r="E679" t="s">
        <v>515</v>
      </c>
      <c r="F679" t="s">
        <v>611</v>
      </c>
      <c r="G679" t="s">
        <v>551</v>
      </c>
      <c r="H679" t="s">
        <v>630</v>
      </c>
      <c r="I679" t="s">
        <v>631</v>
      </c>
      <c r="J679">
        <v>1</v>
      </c>
      <c r="K679" t="s">
        <v>566</v>
      </c>
      <c r="L679">
        <v>4.7</v>
      </c>
      <c r="M679">
        <f t="shared" si="10"/>
        <v>4.7</v>
      </c>
    </row>
    <row r="680" spans="3:13">
      <c r="C680" t="s">
        <v>266</v>
      </c>
      <c r="D680" t="s">
        <v>268</v>
      </c>
      <c r="E680" t="s">
        <v>515</v>
      </c>
      <c r="F680" t="s">
        <v>611</v>
      </c>
      <c r="G680" t="s">
        <v>621</v>
      </c>
      <c r="H680" t="s">
        <v>632</v>
      </c>
      <c r="I680" t="s">
        <v>633</v>
      </c>
      <c r="J680">
        <v>1</v>
      </c>
      <c r="K680" t="s">
        <v>601</v>
      </c>
      <c r="L680">
        <v>370</v>
      </c>
      <c r="M680">
        <f t="shared" si="10"/>
        <v>370</v>
      </c>
    </row>
    <row r="681" spans="3:13">
      <c r="C681" t="s">
        <v>266</v>
      </c>
      <c r="D681" t="s">
        <v>268</v>
      </c>
      <c r="E681" t="s">
        <v>515</v>
      </c>
      <c r="F681" t="s">
        <v>611</v>
      </c>
      <c r="G681" t="s">
        <v>621</v>
      </c>
      <c r="H681" t="s">
        <v>634</v>
      </c>
      <c r="I681" t="s">
        <v>635</v>
      </c>
      <c r="J681">
        <v>1</v>
      </c>
      <c r="K681" t="s">
        <v>554</v>
      </c>
      <c r="L681">
        <v>39.5</v>
      </c>
      <c r="M681">
        <f t="shared" si="10"/>
        <v>39.5</v>
      </c>
    </row>
    <row r="682" spans="3:13">
      <c r="C682" t="s">
        <v>266</v>
      </c>
      <c r="D682" t="s">
        <v>268</v>
      </c>
      <c r="E682" t="s">
        <v>515</v>
      </c>
      <c r="F682" t="s">
        <v>611</v>
      </c>
      <c r="G682" t="s">
        <v>621</v>
      </c>
      <c r="H682" t="s">
        <v>638</v>
      </c>
      <c r="I682" t="s">
        <v>639</v>
      </c>
      <c r="J682">
        <v>1</v>
      </c>
      <c r="K682" t="s">
        <v>554</v>
      </c>
      <c r="L682">
        <v>17.2</v>
      </c>
      <c r="M682">
        <f t="shared" si="10"/>
        <v>17.2</v>
      </c>
    </row>
    <row r="683" spans="3:13">
      <c r="C683" t="s">
        <v>266</v>
      </c>
      <c r="D683" t="s">
        <v>268</v>
      </c>
      <c r="E683" t="s">
        <v>516</v>
      </c>
      <c r="F683" t="s">
        <v>543</v>
      </c>
      <c r="G683" t="s">
        <v>544</v>
      </c>
      <c r="H683" t="s">
        <v>545</v>
      </c>
      <c r="I683" t="s">
        <v>546</v>
      </c>
      <c r="J683">
        <v>1</v>
      </c>
      <c r="K683" t="s">
        <v>547</v>
      </c>
      <c r="L683">
        <v>920</v>
      </c>
      <c r="M683">
        <f t="shared" si="10"/>
        <v>920</v>
      </c>
    </row>
    <row r="684" spans="3:13">
      <c r="C684" t="s">
        <v>266</v>
      </c>
      <c r="D684" t="s">
        <v>268</v>
      </c>
      <c r="E684" t="s">
        <v>516</v>
      </c>
      <c r="F684" t="s">
        <v>543</v>
      </c>
      <c r="G684" t="s">
        <v>544</v>
      </c>
      <c r="H684" t="s">
        <v>548</v>
      </c>
      <c r="I684" t="s">
        <v>549</v>
      </c>
      <c r="J684">
        <v>1</v>
      </c>
      <c r="K684" t="s">
        <v>550</v>
      </c>
      <c r="L684">
        <v>380</v>
      </c>
      <c r="M684">
        <f t="shared" si="10"/>
        <v>380</v>
      </c>
    </row>
    <row r="685" spans="3:13">
      <c r="C685" t="s">
        <v>266</v>
      </c>
      <c r="D685" t="s">
        <v>268</v>
      </c>
      <c r="E685" t="s">
        <v>516</v>
      </c>
      <c r="F685" t="s">
        <v>543</v>
      </c>
      <c r="G685" t="s">
        <v>551</v>
      </c>
      <c r="H685" t="s">
        <v>552</v>
      </c>
      <c r="I685" t="s">
        <v>553</v>
      </c>
      <c r="J685">
        <v>1</v>
      </c>
      <c r="K685" t="s">
        <v>554</v>
      </c>
      <c r="L685">
        <v>14</v>
      </c>
      <c r="M685">
        <f t="shared" si="10"/>
        <v>14</v>
      </c>
    </row>
    <row r="686" spans="3:13">
      <c r="C686" t="s">
        <v>266</v>
      </c>
      <c r="D686" t="s">
        <v>268</v>
      </c>
      <c r="E686" t="s">
        <v>516</v>
      </c>
      <c r="F686" t="s">
        <v>543</v>
      </c>
      <c r="G686" t="s">
        <v>551</v>
      </c>
      <c r="H686" t="s">
        <v>555</v>
      </c>
      <c r="I686" t="s">
        <v>556</v>
      </c>
      <c r="J686">
        <v>1</v>
      </c>
      <c r="K686" t="s">
        <v>554</v>
      </c>
      <c r="L686">
        <v>33</v>
      </c>
      <c r="M686">
        <f t="shared" si="10"/>
        <v>33</v>
      </c>
    </row>
    <row r="687" spans="3:13">
      <c r="C687" t="s">
        <v>266</v>
      </c>
      <c r="D687" t="s">
        <v>268</v>
      </c>
      <c r="E687" t="s">
        <v>516</v>
      </c>
      <c r="F687" t="s">
        <v>643</v>
      </c>
      <c r="G687" t="s">
        <v>558</v>
      </c>
      <c r="H687" t="s">
        <v>559</v>
      </c>
      <c r="I687" t="s">
        <v>560</v>
      </c>
      <c r="J687">
        <v>1</v>
      </c>
      <c r="K687" t="s">
        <v>554</v>
      </c>
      <c r="L687">
        <v>0</v>
      </c>
      <c r="M687">
        <f t="shared" si="10"/>
        <v>0</v>
      </c>
    </row>
    <row r="688" spans="3:13">
      <c r="C688" t="s">
        <v>266</v>
      </c>
      <c r="D688" t="s">
        <v>268</v>
      </c>
      <c r="E688" t="s">
        <v>516</v>
      </c>
      <c r="F688" t="s">
        <v>643</v>
      </c>
      <c r="G688" t="s">
        <v>561</v>
      </c>
      <c r="H688" t="s">
        <v>562</v>
      </c>
      <c r="I688" t="s">
        <v>563</v>
      </c>
      <c r="J688">
        <v>1</v>
      </c>
      <c r="K688" t="s">
        <v>554</v>
      </c>
      <c r="L688">
        <v>13.38</v>
      </c>
      <c r="M688">
        <f t="shared" si="10"/>
        <v>13.38</v>
      </c>
    </row>
    <row r="689" spans="3:13">
      <c r="C689" t="s">
        <v>266</v>
      </c>
      <c r="D689" t="s">
        <v>268</v>
      </c>
      <c r="E689" t="s">
        <v>516</v>
      </c>
      <c r="F689" t="s">
        <v>643</v>
      </c>
      <c r="G689" t="s">
        <v>561</v>
      </c>
      <c r="H689" t="s">
        <v>644</v>
      </c>
      <c r="I689" t="s">
        <v>645</v>
      </c>
      <c r="J689">
        <v>1</v>
      </c>
      <c r="K689" t="s">
        <v>554</v>
      </c>
      <c r="L689">
        <v>39.06</v>
      </c>
      <c r="M689">
        <f t="shared" si="10"/>
        <v>39.06</v>
      </c>
    </row>
    <row r="690" spans="3:13">
      <c r="C690" t="s">
        <v>266</v>
      </c>
      <c r="D690" t="s">
        <v>268</v>
      </c>
      <c r="E690" t="s">
        <v>516</v>
      </c>
      <c r="F690" t="s">
        <v>643</v>
      </c>
      <c r="G690" t="s">
        <v>561</v>
      </c>
      <c r="H690" t="s">
        <v>646</v>
      </c>
      <c r="I690" t="s">
        <v>654</v>
      </c>
      <c r="J690">
        <v>1</v>
      </c>
      <c r="K690" t="s">
        <v>566</v>
      </c>
      <c r="L690">
        <v>8.39</v>
      </c>
      <c r="M690">
        <f t="shared" si="10"/>
        <v>8.39</v>
      </c>
    </row>
    <row r="691" spans="3:13">
      <c r="C691" t="s">
        <v>266</v>
      </c>
      <c r="D691" t="s">
        <v>268</v>
      </c>
      <c r="E691" t="s">
        <v>516</v>
      </c>
      <c r="F691" t="s">
        <v>643</v>
      </c>
      <c r="G691" t="s">
        <v>561</v>
      </c>
      <c r="H691" t="s">
        <v>485</v>
      </c>
      <c r="I691" t="s">
        <v>648</v>
      </c>
      <c r="J691">
        <v>1</v>
      </c>
      <c r="K691" t="s">
        <v>566</v>
      </c>
      <c r="L691">
        <v>15.22</v>
      </c>
      <c r="M691">
        <f t="shared" si="10"/>
        <v>15.22</v>
      </c>
    </row>
    <row r="692" spans="3:13">
      <c r="C692" t="s">
        <v>266</v>
      </c>
      <c r="D692" t="s">
        <v>268</v>
      </c>
      <c r="E692" t="s">
        <v>516</v>
      </c>
      <c r="F692" t="s">
        <v>643</v>
      </c>
      <c r="G692" t="s">
        <v>561</v>
      </c>
      <c r="H692" t="s">
        <v>606</v>
      </c>
      <c r="I692" t="s">
        <v>649</v>
      </c>
      <c r="J692">
        <v>2</v>
      </c>
      <c r="K692" t="s">
        <v>550</v>
      </c>
      <c r="L692">
        <v>4.75</v>
      </c>
      <c r="M692">
        <f t="shared" si="10"/>
        <v>9.5</v>
      </c>
    </row>
    <row r="693" spans="3:13">
      <c r="C693" t="s">
        <v>266</v>
      </c>
      <c r="D693" t="s">
        <v>268</v>
      </c>
      <c r="E693" t="s">
        <v>516</v>
      </c>
      <c r="F693" t="s">
        <v>643</v>
      </c>
      <c r="G693" t="s">
        <v>571</v>
      </c>
      <c r="H693" t="s">
        <v>572</v>
      </c>
      <c r="I693" t="s">
        <v>573</v>
      </c>
      <c r="J693">
        <v>1</v>
      </c>
      <c r="K693" t="s">
        <v>554</v>
      </c>
      <c r="L693">
        <v>1680</v>
      </c>
      <c r="M693">
        <f t="shared" si="10"/>
        <v>1680</v>
      </c>
    </row>
    <row r="694" spans="3:13">
      <c r="C694" t="s">
        <v>266</v>
      </c>
      <c r="D694" t="s">
        <v>268</v>
      </c>
      <c r="E694" t="s">
        <v>516</v>
      </c>
      <c r="F694" t="s">
        <v>643</v>
      </c>
      <c r="G694" t="s">
        <v>571</v>
      </c>
      <c r="H694" t="s">
        <v>574</v>
      </c>
      <c r="I694" t="s">
        <v>575</v>
      </c>
      <c r="J694">
        <v>1</v>
      </c>
      <c r="K694" t="s">
        <v>554</v>
      </c>
      <c r="L694">
        <v>10</v>
      </c>
      <c r="M694">
        <f t="shared" si="10"/>
        <v>10</v>
      </c>
    </row>
    <row r="695" spans="3:13">
      <c r="C695" t="s">
        <v>266</v>
      </c>
      <c r="D695" t="s">
        <v>268</v>
      </c>
      <c r="E695" t="s">
        <v>516</v>
      </c>
      <c r="F695" t="s">
        <v>643</v>
      </c>
      <c r="G695" t="s">
        <v>576</v>
      </c>
      <c r="H695" t="s">
        <v>577</v>
      </c>
      <c r="I695" t="s">
        <v>578</v>
      </c>
      <c r="J695">
        <v>1</v>
      </c>
      <c r="K695" t="s">
        <v>554</v>
      </c>
      <c r="L695">
        <v>74</v>
      </c>
      <c r="M695">
        <f t="shared" si="10"/>
        <v>74</v>
      </c>
    </row>
    <row r="696" spans="3:13">
      <c r="C696" t="s">
        <v>266</v>
      </c>
      <c r="D696" t="s">
        <v>268</v>
      </c>
      <c r="E696" t="s">
        <v>516</v>
      </c>
      <c r="F696" t="s">
        <v>643</v>
      </c>
      <c r="G696" t="s">
        <v>558</v>
      </c>
      <c r="H696" t="s">
        <v>581</v>
      </c>
      <c r="I696" t="s">
        <v>582</v>
      </c>
      <c r="J696">
        <v>1</v>
      </c>
      <c r="K696" t="s">
        <v>554</v>
      </c>
      <c r="L696">
        <v>84</v>
      </c>
      <c r="M696">
        <f t="shared" si="10"/>
        <v>84</v>
      </c>
    </row>
    <row r="697" spans="3:13">
      <c r="C697" t="s">
        <v>266</v>
      </c>
      <c r="D697" t="s">
        <v>268</v>
      </c>
      <c r="E697" t="s">
        <v>516</v>
      </c>
      <c r="F697" t="s">
        <v>643</v>
      </c>
      <c r="G697" t="s">
        <v>583</v>
      </c>
      <c r="H697" t="s">
        <v>584</v>
      </c>
      <c r="I697" t="s">
        <v>585</v>
      </c>
      <c r="J697">
        <v>1</v>
      </c>
      <c r="K697" t="s">
        <v>554</v>
      </c>
      <c r="L697">
        <v>165</v>
      </c>
      <c r="M697">
        <f t="shared" si="10"/>
        <v>165</v>
      </c>
    </row>
    <row r="698" spans="3:13">
      <c r="C698" t="s">
        <v>266</v>
      </c>
      <c r="D698" t="s">
        <v>268</v>
      </c>
      <c r="E698" t="s">
        <v>516</v>
      </c>
      <c r="F698" t="s">
        <v>643</v>
      </c>
      <c r="G698" t="s">
        <v>561</v>
      </c>
      <c r="H698" t="s">
        <v>586</v>
      </c>
      <c r="I698" t="s">
        <v>587</v>
      </c>
      <c r="J698">
        <v>1</v>
      </c>
      <c r="K698" t="s">
        <v>554</v>
      </c>
      <c r="L698">
        <v>43</v>
      </c>
      <c r="M698">
        <f t="shared" si="10"/>
        <v>43</v>
      </c>
    </row>
    <row r="699" spans="3:13">
      <c r="C699" t="s">
        <v>266</v>
      </c>
      <c r="D699" t="s">
        <v>268</v>
      </c>
      <c r="E699" t="s">
        <v>516</v>
      </c>
      <c r="F699" t="s">
        <v>643</v>
      </c>
      <c r="G699" t="s">
        <v>588</v>
      </c>
      <c r="H699" t="s">
        <v>589</v>
      </c>
      <c r="I699" t="s">
        <v>590</v>
      </c>
      <c r="J699">
        <v>1</v>
      </c>
      <c r="K699" t="s">
        <v>554</v>
      </c>
      <c r="L699">
        <v>425</v>
      </c>
      <c r="M699">
        <f t="shared" si="10"/>
        <v>425</v>
      </c>
    </row>
    <row r="700" spans="3:13">
      <c r="C700" t="s">
        <v>266</v>
      </c>
      <c r="D700" t="s">
        <v>268</v>
      </c>
      <c r="E700" t="s">
        <v>516</v>
      </c>
      <c r="F700" t="s">
        <v>643</v>
      </c>
      <c r="G700" t="s">
        <v>561</v>
      </c>
      <c r="H700" t="s">
        <v>591</v>
      </c>
      <c r="I700" t="s">
        <v>592</v>
      </c>
      <c r="J700">
        <v>1</v>
      </c>
      <c r="K700" t="s">
        <v>554</v>
      </c>
      <c r="L700">
        <v>77</v>
      </c>
      <c r="M700">
        <f t="shared" si="10"/>
        <v>77</v>
      </c>
    </row>
    <row r="701" spans="3:13">
      <c r="C701" t="s">
        <v>266</v>
      </c>
      <c r="D701" t="s">
        <v>268</v>
      </c>
      <c r="E701" t="s">
        <v>516</v>
      </c>
      <c r="F701" t="s">
        <v>643</v>
      </c>
      <c r="G701" t="s">
        <v>544</v>
      </c>
      <c r="H701" t="s">
        <v>657</v>
      </c>
      <c r="I701" t="s">
        <v>658</v>
      </c>
      <c r="J701">
        <v>1</v>
      </c>
      <c r="K701" t="s">
        <v>595</v>
      </c>
      <c r="L701">
        <v>800</v>
      </c>
      <c r="M701">
        <f t="shared" si="10"/>
        <v>800</v>
      </c>
    </row>
    <row r="702" spans="3:13">
      <c r="C702" t="s">
        <v>266</v>
      </c>
      <c r="D702" t="s">
        <v>268</v>
      </c>
      <c r="E702" t="s">
        <v>516</v>
      </c>
      <c r="F702" t="s">
        <v>557</v>
      </c>
      <c r="G702" t="s">
        <v>544</v>
      </c>
      <c r="H702" t="s">
        <v>657</v>
      </c>
      <c r="I702" t="s">
        <v>658</v>
      </c>
      <c r="J702">
        <v>1</v>
      </c>
      <c r="K702" t="s">
        <v>601</v>
      </c>
      <c r="L702">
        <v>459</v>
      </c>
      <c r="M702">
        <f t="shared" si="10"/>
        <v>459</v>
      </c>
    </row>
    <row r="703" spans="3:13">
      <c r="C703" t="s">
        <v>266</v>
      </c>
      <c r="D703" t="s">
        <v>268</v>
      </c>
      <c r="E703" t="s">
        <v>516</v>
      </c>
      <c r="F703" t="s">
        <v>557</v>
      </c>
      <c r="G703" t="s">
        <v>596</v>
      </c>
      <c r="H703" t="s">
        <v>597</v>
      </c>
      <c r="I703" t="s">
        <v>640</v>
      </c>
      <c r="J703">
        <v>1</v>
      </c>
      <c r="K703" t="s">
        <v>641</v>
      </c>
      <c r="L703">
        <v>77</v>
      </c>
      <c r="M703">
        <f t="shared" si="10"/>
        <v>77</v>
      </c>
    </row>
    <row r="704" spans="3:13">
      <c r="C704" t="s">
        <v>266</v>
      </c>
      <c r="D704" t="s">
        <v>268</v>
      </c>
      <c r="E704" t="s">
        <v>516</v>
      </c>
      <c r="F704" t="s">
        <v>557</v>
      </c>
      <c r="G704" t="s">
        <v>561</v>
      </c>
      <c r="H704" t="s">
        <v>564</v>
      </c>
      <c r="I704" t="s">
        <v>565</v>
      </c>
      <c r="J704">
        <v>1</v>
      </c>
      <c r="K704" t="s">
        <v>566</v>
      </c>
      <c r="L704">
        <v>26.93</v>
      </c>
      <c r="M704">
        <f t="shared" si="10"/>
        <v>26.93</v>
      </c>
    </row>
    <row r="705" spans="3:13">
      <c r="C705" t="s">
        <v>266</v>
      </c>
      <c r="D705" t="s">
        <v>268</v>
      </c>
      <c r="E705" t="s">
        <v>516</v>
      </c>
      <c r="F705" t="s">
        <v>557</v>
      </c>
      <c r="G705" t="s">
        <v>561</v>
      </c>
      <c r="H705" t="s">
        <v>567</v>
      </c>
      <c r="I705" t="s">
        <v>568</v>
      </c>
      <c r="J705">
        <v>1</v>
      </c>
      <c r="K705" t="s">
        <v>566</v>
      </c>
      <c r="L705">
        <v>23.77</v>
      </c>
      <c r="M705">
        <f t="shared" si="10"/>
        <v>23.77</v>
      </c>
    </row>
    <row r="706" spans="3:13">
      <c r="C706" t="s">
        <v>266</v>
      </c>
      <c r="D706" t="s">
        <v>268</v>
      </c>
      <c r="E706" t="s">
        <v>516</v>
      </c>
      <c r="F706" t="s">
        <v>557</v>
      </c>
      <c r="G706" t="s">
        <v>561</v>
      </c>
      <c r="H706" t="s">
        <v>569</v>
      </c>
      <c r="I706" t="s">
        <v>570</v>
      </c>
      <c r="J706">
        <v>1</v>
      </c>
      <c r="K706" t="s">
        <v>554</v>
      </c>
      <c r="L706">
        <v>47.7</v>
      </c>
      <c r="M706">
        <f t="shared" si="10"/>
        <v>47.7</v>
      </c>
    </row>
    <row r="707" spans="3:13">
      <c r="C707" t="s">
        <v>266</v>
      </c>
      <c r="D707" t="s">
        <v>268</v>
      </c>
      <c r="E707" t="s">
        <v>516</v>
      </c>
      <c r="F707" t="s">
        <v>557</v>
      </c>
      <c r="G707" t="s">
        <v>571</v>
      </c>
      <c r="H707" t="s">
        <v>572</v>
      </c>
      <c r="I707" t="s">
        <v>573</v>
      </c>
      <c r="J707">
        <v>1</v>
      </c>
      <c r="K707" t="s">
        <v>554</v>
      </c>
      <c r="L707">
        <v>1680</v>
      </c>
      <c r="M707">
        <f t="shared" si="10"/>
        <v>1680</v>
      </c>
    </row>
    <row r="708" spans="3:13">
      <c r="C708" t="s">
        <v>266</v>
      </c>
      <c r="D708" t="s">
        <v>268</v>
      </c>
      <c r="E708" t="s">
        <v>516</v>
      </c>
      <c r="F708" t="s">
        <v>557</v>
      </c>
      <c r="G708" t="s">
        <v>571</v>
      </c>
      <c r="H708" t="s">
        <v>574</v>
      </c>
      <c r="I708" t="s">
        <v>575</v>
      </c>
      <c r="J708">
        <v>1</v>
      </c>
      <c r="K708" t="s">
        <v>554</v>
      </c>
      <c r="L708">
        <v>10</v>
      </c>
      <c r="M708">
        <f t="shared" si="10"/>
        <v>10</v>
      </c>
    </row>
    <row r="709" spans="3:13">
      <c r="C709" t="s">
        <v>266</v>
      </c>
      <c r="D709" t="s">
        <v>268</v>
      </c>
      <c r="E709" t="s">
        <v>516</v>
      </c>
      <c r="F709" t="s">
        <v>557</v>
      </c>
      <c r="G709" t="s">
        <v>558</v>
      </c>
      <c r="H709" t="s">
        <v>581</v>
      </c>
      <c r="I709" t="s">
        <v>582</v>
      </c>
      <c r="J709">
        <v>1</v>
      </c>
      <c r="K709" t="s">
        <v>554</v>
      </c>
      <c r="L709">
        <v>84</v>
      </c>
      <c r="M709">
        <f t="shared" si="10"/>
        <v>84</v>
      </c>
    </row>
    <row r="710" spans="3:13">
      <c r="C710" t="s">
        <v>266</v>
      </c>
      <c r="D710" t="s">
        <v>268</v>
      </c>
      <c r="E710" t="s">
        <v>516</v>
      </c>
      <c r="F710" t="s">
        <v>557</v>
      </c>
      <c r="G710" t="s">
        <v>576</v>
      </c>
      <c r="H710" t="s">
        <v>577</v>
      </c>
      <c r="I710" t="s">
        <v>578</v>
      </c>
      <c r="J710">
        <v>1</v>
      </c>
      <c r="K710" t="s">
        <v>554</v>
      </c>
      <c r="L710">
        <v>74</v>
      </c>
      <c r="M710">
        <f t="shared" si="10"/>
        <v>74</v>
      </c>
    </row>
    <row r="711" spans="3:13">
      <c r="C711" t="s">
        <v>266</v>
      </c>
      <c r="D711" t="s">
        <v>268</v>
      </c>
      <c r="E711" t="s">
        <v>516</v>
      </c>
      <c r="F711" t="s">
        <v>67</v>
      </c>
      <c r="G711" t="s">
        <v>561</v>
      </c>
      <c r="H711" t="s">
        <v>481</v>
      </c>
      <c r="I711" t="s">
        <v>659</v>
      </c>
      <c r="J711">
        <v>1</v>
      </c>
      <c r="K711" t="s">
        <v>601</v>
      </c>
      <c r="L711">
        <v>55.16</v>
      </c>
      <c r="M711">
        <f t="shared" si="10"/>
        <v>55.16</v>
      </c>
    </row>
    <row r="712" spans="3:13">
      <c r="C712" t="s">
        <v>266</v>
      </c>
      <c r="D712" t="s">
        <v>268</v>
      </c>
      <c r="E712" t="s">
        <v>516</v>
      </c>
      <c r="F712" t="s">
        <v>67</v>
      </c>
      <c r="G712" t="s">
        <v>561</v>
      </c>
      <c r="H712" t="s">
        <v>608</v>
      </c>
      <c r="I712" t="s">
        <v>609</v>
      </c>
      <c r="J712">
        <v>1</v>
      </c>
      <c r="K712" t="s">
        <v>610</v>
      </c>
      <c r="L712">
        <v>58</v>
      </c>
      <c r="M712">
        <f t="shared" si="10"/>
        <v>58</v>
      </c>
    </row>
    <row r="713" spans="3:13">
      <c r="C713" t="s">
        <v>266</v>
      </c>
      <c r="D713" t="s">
        <v>268</v>
      </c>
      <c r="E713" t="s">
        <v>516</v>
      </c>
      <c r="F713" t="s">
        <v>67</v>
      </c>
      <c r="G713" t="s">
        <v>571</v>
      </c>
      <c r="H713" t="s">
        <v>602</v>
      </c>
      <c r="I713" t="s">
        <v>603</v>
      </c>
      <c r="J713">
        <v>1</v>
      </c>
      <c r="K713" t="s">
        <v>604</v>
      </c>
      <c r="L713">
        <v>48.27</v>
      </c>
      <c r="M713">
        <f t="shared" si="10"/>
        <v>48.27</v>
      </c>
    </row>
    <row r="714" spans="3:13">
      <c r="C714" t="s">
        <v>266</v>
      </c>
      <c r="D714" t="s">
        <v>268</v>
      </c>
      <c r="E714" t="s">
        <v>516</v>
      </c>
      <c r="F714" t="s">
        <v>67</v>
      </c>
      <c r="G714" t="s">
        <v>576</v>
      </c>
      <c r="H714" t="s">
        <v>660</v>
      </c>
      <c r="I714" t="s">
        <v>661</v>
      </c>
      <c r="J714">
        <v>1</v>
      </c>
      <c r="K714" t="s">
        <v>554</v>
      </c>
      <c r="L714">
        <v>48</v>
      </c>
      <c r="M714">
        <f t="shared" ref="M714:M777" si="11">J714*L714</f>
        <v>48</v>
      </c>
    </row>
    <row r="715" spans="3:13">
      <c r="C715" t="s">
        <v>266</v>
      </c>
      <c r="D715" t="s">
        <v>268</v>
      </c>
      <c r="E715" t="s">
        <v>516</v>
      </c>
      <c r="F715" t="s">
        <v>67</v>
      </c>
      <c r="G715" t="s">
        <v>662</v>
      </c>
      <c r="H715" t="s">
        <v>663</v>
      </c>
      <c r="I715" t="s">
        <v>664</v>
      </c>
      <c r="J715">
        <v>1</v>
      </c>
      <c r="K715" t="s">
        <v>641</v>
      </c>
      <c r="L715">
        <v>288</v>
      </c>
      <c r="M715">
        <f t="shared" si="11"/>
        <v>288</v>
      </c>
    </row>
    <row r="716" spans="3:13">
      <c r="C716" t="s">
        <v>266</v>
      </c>
      <c r="D716" t="s">
        <v>268</v>
      </c>
      <c r="E716" t="s">
        <v>516</v>
      </c>
      <c r="F716" t="s">
        <v>611</v>
      </c>
      <c r="G716" t="s">
        <v>544</v>
      </c>
      <c r="H716" t="s">
        <v>612</v>
      </c>
      <c r="I716" t="s">
        <v>613</v>
      </c>
      <c r="J716">
        <v>1</v>
      </c>
      <c r="K716" t="s">
        <v>595</v>
      </c>
      <c r="L716">
        <v>290</v>
      </c>
      <c r="M716">
        <f t="shared" si="11"/>
        <v>290</v>
      </c>
    </row>
    <row r="717" spans="3:13">
      <c r="C717" t="s">
        <v>266</v>
      </c>
      <c r="D717" t="s">
        <v>268</v>
      </c>
      <c r="E717" t="s">
        <v>516</v>
      </c>
      <c r="F717" t="s">
        <v>611</v>
      </c>
      <c r="G717" t="s">
        <v>571</v>
      </c>
      <c r="H717" t="s">
        <v>614</v>
      </c>
      <c r="I717" t="s">
        <v>615</v>
      </c>
      <c r="J717">
        <v>1</v>
      </c>
      <c r="K717" t="s">
        <v>554</v>
      </c>
      <c r="L717">
        <v>100</v>
      </c>
      <c r="M717">
        <f t="shared" si="11"/>
        <v>100</v>
      </c>
    </row>
    <row r="718" spans="3:13">
      <c r="C718" t="s">
        <v>266</v>
      </c>
      <c r="D718" t="s">
        <v>268</v>
      </c>
      <c r="E718" t="s">
        <v>516</v>
      </c>
      <c r="F718" t="s">
        <v>611</v>
      </c>
      <c r="G718" t="s">
        <v>561</v>
      </c>
      <c r="H718" t="s">
        <v>616</v>
      </c>
      <c r="I718" t="s">
        <v>617</v>
      </c>
      <c r="J718">
        <v>1</v>
      </c>
      <c r="K718" t="s">
        <v>618</v>
      </c>
      <c r="L718">
        <v>55</v>
      </c>
      <c r="M718">
        <f t="shared" si="11"/>
        <v>55</v>
      </c>
    </row>
    <row r="719" spans="3:13">
      <c r="C719" t="s">
        <v>266</v>
      </c>
      <c r="D719" t="s">
        <v>268</v>
      </c>
      <c r="E719" t="s">
        <v>516</v>
      </c>
      <c r="F719" t="s">
        <v>611</v>
      </c>
      <c r="G719" t="s">
        <v>576</v>
      </c>
      <c r="H719" t="s">
        <v>619</v>
      </c>
      <c r="I719" t="s">
        <v>620</v>
      </c>
      <c r="J719">
        <v>1</v>
      </c>
      <c r="K719" t="s">
        <v>554</v>
      </c>
      <c r="L719">
        <v>66.26</v>
      </c>
      <c r="M719">
        <f t="shared" si="11"/>
        <v>66.26</v>
      </c>
    </row>
    <row r="720" spans="3:13">
      <c r="C720" t="s">
        <v>266</v>
      </c>
      <c r="D720" t="s">
        <v>268</v>
      </c>
      <c r="E720" t="s">
        <v>516</v>
      </c>
      <c r="F720" t="s">
        <v>611</v>
      </c>
      <c r="G720" t="s">
        <v>621</v>
      </c>
      <c r="H720" t="s">
        <v>622</v>
      </c>
      <c r="I720" t="s">
        <v>623</v>
      </c>
      <c r="J720">
        <v>1</v>
      </c>
      <c r="K720" t="s">
        <v>554</v>
      </c>
      <c r="L720">
        <v>101</v>
      </c>
      <c r="M720">
        <f t="shared" si="11"/>
        <v>101</v>
      </c>
    </row>
    <row r="721" spans="3:13">
      <c r="C721" t="s">
        <v>266</v>
      </c>
      <c r="D721" t="s">
        <v>268</v>
      </c>
      <c r="E721" t="s">
        <v>516</v>
      </c>
      <c r="F721" t="s">
        <v>611</v>
      </c>
      <c r="G721" t="s">
        <v>621</v>
      </c>
      <c r="H721" t="s">
        <v>624</v>
      </c>
      <c r="I721" t="s">
        <v>625</v>
      </c>
      <c r="J721">
        <v>1</v>
      </c>
      <c r="K721" t="s">
        <v>554</v>
      </c>
      <c r="L721">
        <v>418</v>
      </c>
      <c r="M721">
        <f t="shared" si="11"/>
        <v>418</v>
      </c>
    </row>
    <row r="722" spans="3:13">
      <c r="C722" t="s">
        <v>266</v>
      </c>
      <c r="D722" t="s">
        <v>268</v>
      </c>
      <c r="E722" t="s">
        <v>516</v>
      </c>
      <c r="F722" t="s">
        <v>611</v>
      </c>
      <c r="G722" t="s">
        <v>621</v>
      </c>
      <c r="H722" t="s">
        <v>626</v>
      </c>
      <c r="I722" t="s">
        <v>627</v>
      </c>
      <c r="J722">
        <v>1</v>
      </c>
      <c r="K722" t="s">
        <v>554</v>
      </c>
      <c r="L722">
        <v>37</v>
      </c>
      <c r="M722">
        <f t="shared" si="11"/>
        <v>37</v>
      </c>
    </row>
    <row r="723" spans="3:13">
      <c r="C723" t="s">
        <v>266</v>
      </c>
      <c r="D723" t="s">
        <v>268</v>
      </c>
      <c r="E723" t="s">
        <v>516</v>
      </c>
      <c r="F723" t="s">
        <v>611</v>
      </c>
      <c r="G723" t="s">
        <v>571</v>
      </c>
      <c r="H723" t="s">
        <v>628</v>
      </c>
      <c r="I723" t="s">
        <v>653</v>
      </c>
      <c r="J723">
        <v>1</v>
      </c>
      <c r="K723" t="s">
        <v>604</v>
      </c>
      <c r="L723">
        <v>430</v>
      </c>
      <c r="M723">
        <f t="shared" si="11"/>
        <v>430</v>
      </c>
    </row>
    <row r="724" spans="3:13">
      <c r="C724" t="s">
        <v>266</v>
      </c>
      <c r="D724" t="s">
        <v>268</v>
      </c>
      <c r="E724" t="s">
        <v>516</v>
      </c>
      <c r="F724" t="s">
        <v>611</v>
      </c>
      <c r="G724" t="s">
        <v>551</v>
      </c>
      <c r="H724" t="s">
        <v>630</v>
      </c>
      <c r="I724" t="s">
        <v>631</v>
      </c>
      <c r="J724">
        <v>1</v>
      </c>
      <c r="K724" t="s">
        <v>566</v>
      </c>
      <c r="L724">
        <v>4.7</v>
      </c>
      <c r="M724">
        <f t="shared" si="11"/>
        <v>4.7</v>
      </c>
    </row>
    <row r="725" spans="3:13">
      <c r="C725" t="s">
        <v>266</v>
      </c>
      <c r="D725" t="s">
        <v>268</v>
      </c>
      <c r="E725" t="s">
        <v>516</v>
      </c>
      <c r="F725" t="s">
        <v>611</v>
      </c>
      <c r="G725" t="s">
        <v>621</v>
      </c>
      <c r="H725" t="s">
        <v>632</v>
      </c>
      <c r="I725" t="s">
        <v>633</v>
      </c>
      <c r="J725">
        <v>1</v>
      </c>
      <c r="K725" t="s">
        <v>601</v>
      </c>
      <c r="L725">
        <v>370</v>
      </c>
      <c r="M725">
        <f t="shared" si="11"/>
        <v>370</v>
      </c>
    </row>
    <row r="726" spans="3:13">
      <c r="C726" t="s">
        <v>266</v>
      </c>
      <c r="D726" t="s">
        <v>268</v>
      </c>
      <c r="E726" t="s">
        <v>516</v>
      </c>
      <c r="F726" t="s">
        <v>611</v>
      </c>
      <c r="G726" t="s">
        <v>621</v>
      </c>
      <c r="H726" t="s">
        <v>634</v>
      </c>
      <c r="I726" t="s">
        <v>635</v>
      </c>
      <c r="J726">
        <v>1</v>
      </c>
      <c r="K726" t="s">
        <v>554</v>
      </c>
      <c r="L726">
        <v>39.5</v>
      </c>
      <c r="M726">
        <f t="shared" si="11"/>
        <v>39.5</v>
      </c>
    </row>
    <row r="727" spans="3:13">
      <c r="C727" t="s">
        <v>266</v>
      </c>
      <c r="D727" t="s">
        <v>268</v>
      </c>
      <c r="E727" t="s">
        <v>516</v>
      </c>
      <c r="F727" t="s">
        <v>611</v>
      </c>
      <c r="G727" t="s">
        <v>583</v>
      </c>
      <c r="H727" t="s">
        <v>636</v>
      </c>
      <c r="I727" t="s">
        <v>637</v>
      </c>
      <c r="J727">
        <v>1</v>
      </c>
      <c r="K727" t="s">
        <v>554</v>
      </c>
      <c r="L727">
        <v>41</v>
      </c>
      <c r="M727">
        <f t="shared" si="11"/>
        <v>41</v>
      </c>
    </row>
    <row r="728" spans="3:13">
      <c r="C728" t="s">
        <v>266</v>
      </c>
      <c r="D728" t="s">
        <v>268</v>
      </c>
      <c r="E728" t="s">
        <v>516</v>
      </c>
      <c r="F728" t="s">
        <v>611</v>
      </c>
      <c r="G728" t="s">
        <v>621</v>
      </c>
      <c r="H728" t="s">
        <v>638</v>
      </c>
      <c r="I728" t="s">
        <v>639</v>
      </c>
      <c r="J728">
        <v>1</v>
      </c>
      <c r="K728" t="s">
        <v>554</v>
      </c>
      <c r="L728">
        <v>17.2</v>
      </c>
      <c r="M728">
        <f t="shared" si="11"/>
        <v>17.2</v>
      </c>
    </row>
    <row r="729" spans="3:13">
      <c r="C729" t="s">
        <v>266</v>
      </c>
      <c r="D729" t="s">
        <v>268</v>
      </c>
      <c r="E729" t="s">
        <v>517</v>
      </c>
      <c r="F729" t="s">
        <v>543</v>
      </c>
      <c r="G729" t="s">
        <v>544</v>
      </c>
      <c r="H729" t="s">
        <v>545</v>
      </c>
      <c r="I729" t="s">
        <v>546</v>
      </c>
      <c r="J729">
        <v>1</v>
      </c>
      <c r="K729" t="s">
        <v>547</v>
      </c>
      <c r="L729">
        <v>920</v>
      </c>
      <c r="M729">
        <f t="shared" si="11"/>
        <v>920</v>
      </c>
    </row>
    <row r="730" spans="3:13">
      <c r="C730" t="s">
        <v>266</v>
      </c>
      <c r="D730" t="s">
        <v>268</v>
      </c>
      <c r="E730" t="s">
        <v>517</v>
      </c>
      <c r="F730" t="s">
        <v>543</v>
      </c>
      <c r="G730" t="s">
        <v>544</v>
      </c>
      <c r="H730" t="s">
        <v>548</v>
      </c>
      <c r="I730" t="s">
        <v>549</v>
      </c>
      <c r="J730">
        <v>1</v>
      </c>
      <c r="K730" t="s">
        <v>550</v>
      </c>
      <c r="L730">
        <v>380</v>
      </c>
      <c r="M730">
        <f t="shared" si="11"/>
        <v>380</v>
      </c>
    </row>
    <row r="731" spans="3:13">
      <c r="C731" t="s">
        <v>266</v>
      </c>
      <c r="D731" t="s">
        <v>268</v>
      </c>
      <c r="E731" t="s">
        <v>517</v>
      </c>
      <c r="F731" t="s">
        <v>543</v>
      </c>
      <c r="G731" t="s">
        <v>551</v>
      </c>
      <c r="H731" t="s">
        <v>552</v>
      </c>
      <c r="I731" t="s">
        <v>553</v>
      </c>
      <c r="J731">
        <v>1</v>
      </c>
      <c r="K731" t="s">
        <v>554</v>
      </c>
      <c r="L731">
        <v>14</v>
      </c>
      <c r="M731">
        <f t="shared" si="11"/>
        <v>14</v>
      </c>
    </row>
    <row r="732" spans="3:13">
      <c r="C732" t="s">
        <v>266</v>
      </c>
      <c r="D732" t="s">
        <v>268</v>
      </c>
      <c r="E732" t="s">
        <v>517</v>
      </c>
      <c r="F732" t="s">
        <v>543</v>
      </c>
      <c r="G732" t="s">
        <v>551</v>
      </c>
      <c r="H732" t="s">
        <v>555</v>
      </c>
      <c r="I732" t="s">
        <v>556</v>
      </c>
      <c r="J732">
        <v>1</v>
      </c>
      <c r="K732" t="s">
        <v>554</v>
      </c>
      <c r="L732">
        <v>33</v>
      </c>
      <c r="M732">
        <f t="shared" si="11"/>
        <v>33</v>
      </c>
    </row>
    <row r="733" spans="3:13">
      <c r="C733" t="s">
        <v>266</v>
      </c>
      <c r="D733" t="s">
        <v>268</v>
      </c>
      <c r="E733" t="s">
        <v>517</v>
      </c>
      <c r="F733" t="s">
        <v>557</v>
      </c>
      <c r="G733" t="s">
        <v>558</v>
      </c>
      <c r="H733" t="s">
        <v>559</v>
      </c>
      <c r="I733" t="s">
        <v>560</v>
      </c>
      <c r="J733">
        <v>1</v>
      </c>
      <c r="K733" t="s">
        <v>554</v>
      </c>
      <c r="L733">
        <v>0</v>
      </c>
      <c r="M733">
        <f t="shared" si="11"/>
        <v>0</v>
      </c>
    </row>
    <row r="734" spans="3:13">
      <c r="C734" t="s">
        <v>266</v>
      </c>
      <c r="D734" t="s">
        <v>268</v>
      </c>
      <c r="E734" t="s">
        <v>517</v>
      </c>
      <c r="F734" t="s">
        <v>557</v>
      </c>
      <c r="G734" t="s">
        <v>561</v>
      </c>
      <c r="H734" t="s">
        <v>562</v>
      </c>
      <c r="I734" t="s">
        <v>563</v>
      </c>
      <c r="J734">
        <v>1</v>
      </c>
      <c r="K734" t="s">
        <v>554</v>
      </c>
      <c r="L734">
        <v>13.38</v>
      </c>
      <c r="M734">
        <f t="shared" si="11"/>
        <v>13.38</v>
      </c>
    </row>
    <row r="735" spans="3:13">
      <c r="C735" t="s">
        <v>266</v>
      </c>
      <c r="D735" t="s">
        <v>268</v>
      </c>
      <c r="E735" t="s">
        <v>517</v>
      </c>
      <c r="F735" t="s">
        <v>557</v>
      </c>
      <c r="G735" t="s">
        <v>561</v>
      </c>
      <c r="H735" t="s">
        <v>564</v>
      </c>
      <c r="I735" t="s">
        <v>565</v>
      </c>
      <c r="J735">
        <v>1</v>
      </c>
      <c r="K735" t="s">
        <v>566</v>
      </c>
      <c r="L735">
        <v>26.93</v>
      </c>
      <c r="M735">
        <f t="shared" si="11"/>
        <v>26.93</v>
      </c>
    </row>
    <row r="736" spans="3:13">
      <c r="C736" t="s">
        <v>266</v>
      </c>
      <c r="D736" t="s">
        <v>268</v>
      </c>
      <c r="E736" t="s">
        <v>517</v>
      </c>
      <c r="F736" t="s">
        <v>557</v>
      </c>
      <c r="G736" t="s">
        <v>561</v>
      </c>
      <c r="H736" t="s">
        <v>567</v>
      </c>
      <c r="I736" t="s">
        <v>568</v>
      </c>
      <c r="J736">
        <v>1</v>
      </c>
      <c r="K736" t="s">
        <v>566</v>
      </c>
      <c r="L736">
        <v>23.77</v>
      </c>
      <c r="M736">
        <f t="shared" si="11"/>
        <v>23.77</v>
      </c>
    </row>
    <row r="737" spans="3:13">
      <c r="C737" t="s">
        <v>266</v>
      </c>
      <c r="D737" t="s">
        <v>268</v>
      </c>
      <c r="E737" t="s">
        <v>517</v>
      </c>
      <c r="F737" t="s">
        <v>557</v>
      </c>
      <c r="G737" t="s">
        <v>561</v>
      </c>
      <c r="H737" t="s">
        <v>655</v>
      </c>
      <c r="I737" t="s">
        <v>656</v>
      </c>
      <c r="J737">
        <v>1</v>
      </c>
      <c r="K737" t="s">
        <v>554</v>
      </c>
      <c r="L737">
        <v>7.85</v>
      </c>
      <c r="M737">
        <f t="shared" si="11"/>
        <v>7.85</v>
      </c>
    </row>
    <row r="738" spans="3:13">
      <c r="C738" t="s">
        <v>266</v>
      </c>
      <c r="D738" t="s">
        <v>268</v>
      </c>
      <c r="E738" t="s">
        <v>517</v>
      </c>
      <c r="F738" t="s">
        <v>557</v>
      </c>
      <c r="G738" t="s">
        <v>561</v>
      </c>
      <c r="H738" t="s">
        <v>569</v>
      </c>
      <c r="I738" t="s">
        <v>570</v>
      </c>
      <c r="J738">
        <v>1</v>
      </c>
      <c r="K738" t="s">
        <v>554</v>
      </c>
      <c r="L738">
        <v>47.7</v>
      </c>
      <c r="M738">
        <f t="shared" si="11"/>
        <v>47.7</v>
      </c>
    </row>
    <row r="739" spans="3:13">
      <c r="C739" t="s">
        <v>266</v>
      </c>
      <c r="D739" t="s">
        <v>268</v>
      </c>
      <c r="E739" t="s">
        <v>517</v>
      </c>
      <c r="F739" t="s">
        <v>557</v>
      </c>
      <c r="G739" t="s">
        <v>571</v>
      </c>
      <c r="H739" t="s">
        <v>572</v>
      </c>
      <c r="I739" t="s">
        <v>573</v>
      </c>
      <c r="J739">
        <v>1</v>
      </c>
      <c r="K739" t="s">
        <v>554</v>
      </c>
      <c r="L739">
        <v>1680</v>
      </c>
      <c r="M739">
        <f t="shared" si="11"/>
        <v>1680</v>
      </c>
    </row>
    <row r="740" spans="3:13">
      <c r="C740" t="s">
        <v>266</v>
      </c>
      <c r="D740" t="s">
        <v>268</v>
      </c>
      <c r="E740" t="s">
        <v>517</v>
      </c>
      <c r="F740" t="s">
        <v>557</v>
      </c>
      <c r="G740" t="s">
        <v>571</v>
      </c>
      <c r="H740" t="s">
        <v>574</v>
      </c>
      <c r="I740" t="s">
        <v>575</v>
      </c>
      <c r="J740">
        <v>1</v>
      </c>
      <c r="K740" t="s">
        <v>554</v>
      </c>
      <c r="L740">
        <v>10</v>
      </c>
      <c r="M740">
        <f t="shared" si="11"/>
        <v>10</v>
      </c>
    </row>
    <row r="741" spans="3:13">
      <c r="C741" t="s">
        <v>266</v>
      </c>
      <c r="D741" t="s">
        <v>268</v>
      </c>
      <c r="E741" t="s">
        <v>517</v>
      </c>
      <c r="F741" t="s">
        <v>557</v>
      </c>
      <c r="G741" t="s">
        <v>576</v>
      </c>
      <c r="H741" t="s">
        <v>577</v>
      </c>
      <c r="I741" t="s">
        <v>578</v>
      </c>
      <c r="J741">
        <v>1</v>
      </c>
      <c r="K741" t="s">
        <v>554</v>
      </c>
      <c r="L741">
        <v>93</v>
      </c>
      <c r="M741">
        <f t="shared" si="11"/>
        <v>93</v>
      </c>
    </row>
    <row r="742" spans="3:13">
      <c r="C742" t="s">
        <v>266</v>
      </c>
      <c r="D742" t="s">
        <v>268</v>
      </c>
      <c r="E742" t="s">
        <v>517</v>
      </c>
      <c r="F742" t="s">
        <v>557</v>
      </c>
      <c r="G742" t="s">
        <v>576</v>
      </c>
      <c r="H742" t="s">
        <v>579</v>
      </c>
      <c r="I742" t="s">
        <v>580</v>
      </c>
      <c r="J742">
        <v>1</v>
      </c>
      <c r="K742" t="s">
        <v>554</v>
      </c>
      <c r="L742">
        <v>56</v>
      </c>
      <c r="M742">
        <f t="shared" si="11"/>
        <v>56</v>
      </c>
    </row>
    <row r="743" spans="3:13">
      <c r="C743" t="s">
        <v>266</v>
      </c>
      <c r="D743" t="s">
        <v>268</v>
      </c>
      <c r="E743" t="s">
        <v>517</v>
      </c>
      <c r="F743" t="s">
        <v>557</v>
      </c>
      <c r="G743" t="s">
        <v>558</v>
      </c>
      <c r="H743" t="s">
        <v>581</v>
      </c>
      <c r="I743" t="s">
        <v>582</v>
      </c>
      <c r="J743">
        <v>1</v>
      </c>
      <c r="K743" t="s">
        <v>554</v>
      </c>
      <c r="L743">
        <v>84</v>
      </c>
      <c r="M743">
        <f t="shared" si="11"/>
        <v>84</v>
      </c>
    </row>
    <row r="744" spans="3:13">
      <c r="C744" t="s">
        <v>266</v>
      </c>
      <c r="D744" t="s">
        <v>268</v>
      </c>
      <c r="E744" t="s">
        <v>517</v>
      </c>
      <c r="F744" t="s">
        <v>557</v>
      </c>
      <c r="G744" t="s">
        <v>583</v>
      </c>
      <c r="H744" t="s">
        <v>584</v>
      </c>
      <c r="I744" t="s">
        <v>585</v>
      </c>
      <c r="J744">
        <v>1</v>
      </c>
      <c r="K744" t="s">
        <v>554</v>
      </c>
      <c r="L744">
        <v>165</v>
      </c>
      <c r="M744">
        <f t="shared" si="11"/>
        <v>165</v>
      </c>
    </row>
    <row r="745" spans="3:13">
      <c r="C745" t="s">
        <v>266</v>
      </c>
      <c r="D745" t="s">
        <v>268</v>
      </c>
      <c r="E745" t="s">
        <v>517</v>
      </c>
      <c r="F745" t="s">
        <v>557</v>
      </c>
      <c r="G745" t="s">
        <v>561</v>
      </c>
      <c r="H745" t="s">
        <v>586</v>
      </c>
      <c r="I745" t="s">
        <v>587</v>
      </c>
      <c r="J745">
        <v>1</v>
      </c>
      <c r="K745" t="s">
        <v>554</v>
      </c>
      <c r="L745">
        <v>43</v>
      </c>
      <c r="M745">
        <f t="shared" si="11"/>
        <v>43</v>
      </c>
    </row>
    <row r="746" spans="3:13">
      <c r="C746" t="s">
        <v>266</v>
      </c>
      <c r="D746" t="s">
        <v>268</v>
      </c>
      <c r="E746" t="s">
        <v>517</v>
      </c>
      <c r="F746" t="s">
        <v>557</v>
      </c>
      <c r="G746" t="s">
        <v>588</v>
      </c>
      <c r="H746" t="s">
        <v>589</v>
      </c>
      <c r="I746" t="s">
        <v>590</v>
      </c>
      <c r="J746">
        <v>1</v>
      </c>
      <c r="K746" t="s">
        <v>554</v>
      </c>
      <c r="L746">
        <v>425</v>
      </c>
      <c r="M746">
        <f t="shared" si="11"/>
        <v>425</v>
      </c>
    </row>
    <row r="747" spans="3:13">
      <c r="C747" t="s">
        <v>266</v>
      </c>
      <c r="D747" t="s">
        <v>268</v>
      </c>
      <c r="E747" t="s">
        <v>517</v>
      </c>
      <c r="F747" t="s">
        <v>557</v>
      </c>
      <c r="G747" t="s">
        <v>561</v>
      </c>
      <c r="H747" t="s">
        <v>591</v>
      </c>
      <c r="I747" t="s">
        <v>592</v>
      </c>
      <c r="J747">
        <v>1</v>
      </c>
      <c r="K747" t="s">
        <v>554</v>
      </c>
      <c r="L747">
        <v>77</v>
      </c>
      <c r="M747">
        <f t="shared" si="11"/>
        <v>77</v>
      </c>
    </row>
    <row r="748" spans="3:13">
      <c r="C748" t="s">
        <v>266</v>
      </c>
      <c r="D748" t="s">
        <v>268</v>
      </c>
      <c r="E748" t="s">
        <v>517</v>
      </c>
      <c r="F748" t="s">
        <v>557</v>
      </c>
      <c r="G748" t="s">
        <v>544</v>
      </c>
      <c r="H748" t="s">
        <v>593</v>
      </c>
      <c r="I748" t="s">
        <v>594</v>
      </c>
      <c r="J748">
        <v>1</v>
      </c>
      <c r="K748" t="s">
        <v>595</v>
      </c>
      <c r="L748">
        <v>415</v>
      </c>
      <c r="M748">
        <f t="shared" si="11"/>
        <v>415</v>
      </c>
    </row>
    <row r="749" spans="3:13">
      <c r="C749" t="s">
        <v>266</v>
      </c>
      <c r="D749" t="s">
        <v>268</v>
      </c>
      <c r="E749" t="s">
        <v>517</v>
      </c>
      <c r="F749" t="s">
        <v>557</v>
      </c>
      <c r="G749" t="s">
        <v>596</v>
      </c>
      <c r="H749" t="s">
        <v>597</v>
      </c>
      <c r="I749" t="s">
        <v>640</v>
      </c>
      <c r="J749">
        <v>1</v>
      </c>
      <c r="K749" t="s">
        <v>641</v>
      </c>
      <c r="L749">
        <v>77</v>
      </c>
      <c r="M749">
        <f t="shared" si="11"/>
        <v>77</v>
      </c>
    </row>
    <row r="750" spans="3:13">
      <c r="C750" t="s">
        <v>266</v>
      </c>
      <c r="D750" t="s">
        <v>268</v>
      </c>
      <c r="E750" t="s">
        <v>517</v>
      </c>
      <c r="F750" t="s">
        <v>557</v>
      </c>
      <c r="G750" t="s">
        <v>561</v>
      </c>
      <c r="H750" t="s">
        <v>481</v>
      </c>
      <c r="I750" t="s">
        <v>600</v>
      </c>
      <c r="J750">
        <v>1</v>
      </c>
      <c r="K750" t="s">
        <v>601</v>
      </c>
      <c r="L750">
        <v>44.38</v>
      </c>
      <c r="M750">
        <f t="shared" si="11"/>
        <v>44.38</v>
      </c>
    </row>
    <row r="751" spans="3:13">
      <c r="C751" t="s">
        <v>266</v>
      </c>
      <c r="D751" t="s">
        <v>268</v>
      </c>
      <c r="E751" t="s">
        <v>517</v>
      </c>
      <c r="F751" t="s">
        <v>557</v>
      </c>
      <c r="G751" t="s">
        <v>571</v>
      </c>
      <c r="H751" t="s">
        <v>602</v>
      </c>
      <c r="I751" t="s">
        <v>603</v>
      </c>
      <c r="J751">
        <v>1</v>
      </c>
      <c r="K751" t="s">
        <v>604</v>
      </c>
      <c r="L751">
        <v>48.27</v>
      </c>
      <c r="M751">
        <f t="shared" si="11"/>
        <v>48.27</v>
      </c>
    </row>
    <row r="752" spans="3:13">
      <c r="C752" t="s">
        <v>266</v>
      </c>
      <c r="D752" t="s">
        <v>268</v>
      </c>
      <c r="E752" t="s">
        <v>517</v>
      </c>
      <c r="F752" t="s">
        <v>557</v>
      </c>
      <c r="G752" t="s">
        <v>561</v>
      </c>
      <c r="H752" t="s">
        <v>482</v>
      </c>
      <c r="I752" t="s">
        <v>605</v>
      </c>
      <c r="J752">
        <v>1</v>
      </c>
      <c r="K752" t="s">
        <v>566</v>
      </c>
      <c r="L752">
        <v>15.82</v>
      </c>
      <c r="M752">
        <f t="shared" si="11"/>
        <v>15.82</v>
      </c>
    </row>
    <row r="753" spans="3:13">
      <c r="C753" t="s">
        <v>266</v>
      </c>
      <c r="D753" t="s">
        <v>268</v>
      </c>
      <c r="E753" t="s">
        <v>517</v>
      </c>
      <c r="F753" t="s">
        <v>557</v>
      </c>
      <c r="G753" t="s">
        <v>561</v>
      </c>
      <c r="H753" t="s">
        <v>606</v>
      </c>
      <c r="I753" t="s">
        <v>607</v>
      </c>
      <c r="J753">
        <v>1</v>
      </c>
      <c r="K753" t="s">
        <v>550</v>
      </c>
      <c r="L753">
        <v>4.29</v>
      </c>
      <c r="M753">
        <f t="shared" si="11"/>
        <v>4.29</v>
      </c>
    </row>
    <row r="754" spans="3:13">
      <c r="C754" t="s">
        <v>266</v>
      </c>
      <c r="D754" t="s">
        <v>268</v>
      </c>
      <c r="E754" t="s">
        <v>517</v>
      </c>
      <c r="F754" t="s">
        <v>557</v>
      </c>
      <c r="G754" t="s">
        <v>561</v>
      </c>
      <c r="H754" t="s">
        <v>608</v>
      </c>
      <c r="I754" t="s">
        <v>609</v>
      </c>
      <c r="J754">
        <v>1</v>
      </c>
      <c r="K754" t="s">
        <v>610</v>
      </c>
      <c r="L754">
        <v>58</v>
      </c>
      <c r="M754">
        <f t="shared" si="11"/>
        <v>58</v>
      </c>
    </row>
    <row r="755" spans="3:13">
      <c r="C755" t="s">
        <v>266</v>
      </c>
      <c r="D755" t="s">
        <v>268</v>
      </c>
      <c r="E755" t="s">
        <v>517</v>
      </c>
      <c r="F755" t="s">
        <v>611</v>
      </c>
      <c r="G755" t="s">
        <v>544</v>
      </c>
      <c r="H755" t="s">
        <v>612</v>
      </c>
      <c r="I755" t="s">
        <v>613</v>
      </c>
      <c r="J755">
        <v>1</v>
      </c>
      <c r="K755" t="s">
        <v>595</v>
      </c>
      <c r="L755">
        <v>290</v>
      </c>
      <c r="M755">
        <f t="shared" si="11"/>
        <v>290</v>
      </c>
    </row>
    <row r="756" spans="3:13">
      <c r="C756" t="s">
        <v>266</v>
      </c>
      <c r="D756" t="s">
        <v>268</v>
      </c>
      <c r="E756" t="s">
        <v>517</v>
      </c>
      <c r="F756" t="s">
        <v>611</v>
      </c>
      <c r="G756" t="s">
        <v>571</v>
      </c>
      <c r="H756" t="s">
        <v>614</v>
      </c>
      <c r="I756" t="s">
        <v>615</v>
      </c>
      <c r="J756">
        <v>1</v>
      </c>
      <c r="K756" t="s">
        <v>554</v>
      </c>
      <c r="L756">
        <v>100</v>
      </c>
      <c r="M756">
        <f t="shared" si="11"/>
        <v>100</v>
      </c>
    </row>
    <row r="757" spans="3:13">
      <c r="C757" t="s">
        <v>266</v>
      </c>
      <c r="D757" t="s">
        <v>268</v>
      </c>
      <c r="E757" t="s">
        <v>517</v>
      </c>
      <c r="F757" t="s">
        <v>611</v>
      </c>
      <c r="G757" t="s">
        <v>561</v>
      </c>
      <c r="H757" t="s">
        <v>616</v>
      </c>
      <c r="I757" t="s">
        <v>617</v>
      </c>
      <c r="J757">
        <v>1</v>
      </c>
      <c r="K757" t="s">
        <v>618</v>
      </c>
      <c r="L757">
        <v>55</v>
      </c>
      <c r="M757">
        <f t="shared" si="11"/>
        <v>55</v>
      </c>
    </row>
    <row r="758" spans="3:13">
      <c r="C758" t="s">
        <v>266</v>
      </c>
      <c r="D758" t="s">
        <v>268</v>
      </c>
      <c r="E758" t="s">
        <v>517</v>
      </c>
      <c r="F758" t="s">
        <v>611</v>
      </c>
      <c r="G758" t="s">
        <v>576</v>
      </c>
      <c r="H758" t="s">
        <v>619</v>
      </c>
      <c r="I758" t="s">
        <v>620</v>
      </c>
      <c r="J758">
        <v>1</v>
      </c>
      <c r="K758" t="s">
        <v>554</v>
      </c>
      <c r="L758">
        <v>66.26</v>
      </c>
      <c r="M758">
        <f t="shared" si="11"/>
        <v>66.26</v>
      </c>
    </row>
    <row r="759" spans="3:13">
      <c r="C759" t="s">
        <v>266</v>
      </c>
      <c r="D759" t="s">
        <v>268</v>
      </c>
      <c r="E759" t="s">
        <v>517</v>
      </c>
      <c r="F759" t="s">
        <v>611</v>
      </c>
      <c r="G759" t="s">
        <v>621</v>
      </c>
      <c r="H759" t="s">
        <v>622</v>
      </c>
      <c r="I759" t="s">
        <v>623</v>
      </c>
      <c r="J759">
        <v>1</v>
      </c>
      <c r="K759" t="s">
        <v>554</v>
      </c>
      <c r="L759">
        <v>101</v>
      </c>
      <c r="M759">
        <f t="shared" si="11"/>
        <v>101</v>
      </c>
    </row>
    <row r="760" spans="3:13">
      <c r="C760" t="s">
        <v>266</v>
      </c>
      <c r="D760" t="s">
        <v>268</v>
      </c>
      <c r="E760" t="s">
        <v>517</v>
      </c>
      <c r="F760" t="s">
        <v>611</v>
      </c>
      <c r="G760" t="s">
        <v>621</v>
      </c>
      <c r="H760" t="s">
        <v>624</v>
      </c>
      <c r="I760" t="s">
        <v>625</v>
      </c>
      <c r="J760">
        <v>1</v>
      </c>
      <c r="K760" t="s">
        <v>554</v>
      </c>
      <c r="L760">
        <v>418</v>
      </c>
      <c r="M760">
        <f t="shared" si="11"/>
        <v>418</v>
      </c>
    </row>
    <row r="761" spans="3:13">
      <c r="C761" t="s">
        <v>266</v>
      </c>
      <c r="D761" t="s">
        <v>268</v>
      </c>
      <c r="E761" t="s">
        <v>517</v>
      </c>
      <c r="F761" t="s">
        <v>611</v>
      </c>
      <c r="G761" t="s">
        <v>621</v>
      </c>
      <c r="H761" t="s">
        <v>626</v>
      </c>
      <c r="I761" t="s">
        <v>627</v>
      </c>
      <c r="J761">
        <v>1</v>
      </c>
      <c r="K761" t="s">
        <v>554</v>
      </c>
      <c r="L761">
        <v>37</v>
      </c>
      <c r="M761">
        <f t="shared" si="11"/>
        <v>37</v>
      </c>
    </row>
    <row r="762" spans="3:13">
      <c r="C762" t="s">
        <v>266</v>
      </c>
      <c r="D762" t="s">
        <v>268</v>
      </c>
      <c r="E762" t="s">
        <v>517</v>
      </c>
      <c r="F762" t="s">
        <v>611</v>
      </c>
      <c r="G762" t="s">
        <v>571</v>
      </c>
      <c r="H762" t="s">
        <v>628</v>
      </c>
      <c r="I762" t="s">
        <v>629</v>
      </c>
      <c r="J762">
        <v>1</v>
      </c>
      <c r="K762" t="s">
        <v>604</v>
      </c>
      <c r="L762">
        <v>370</v>
      </c>
      <c r="M762">
        <f t="shared" si="11"/>
        <v>370</v>
      </c>
    </row>
    <row r="763" spans="3:13">
      <c r="C763" t="s">
        <v>266</v>
      </c>
      <c r="D763" t="s">
        <v>268</v>
      </c>
      <c r="E763" t="s">
        <v>517</v>
      </c>
      <c r="F763" t="s">
        <v>611</v>
      </c>
      <c r="G763" t="s">
        <v>551</v>
      </c>
      <c r="H763" t="s">
        <v>630</v>
      </c>
      <c r="I763" t="s">
        <v>631</v>
      </c>
      <c r="J763">
        <v>1</v>
      </c>
      <c r="K763" t="s">
        <v>566</v>
      </c>
      <c r="L763">
        <v>4.7</v>
      </c>
      <c r="M763">
        <f t="shared" si="11"/>
        <v>4.7</v>
      </c>
    </row>
    <row r="764" spans="3:13">
      <c r="C764" t="s">
        <v>266</v>
      </c>
      <c r="D764" t="s">
        <v>268</v>
      </c>
      <c r="E764" t="s">
        <v>517</v>
      </c>
      <c r="F764" t="s">
        <v>611</v>
      </c>
      <c r="G764" t="s">
        <v>621</v>
      </c>
      <c r="H764" t="s">
        <v>632</v>
      </c>
      <c r="I764" t="s">
        <v>633</v>
      </c>
      <c r="J764">
        <v>1</v>
      </c>
      <c r="K764" t="s">
        <v>601</v>
      </c>
      <c r="L764">
        <v>370</v>
      </c>
      <c r="M764">
        <f t="shared" si="11"/>
        <v>370</v>
      </c>
    </row>
    <row r="765" spans="3:13">
      <c r="C765" t="s">
        <v>266</v>
      </c>
      <c r="D765" t="s">
        <v>268</v>
      </c>
      <c r="E765" t="s">
        <v>517</v>
      </c>
      <c r="F765" t="s">
        <v>611</v>
      </c>
      <c r="G765" t="s">
        <v>621</v>
      </c>
      <c r="H765" t="s">
        <v>634</v>
      </c>
      <c r="I765" t="s">
        <v>635</v>
      </c>
      <c r="J765">
        <v>1</v>
      </c>
      <c r="K765" t="s">
        <v>554</v>
      </c>
      <c r="L765">
        <v>39.5</v>
      </c>
      <c r="M765">
        <f t="shared" si="11"/>
        <v>39.5</v>
      </c>
    </row>
    <row r="766" spans="3:13">
      <c r="C766" t="s">
        <v>266</v>
      </c>
      <c r="D766" t="s">
        <v>268</v>
      </c>
      <c r="E766" t="s">
        <v>517</v>
      </c>
      <c r="F766" t="s">
        <v>611</v>
      </c>
      <c r="G766" t="s">
        <v>583</v>
      </c>
      <c r="H766" t="s">
        <v>636</v>
      </c>
      <c r="I766" t="s">
        <v>637</v>
      </c>
      <c r="J766">
        <v>1</v>
      </c>
      <c r="K766" t="s">
        <v>554</v>
      </c>
      <c r="L766">
        <v>41</v>
      </c>
      <c r="M766">
        <f t="shared" si="11"/>
        <v>41</v>
      </c>
    </row>
    <row r="767" spans="3:13">
      <c r="C767" t="s">
        <v>266</v>
      </c>
      <c r="D767" t="s">
        <v>268</v>
      </c>
      <c r="E767" t="s">
        <v>517</v>
      </c>
      <c r="F767" t="s">
        <v>611</v>
      </c>
      <c r="G767" t="s">
        <v>621</v>
      </c>
      <c r="H767" t="s">
        <v>638</v>
      </c>
      <c r="I767" t="s">
        <v>639</v>
      </c>
      <c r="J767">
        <v>1</v>
      </c>
      <c r="K767" t="s">
        <v>554</v>
      </c>
      <c r="L767">
        <v>17.2</v>
      </c>
      <c r="M767">
        <f t="shared" si="11"/>
        <v>17.2</v>
      </c>
    </row>
    <row r="768" spans="3:13">
      <c r="C768" t="s">
        <v>266</v>
      </c>
      <c r="D768" t="s">
        <v>268</v>
      </c>
      <c r="E768" t="s">
        <v>518</v>
      </c>
      <c r="F768" t="s">
        <v>543</v>
      </c>
      <c r="G768" t="s">
        <v>544</v>
      </c>
      <c r="H768" t="s">
        <v>545</v>
      </c>
      <c r="I768" t="s">
        <v>546</v>
      </c>
      <c r="J768">
        <v>1</v>
      </c>
      <c r="K768" t="s">
        <v>547</v>
      </c>
      <c r="L768">
        <v>920</v>
      </c>
      <c r="M768">
        <f t="shared" si="11"/>
        <v>920</v>
      </c>
    </row>
    <row r="769" spans="3:13">
      <c r="C769" t="s">
        <v>266</v>
      </c>
      <c r="D769" t="s">
        <v>268</v>
      </c>
      <c r="E769" t="s">
        <v>518</v>
      </c>
      <c r="F769" t="s">
        <v>543</v>
      </c>
      <c r="G769" t="s">
        <v>544</v>
      </c>
      <c r="H769" t="s">
        <v>548</v>
      </c>
      <c r="I769" t="s">
        <v>549</v>
      </c>
      <c r="J769">
        <v>1</v>
      </c>
      <c r="K769" t="s">
        <v>550</v>
      </c>
      <c r="L769">
        <v>380</v>
      </c>
      <c r="M769">
        <f t="shared" si="11"/>
        <v>380</v>
      </c>
    </row>
    <row r="770" spans="3:13">
      <c r="C770" t="s">
        <v>266</v>
      </c>
      <c r="D770" t="s">
        <v>268</v>
      </c>
      <c r="E770" t="s">
        <v>518</v>
      </c>
      <c r="F770" t="s">
        <v>543</v>
      </c>
      <c r="G770" t="s">
        <v>551</v>
      </c>
      <c r="H770" t="s">
        <v>552</v>
      </c>
      <c r="I770" t="s">
        <v>553</v>
      </c>
      <c r="J770">
        <v>1</v>
      </c>
      <c r="K770" t="s">
        <v>554</v>
      </c>
      <c r="L770">
        <v>14</v>
      </c>
      <c r="M770">
        <f t="shared" si="11"/>
        <v>14</v>
      </c>
    </row>
    <row r="771" spans="3:13">
      <c r="C771" t="s">
        <v>266</v>
      </c>
      <c r="D771" t="s">
        <v>268</v>
      </c>
      <c r="E771" t="s">
        <v>518</v>
      </c>
      <c r="F771" t="s">
        <v>543</v>
      </c>
      <c r="G771" t="s">
        <v>551</v>
      </c>
      <c r="H771" t="s">
        <v>555</v>
      </c>
      <c r="I771" t="s">
        <v>556</v>
      </c>
      <c r="J771">
        <v>1</v>
      </c>
      <c r="K771" t="s">
        <v>554</v>
      </c>
      <c r="L771">
        <v>33</v>
      </c>
      <c r="M771">
        <f t="shared" si="11"/>
        <v>33</v>
      </c>
    </row>
    <row r="772" spans="3:13">
      <c r="C772" t="s">
        <v>266</v>
      </c>
      <c r="D772" t="s">
        <v>268</v>
      </c>
      <c r="E772" t="s">
        <v>518</v>
      </c>
      <c r="F772" t="s">
        <v>557</v>
      </c>
      <c r="G772" t="s">
        <v>558</v>
      </c>
      <c r="H772" t="s">
        <v>559</v>
      </c>
      <c r="I772" t="s">
        <v>560</v>
      </c>
      <c r="J772">
        <v>1</v>
      </c>
      <c r="K772" t="s">
        <v>554</v>
      </c>
      <c r="L772">
        <v>0</v>
      </c>
      <c r="M772">
        <f t="shared" si="11"/>
        <v>0</v>
      </c>
    </row>
    <row r="773" spans="3:13">
      <c r="C773" t="s">
        <v>266</v>
      </c>
      <c r="D773" t="s">
        <v>268</v>
      </c>
      <c r="E773" t="s">
        <v>518</v>
      </c>
      <c r="F773" t="s">
        <v>557</v>
      </c>
      <c r="G773" t="s">
        <v>561</v>
      </c>
      <c r="H773" t="s">
        <v>562</v>
      </c>
      <c r="I773" t="s">
        <v>563</v>
      </c>
      <c r="J773">
        <v>1</v>
      </c>
      <c r="K773" t="s">
        <v>554</v>
      </c>
      <c r="L773">
        <v>13.38</v>
      </c>
      <c r="M773">
        <f t="shared" si="11"/>
        <v>13.38</v>
      </c>
    </row>
    <row r="774" spans="3:13">
      <c r="C774" t="s">
        <v>266</v>
      </c>
      <c r="D774" t="s">
        <v>268</v>
      </c>
      <c r="E774" t="s">
        <v>518</v>
      </c>
      <c r="F774" t="s">
        <v>557</v>
      </c>
      <c r="G774" t="s">
        <v>561</v>
      </c>
      <c r="H774" t="s">
        <v>564</v>
      </c>
      <c r="I774" t="s">
        <v>565</v>
      </c>
      <c r="J774">
        <v>1</v>
      </c>
      <c r="K774" t="s">
        <v>566</v>
      </c>
      <c r="L774">
        <v>26.93</v>
      </c>
      <c r="M774">
        <f t="shared" si="11"/>
        <v>26.93</v>
      </c>
    </row>
    <row r="775" spans="3:13">
      <c r="C775" t="s">
        <v>266</v>
      </c>
      <c r="D775" t="s">
        <v>268</v>
      </c>
      <c r="E775" t="s">
        <v>518</v>
      </c>
      <c r="F775" t="s">
        <v>557</v>
      </c>
      <c r="G775" t="s">
        <v>561</v>
      </c>
      <c r="H775" t="s">
        <v>567</v>
      </c>
      <c r="I775" t="s">
        <v>568</v>
      </c>
      <c r="J775">
        <v>1</v>
      </c>
      <c r="K775" t="s">
        <v>566</v>
      </c>
      <c r="L775">
        <v>23.77</v>
      </c>
      <c r="M775">
        <f t="shared" si="11"/>
        <v>23.77</v>
      </c>
    </row>
    <row r="776" spans="3:13">
      <c r="C776" t="s">
        <v>266</v>
      </c>
      <c r="D776" t="s">
        <v>268</v>
      </c>
      <c r="E776" t="s">
        <v>518</v>
      </c>
      <c r="F776" t="s">
        <v>557</v>
      </c>
      <c r="G776" t="s">
        <v>561</v>
      </c>
      <c r="H776" t="s">
        <v>569</v>
      </c>
      <c r="I776" t="s">
        <v>570</v>
      </c>
      <c r="J776">
        <v>1</v>
      </c>
      <c r="K776" t="s">
        <v>554</v>
      </c>
      <c r="L776">
        <v>47.7</v>
      </c>
      <c r="M776">
        <f t="shared" si="11"/>
        <v>47.7</v>
      </c>
    </row>
    <row r="777" spans="3:13">
      <c r="C777" t="s">
        <v>266</v>
      </c>
      <c r="D777" t="s">
        <v>268</v>
      </c>
      <c r="E777" t="s">
        <v>518</v>
      </c>
      <c r="F777" t="s">
        <v>557</v>
      </c>
      <c r="G777" t="s">
        <v>571</v>
      </c>
      <c r="H777" t="s">
        <v>572</v>
      </c>
      <c r="I777" t="s">
        <v>573</v>
      </c>
      <c r="J777">
        <v>1</v>
      </c>
      <c r="K777" t="s">
        <v>554</v>
      </c>
      <c r="L777">
        <v>1680</v>
      </c>
      <c r="M777">
        <f t="shared" si="11"/>
        <v>1680</v>
      </c>
    </row>
    <row r="778" spans="3:13">
      <c r="C778" t="s">
        <v>266</v>
      </c>
      <c r="D778" t="s">
        <v>268</v>
      </c>
      <c r="E778" t="s">
        <v>518</v>
      </c>
      <c r="F778" t="s">
        <v>557</v>
      </c>
      <c r="G778" t="s">
        <v>571</v>
      </c>
      <c r="H778" t="s">
        <v>574</v>
      </c>
      <c r="I778" t="s">
        <v>575</v>
      </c>
      <c r="J778">
        <v>1</v>
      </c>
      <c r="K778" t="s">
        <v>554</v>
      </c>
      <c r="L778">
        <v>10</v>
      </c>
      <c r="M778">
        <f t="shared" ref="M778:M841" si="12">J778*L778</f>
        <v>10</v>
      </c>
    </row>
    <row r="779" spans="3:13">
      <c r="C779" t="s">
        <v>266</v>
      </c>
      <c r="D779" t="s">
        <v>268</v>
      </c>
      <c r="E779" t="s">
        <v>518</v>
      </c>
      <c r="F779" t="s">
        <v>557</v>
      </c>
      <c r="G779" t="s">
        <v>576</v>
      </c>
      <c r="H779" t="s">
        <v>577</v>
      </c>
      <c r="I779" t="s">
        <v>578</v>
      </c>
      <c r="J779">
        <v>1</v>
      </c>
      <c r="K779" t="s">
        <v>554</v>
      </c>
      <c r="L779">
        <v>93</v>
      </c>
      <c r="M779">
        <f t="shared" si="12"/>
        <v>93</v>
      </c>
    </row>
    <row r="780" spans="3:13">
      <c r="C780" t="s">
        <v>266</v>
      </c>
      <c r="D780" t="s">
        <v>268</v>
      </c>
      <c r="E780" t="s">
        <v>518</v>
      </c>
      <c r="F780" t="s">
        <v>557</v>
      </c>
      <c r="G780" t="s">
        <v>558</v>
      </c>
      <c r="H780" t="s">
        <v>581</v>
      </c>
      <c r="I780" t="s">
        <v>582</v>
      </c>
      <c r="J780">
        <v>1</v>
      </c>
      <c r="K780" t="s">
        <v>554</v>
      </c>
      <c r="L780">
        <v>84</v>
      </c>
      <c r="M780">
        <f t="shared" si="12"/>
        <v>84</v>
      </c>
    </row>
    <row r="781" spans="3:13">
      <c r="C781" t="s">
        <v>266</v>
      </c>
      <c r="D781" t="s">
        <v>268</v>
      </c>
      <c r="E781" t="s">
        <v>518</v>
      </c>
      <c r="F781" t="s">
        <v>557</v>
      </c>
      <c r="G781" t="s">
        <v>583</v>
      </c>
      <c r="H781" t="s">
        <v>584</v>
      </c>
      <c r="I781" t="s">
        <v>585</v>
      </c>
      <c r="J781">
        <v>1</v>
      </c>
      <c r="K781" t="s">
        <v>554</v>
      </c>
      <c r="L781">
        <v>165</v>
      </c>
      <c r="M781">
        <f t="shared" si="12"/>
        <v>165</v>
      </c>
    </row>
    <row r="782" spans="3:13">
      <c r="C782" t="s">
        <v>266</v>
      </c>
      <c r="D782" t="s">
        <v>268</v>
      </c>
      <c r="E782" t="s">
        <v>518</v>
      </c>
      <c r="F782" t="s">
        <v>557</v>
      </c>
      <c r="G782" t="s">
        <v>561</v>
      </c>
      <c r="H782" t="s">
        <v>586</v>
      </c>
      <c r="I782" t="s">
        <v>587</v>
      </c>
      <c r="J782">
        <v>1</v>
      </c>
      <c r="K782" t="s">
        <v>554</v>
      </c>
      <c r="L782">
        <v>43</v>
      </c>
      <c r="M782">
        <f t="shared" si="12"/>
        <v>43</v>
      </c>
    </row>
    <row r="783" spans="3:13">
      <c r="C783" t="s">
        <v>266</v>
      </c>
      <c r="D783" t="s">
        <v>268</v>
      </c>
      <c r="E783" t="s">
        <v>518</v>
      </c>
      <c r="F783" t="s">
        <v>557</v>
      </c>
      <c r="G783" t="s">
        <v>588</v>
      </c>
      <c r="H783" t="s">
        <v>589</v>
      </c>
      <c r="I783" t="s">
        <v>590</v>
      </c>
      <c r="J783">
        <v>1</v>
      </c>
      <c r="K783" t="s">
        <v>554</v>
      </c>
      <c r="L783">
        <v>425</v>
      </c>
      <c r="M783">
        <f t="shared" si="12"/>
        <v>425</v>
      </c>
    </row>
    <row r="784" spans="3:13">
      <c r="C784" t="s">
        <v>266</v>
      </c>
      <c r="D784" t="s">
        <v>268</v>
      </c>
      <c r="E784" t="s">
        <v>518</v>
      </c>
      <c r="F784" t="s">
        <v>557</v>
      </c>
      <c r="G784" t="s">
        <v>561</v>
      </c>
      <c r="H784" t="s">
        <v>591</v>
      </c>
      <c r="I784" t="s">
        <v>592</v>
      </c>
      <c r="J784">
        <v>1</v>
      </c>
      <c r="K784" t="s">
        <v>554</v>
      </c>
      <c r="L784">
        <v>77</v>
      </c>
      <c r="M784">
        <f t="shared" si="12"/>
        <v>77</v>
      </c>
    </row>
    <row r="785" spans="3:13">
      <c r="C785" t="s">
        <v>266</v>
      </c>
      <c r="D785" t="s">
        <v>268</v>
      </c>
      <c r="E785" t="s">
        <v>518</v>
      </c>
      <c r="F785" t="s">
        <v>557</v>
      </c>
      <c r="G785" t="s">
        <v>544</v>
      </c>
      <c r="H785" t="s">
        <v>657</v>
      </c>
      <c r="I785" t="s">
        <v>658</v>
      </c>
      <c r="J785">
        <v>1</v>
      </c>
      <c r="K785" t="s">
        <v>641</v>
      </c>
      <c r="L785">
        <v>414</v>
      </c>
      <c r="M785">
        <f t="shared" si="12"/>
        <v>414</v>
      </c>
    </row>
    <row r="786" spans="3:13">
      <c r="C786" t="s">
        <v>266</v>
      </c>
      <c r="D786" t="s">
        <v>268</v>
      </c>
      <c r="E786" t="s">
        <v>518</v>
      </c>
      <c r="F786" t="s">
        <v>557</v>
      </c>
      <c r="G786" t="s">
        <v>596</v>
      </c>
      <c r="H786" t="s">
        <v>597</v>
      </c>
      <c r="I786" t="s">
        <v>640</v>
      </c>
      <c r="J786">
        <v>1</v>
      </c>
      <c r="K786" t="s">
        <v>641</v>
      </c>
      <c r="L786">
        <v>77</v>
      </c>
      <c r="M786">
        <f t="shared" si="12"/>
        <v>77</v>
      </c>
    </row>
    <row r="787" spans="3:13">
      <c r="C787" t="s">
        <v>266</v>
      </c>
      <c r="D787" t="s">
        <v>268</v>
      </c>
      <c r="E787" t="s">
        <v>518</v>
      </c>
      <c r="F787" t="s">
        <v>557</v>
      </c>
      <c r="G787" t="s">
        <v>561</v>
      </c>
      <c r="H787" t="s">
        <v>482</v>
      </c>
      <c r="I787" t="s">
        <v>605</v>
      </c>
      <c r="J787">
        <v>1</v>
      </c>
      <c r="K787" t="s">
        <v>566</v>
      </c>
      <c r="L787">
        <v>15.82</v>
      </c>
      <c r="M787">
        <f t="shared" si="12"/>
        <v>15.82</v>
      </c>
    </row>
    <row r="788" spans="3:13">
      <c r="C788" t="s">
        <v>266</v>
      </c>
      <c r="D788" t="s">
        <v>268</v>
      </c>
      <c r="E788" t="s">
        <v>518</v>
      </c>
      <c r="F788" t="s">
        <v>557</v>
      </c>
      <c r="G788" t="s">
        <v>561</v>
      </c>
      <c r="H788" t="s">
        <v>606</v>
      </c>
      <c r="I788" t="s">
        <v>607</v>
      </c>
      <c r="J788">
        <v>1</v>
      </c>
      <c r="K788" t="s">
        <v>550</v>
      </c>
      <c r="L788">
        <v>4.29</v>
      </c>
      <c r="M788">
        <f t="shared" si="12"/>
        <v>4.29</v>
      </c>
    </row>
    <row r="789" spans="3:13">
      <c r="C789" t="s">
        <v>266</v>
      </c>
      <c r="D789" t="s">
        <v>268</v>
      </c>
      <c r="E789" t="s">
        <v>518</v>
      </c>
      <c r="F789" t="s">
        <v>67</v>
      </c>
      <c r="G789" t="s">
        <v>561</v>
      </c>
      <c r="H789" t="s">
        <v>608</v>
      </c>
      <c r="I789" t="s">
        <v>609</v>
      </c>
      <c r="J789">
        <v>1</v>
      </c>
      <c r="K789" t="s">
        <v>610</v>
      </c>
      <c r="L789">
        <v>58</v>
      </c>
      <c r="M789">
        <f t="shared" si="12"/>
        <v>58</v>
      </c>
    </row>
    <row r="790" spans="3:13">
      <c r="C790" t="s">
        <v>266</v>
      </c>
      <c r="D790" t="s">
        <v>268</v>
      </c>
      <c r="E790" t="s">
        <v>518</v>
      </c>
      <c r="F790" t="s">
        <v>67</v>
      </c>
      <c r="G790" t="s">
        <v>561</v>
      </c>
      <c r="H790" t="s">
        <v>481</v>
      </c>
      <c r="I790" t="s">
        <v>659</v>
      </c>
      <c r="J790">
        <v>1</v>
      </c>
      <c r="K790" t="s">
        <v>601</v>
      </c>
      <c r="L790">
        <v>55.16</v>
      </c>
      <c r="M790">
        <f t="shared" si="12"/>
        <v>55.16</v>
      </c>
    </row>
    <row r="791" spans="3:13">
      <c r="C791" t="s">
        <v>266</v>
      </c>
      <c r="D791" t="s">
        <v>268</v>
      </c>
      <c r="E791" t="s">
        <v>518</v>
      </c>
      <c r="F791" t="s">
        <v>67</v>
      </c>
      <c r="G791" t="s">
        <v>571</v>
      </c>
      <c r="H791" t="s">
        <v>602</v>
      </c>
      <c r="I791" t="s">
        <v>603</v>
      </c>
      <c r="J791">
        <v>1</v>
      </c>
      <c r="K791" t="s">
        <v>604</v>
      </c>
      <c r="L791">
        <v>48.27</v>
      </c>
      <c r="M791">
        <f t="shared" si="12"/>
        <v>48.27</v>
      </c>
    </row>
    <row r="792" spans="3:13">
      <c r="C792" t="s">
        <v>266</v>
      </c>
      <c r="D792" t="s">
        <v>268</v>
      </c>
      <c r="E792" t="s">
        <v>518</v>
      </c>
      <c r="F792" t="s">
        <v>67</v>
      </c>
      <c r="G792" t="s">
        <v>576</v>
      </c>
      <c r="H792" t="s">
        <v>660</v>
      </c>
      <c r="I792" t="s">
        <v>661</v>
      </c>
      <c r="J792">
        <v>1</v>
      </c>
      <c r="K792" t="s">
        <v>554</v>
      </c>
      <c r="L792">
        <v>48</v>
      </c>
      <c r="M792">
        <f t="shared" si="12"/>
        <v>48</v>
      </c>
    </row>
    <row r="793" spans="3:13">
      <c r="C793" t="s">
        <v>266</v>
      </c>
      <c r="D793" t="s">
        <v>268</v>
      </c>
      <c r="E793" t="s">
        <v>518</v>
      </c>
      <c r="F793" t="s">
        <v>67</v>
      </c>
      <c r="G793" t="s">
        <v>662</v>
      </c>
      <c r="H793" t="s">
        <v>663</v>
      </c>
      <c r="I793" t="s">
        <v>664</v>
      </c>
      <c r="J793">
        <v>1</v>
      </c>
      <c r="K793" t="s">
        <v>641</v>
      </c>
      <c r="L793">
        <v>288</v>
      </c>
      <c r="M793">
        <f t="shared" si="12"/>
        <v>288</v>
      </c>
    </row>
    <row r="794" spans="3:13">
      <c r="C794" t="s">
        <v>266</v>
      </c>
      <c r="D794" t="s">
        <v>268</v>
      </c>
      <c r="E794" t="s">
        <v>518</v>
      </c>
      <c r="F794" t="s">
        <v>611</v>
      </c>
      <c r="G794" t="s">
        <v>544</v>
      </c>
      <c r="H794" t="s">
        <v>612</v>
      </c>
      <c r="I794" t="s">
        <v>613</v>
      </c>
      <c r="J794">
        <v>1</v>
      </c>
      <c r="K794" t="s">
        <v>595</v>
      </c>
      <c r="L794">
        <v>290</v>
      </c>
      <c r="M794">
        <f t="shared" si="12"/>
        <v>290</v>
      </c>
    </row>
    <row r="795" spans="3:13">
      <c r="C795" t="s">
        <v>266</v>
      </c>
      <c r="D795" t="s">
        <v>268</v>
      </c>
      <c r="E795" t="s">
        <v>518</v>
      </c>
      <c r="F795" t="s">
        <v>611</v>
      </c>
      <c r="G795" t="s">
        <v>571</v>
      </c>
      <c r="H795" t="s">
        <v>614</v>
      </c>
      <c r="I795" t="s">
        <v>615</v>
      </c>
      <c r="J795">
        <v>1</v>
      </c>
      <c r="K795" t="s">
        <v>554</v>
      </c>
      <c r="L795">
        <v>100</v>
      </c>
      <c r="M795">
        <f t="shared" si="12"/>
        <v>100</v>
      </c>
    </row>
    <row r="796" spans="3:13">
      <c r="C796" t="s">
        <v>266</v>
      </c>
      <c r="D796" t="s">
        <v>268</v>
      </c>
      <c r="E796" t="s">
        <v>518</v>
      </c>
      <c r="F796" t="s">
        <v>611</v>
      </c>
      <c r="G796" t="s">
        <v>561</v>
      </c>
      <c r="H796" t="s">
        <v>616</v>
      </c>
      <c r="I796" t="s">
        <v>617</v>
      </c>
      <c r="J796">
        <v>1</v>
      </c>
      <c r="K796" t="s">
        <v>618</v>
      </c>
      <c r="L796">
        <v>55</v>
      </c>
      <c r="M796">
        <f t="shared" si="12"/>
        <v>55</v>
      </c>
    </row>
    <row r="797" spans="3:13">
      <c r="C797" t="s">
        <v>266</v>
      </c>
      <c r="D797" t="s">
        <v>268</v>
      </c>
      <c r="E797" t="s">
        <v>518</v>
      </c>
      <c r="F797" t="s">
        <v>611</v>
      </c>
      <c r="G797" t="s">
        <v>576</v>
      </c>
      <c r="H797" t="s">
        <v>619</v>
      </c>
      <c r="I797" t="s">
        <v>620</v>
      </c>
      <c r="J797">
        <v>1</v>
      </c>
      <c r="K797" t="s">
        <v>554</v>
      </c>
      <c r="L797">
        <v>66.26</v>
      </c>
      <c r="M797">
        <f t="shared" si="12"/>
        <v>66.26</v>
      </c>
    </row>
    <row r="798" spans="3:13">
      <c r="C798" t="s">
        <v>266</v>
      </c>
      <c r="D798" t="s">
        <v>268</v>
      </c>
      <c r="E798" t="s">
        <v>518</v>
      </c>
      <c r="F798" t="s">
        <v>611</v>
      </c>
      <c r="G798" t="s">
        <v>621</v>
      </c>
      <c r="H798" t="s">
        <v>622</v>
      </c>
      <c r="I798" t="s">
        <v>623</v>
      </c>
      <c r="J798">
        <v>1</v>
      </c>
      <c r="K798" t="s">
        <v>554</v>
      </c>
      <c r="L798">
        <v>101</v>
      </c>
      <c r="M798">
        <f t="shared" si="12"/>
        <v>101</v>
      </c>
    </row>
    <row r="799" spans="3:13">
      <c r="C799" t="s">
        <v>266</v>
      </c>
      <c r="D799" t="s">
        <v>268</v>
      </c>
      <c r="E799" t="s">
        <v>518</v>
      </c>
      <c r="F799" t="s">
        <v>611</v>
      </c>
      <c r="G799" t="s">
        <v>621</v>
      </c>
      <c r="H799" t="s">
        <v>624</v>
      </c>
      <c r="I799" t="s">
        <v>625</v>
      </c>
      <c r="J799">
        <v>1</v>
      </c>
      <c r="K799" t="s">
        <v>554</v>
      </c>
      <c r="L799">
        <v>418</v>
      </c>
      <c r="M799">
        <f t="shared" si="12"/>
        <v>418</v>
      </c>
    </row>
    <row r="800" spans="3:13">
      <c r="C800" t="s">
        <v>266</v>
      </c>
      <c r="D800" t="s">
        <v>268</v>
      </c>
      <c r="E800" t="s">
        <v>518</v>
      </c>
      <c r="F800" t="s">
        <v>611</v>
      </c>
      <c r="G800" t="s">
        <v>621</v>
      </c>
      <c r="H800" t="s">
        <v>626</v>
      </c>
      <c r="I800" t="s">
        <v>627</v>
      </c>
      <c r="J800">
        <v>1</v>
      </c>
      <c r="K800" t="s">
        <v>554</v>
      </c>
      <c r="L800">
        <v>37</v>
      </c>
      <c r="M800">
        <f t="shared" si="12"/>
        <v>37</v>
      </c>
    </row>
    <row r="801" spans="3:13">
      <c r="C801" t="s">
        <v>266</v>
      </c>
      <c r="D801" t="s">
        <v>268</v>
      </c>
      <c r="E801" t="s">
        <v>518</v>
      </c>
      <c r="F801" t="s">
        <v>611</v>
      </c>
      <c r="G801" t="s">
        <v>571</v>
      </c>
      <c r="H801" t="s">
        <v>628</v>
      </c>
      <c r="I801" t="s">
        <v>629</v>
      </c>
      <c r="J801">
        <v>1</v>
      </c>
      <c r="K801" t="s">
        <v>604</v>
      </c>
      <c r="L801">
        <v>370</v>
      </c>
      <c r="M801">
        <f t="shared" si="12"/>
        <v>370</v>
      </c>
    </row>
    <row r="802" spans="3:13">
      <c r="C802" t="s">
        <v>266</v>
      </c>
      <c r="D802" t="s">
        <v>268</v>
      </c>
      <c r="E802" t="s">
        <v>518</v>
      </c>
      <c r="F802" t="s">
        <v>611</v>
      </c>
      <c r="G802" t="s">
        <v>551</v>
      </c>
      <c r="H802" t="s">
        <v>630</v>
      </c>
      <c r="I802" t="s">
        <v>631</v>
      </c>
      <c r="J802">
        <v>1</v>
      </c>
      <c r="K802" t="s">
        <v>566</v>
      </c>
      <c r="L802">
        <v>4.7</v>
      </c>
      <c r="M802">
        <f t="shared" si="12"/>
        <v>4.7</v>
      </c>
    </row>
    <row r="803" spans="3:13">
      <c r="C803" t="s">
        <v>266</v>
      </c>
      <c r="D803" t="s">
        <v>268</v>
      </c>
      <c r="E803" t="s">
        <v>518</v>
      </c>
      <c r="F803" t="s">
        <v>611</v>
      </c>
      <c r="G803" t="s">
        <v>621</v>
      </c>
      <c r="H803" t="s">
        <v>632</v>
      </c>
      <c r="I803" t="s">
        <v>633</v>
      </c>
      <c r="J803">
        <v>1</v>
      </c>
      <c r="K803" t="s">
        <v>601</v>
      </c>
      <c r="L803">
        <v>370</v>
      </c>
      <c r="M803">
        <f t="shared" si="12"/>
        <v>370</v>
      </c>
    </row>
    <row r="804" spans="3:13">
      <c r="C804" t="s">
        <v>266</v>
      </c>
      <c r="D804" t="s">
        <v>268</v>
      </c>
      <c r="E804" t="s">
        <v>518</v>
      </c>
      <c r="F804" t="s">
        <v>611</v>
      </c>
      <c r="G804" t="s">
        <v>621</v>
      </c>
      <c r="H804" t="s">
        <v>634</v>
      </c>
      <c r="I804" t="s">
        <v>635</v>
      </c>
      <c r="J804">
        <v>1</v>
      </c>
      <c r="K804" t="s">
        <v>554</v>
      </c>
      <c r="L804">
        <v>39.5</v>
      </c>
      <c r="M804">
        <f t="shared" si="12"/>
        <v>39.5</v>
      </c>
    </row>
    <row r="805" spans="3:13">
      <c r="C805" t="s">
        <v>266</v>
      </c>
      <c r="D805" t="s">
        <v>268</v>
      </c>
      <c r="E805" t="s">
        <v>518</v>
      </c>
      <c r="F805" t="s">
        <v>611</v>
      </c>
      <c r="G805" t="s">
        <v>583</v>
      </c>
      <c r="H805" t="s">
        <v>636</v>
      </c>
      <c r="I805" t="s">
        <v>637</v>
      </c>
      <c r="J805">
        <v>1</v>
      </c>
      <c r="K805" t="s">
        <v>554</v>
      </c>
      <c r="L805">
        <v>41</v>
      </c>
      <c r="M805">
        <f t="shared" si="12"/>
        <v>41</v>
      </c>
    </row>
    <row r="806" spans="3:13">
      <c r="C806" t="s">
        <v>266</v>
      </c>
      <c r="D806" t="s">
        <v>268</v>
      </c>
      <c r="E806" t="s">
        <v>518</v>
      </c>
      <c r="F806" t="s">
        <v>611</v>
      </c>
      <c r="G806" t="s">
        <v>621</v>
      </c>
      <c r="H806" t="s">
        <v>638</v>
      </c>
      <c r="I806" t="s">
        <v>639</v>
      </c>
      <c r="J806">
        <v>1</v>
      </c>
      <c r="K806" t="s">
        <v>554</v>
      </c>
      <c r="L806">
        <v>17.2</v>
      </c>
      <c r="M806">
        <f t="shared" si="12"/>
        <v>17.2</v>
      </c>
    </row>
    <row r="807" spans="3:13">
      <c r="C807" t="s">
        <v>266</v>
      </c>
      <c r="D807" t="s">
        <v>268</v>
      </c>
      <c r="E807" t="s">
        <v>519</v>
      </c>
      <c r="F807" t="s">
        <v>543</v>
      </c>
      <c r="G807" t="s">
        <v>544</v>
      </c>
      <c r="H807" t="s">
        <v>545</v>
      </c>
      <c r="I807" t="s">
        <v>546</v>
      </c>
      <c r="J807">
        <v>1</v>
      </c>
      <c r="K807" t="s">
        <v>547</v>
      </c>
      <c r="L807">
        <v>920</v>
      </c>
      <c r="M807">
        <f t="shared" si="12"/>
        <v>920</v>
      </c>
    </row>
    <row r="808" spans="3:13">
      <c r="C808" t="s">
        <v>266</v>
      </c>
      <c r="D808" t="s">
        <v>268</v>
      </c>
      <c r="E808" t="s">
        <v>519</v>
      </c>
      <c r="F808" t="s">
        <v>543</v>
      </c>
      <c r="G808" t="s">
        <v>544</v>
      </c>
      <c r="H808" t="s">
        <v>548</v>
      </c>
      <c r="I808" t="s">
        <v>549</v>
      </c>
      <c r="J808">
        <v>1</v>
      </c>
      <c r="K808" t="s">
        <v>550</v>
      </c>
      <c r="L808">
        <v>380</v>
      </c>
      <c r="M808">
        <f t="shared" si="12"/>
        <v>380</v>
      </c>
    </row>
    <row r="809" spans="3:13">
      <c r="C809" t="s">
        <v>266</v>
      </c>
      <c r="D809" t="s">
        <v>268</v>
      </c>
      <c r="E809" t="s">
        <v>519</v>
      </c>
      <c r="F809" t="s">
        <v>543</v>
      </c>
      <c r="G809" t="s">
        <v>551</v>
      </c>
      <c r="H809" t="s">
        <v>552</v>
      </c>
      <c r="I809" t="s">
        <v>553</v>
      </c>
      <c r="J809">
        <v>1</v>
      </c>
      <c r="K809" t="s">
        <v>554</v>
      </c>
      <c r="L809">
        <v>14</v>
      </c>
      <c r="M809">
        <f t="shared" si="12"/>
        <v>14</v>
      </c>
    </row>
    <row r="810" spans="3:13">
      <c r="C810" t="s">
        <v>266</v>
      </c>
      <c r="D810" t="s">
        <v>268</v>
      </c>
      <c r="E810" t="s">
        <v>519</v>
      </c>
      <c r="F810" t="s">
        <v>543</v>
      </c>
      <c r="G810" t="s">
        <v>551</v>
      </c>
      <c r="H810" t="s">
        <v>555</v>
      </c>
      <c r="I810" t="s">
        <v>556</v>
      </c>
      <c r="J810">
        <v>1</v>
      </c>
      <c r="K810" t="s">
        <v>554</v>
      </c>
      <c r="L810">
        <v>33</v>
      </c>
      <c r="M810">
        <f t="shared" si="12"/>
        <v>33</v>
      </c>
    </row>
    <row r="811" spans="3:13">
      <c r="C811" t="s">
        <v>266</v>
      </c>
      <c r="D811" t="s">
        <v>268</v>
      </c>
      <c r="E811" t="s">
        <v>519</v>
      </c>
      <c r="F811" t="s">
        <v>643</v>
      </c>
      <c r="G811" t="s">
        <v>558</v>
      </c>
      <c r="H811" t="s">
        <v>559</v>
      </c>
      <c r="I811" t="s">
        <v>560</v>
      </c>
      <c r="J811">
        <v>1</v>
      </c>
      <c r="K811" t="s">
        <v>554</v>
      </c>
      <c r="L811">
        <v>0</v>
      </c>
      <c r="M811">
        <f t="shared" si="12"/>
        <v>0</v>
      </c>
    </row>
    <row r="812" spans="3:13">
      <c r="C812" t="s">
        <v>266</v>
      </c>
      <c r="D812" t="s">
        <v>268</v>
      </c>
      <c r="E812" t="s">
        <v>519</v>
      </c>
      <c r="F812" t="s">
        <v>643</v>
      </c>
      <c r="G812" t="s">
        <v>561</v>
      </c>
      <c r="H812" t="s">
        <v>562</v>
      </c>
      <c r="I812" t="s">
        <v>563</v>
      </c>
      <c r="J812">
        <v>1</v>
      </c>
      <c r="K812" t="s">
        <v>554</v>
      </c>
      <c r="L812">
        <v>13.38</v>
      </c>
      <c r="M812">
        <f t="shared" si="12"/>
        <v>13.38</v>
      </c>
    </row>
    <row r="813" spans="3:13">
      <c r="C813" t="s">
        <v>266</v>
      </c>
      <c r="D813" t="s">
        <v>268</v>
      </c>
      <c r="E813" t="s">
        <v>519</v>
      </c>
      <c r="F813" t="s">
        <v>643</v>
      </c>
      <c r="G813" t="s">
        <v>561</v>
      </c>
      <c r="H813" t="s">
        <v>644</v>
      </c>
      <c r="I813" t="s">
        <v>645</v>
      </c>
      <c r="J813">
        <v>1</v>
      </c>
      <c r="K813" t="s">
        <v>554</v>
      </c>
      <c r="L813">
        <v>39.06</v>
      </c>
      <c r="M813">
        <f t="shared" si="12"/>
        <v>39.06</v>
      </c>
    </row>
    <row r="814" spans="3:13">
      <c r="C814" t="s">
        <v>266</v>
      </c>
      <c r="D814" t="s">
        <v>268</v>
      </c>
      <c r="E814" t="s">
        <v>519</v>
      </c>
      <c r="F814" t="s">
        <v>643</v>
      </c>
      <c r="G814" t="s">
        <v>561</v>
      </c>
      <c r="H814" t="s">
        <v>646</v>
      </c>
      <c r="I814" t="s">
        <v>654</v>
      </c>
      <c r="J814">
        <v>1</v>
      </c>
      <c r="K814" t="s">
        <v>566</v>
      </c>
      <c r="L814">
        <v>8.39</v>
      </c>
      <c r="M814">
        <f t="shared" si="12"/>
        <v>8.39</v>
      </c>
    </row>
    <row r="815" spans="3:13">
      <c r="C815" t="s">
        <v>266</v>
      </c>
      <c r="D815" t="s">
        <v>268</v>
      </c>
      <c r="E815" t="s">
        <v>519</v>
      </c>
      <c r="F815" t="s">
        <v>643</v>
      </c>
      <c r="G815" t="s">
        <v>561</v>
      </c>
      <c r="H815" t="s">
        <v>485</v>
      </c>
      <c r="I815" t="s">
        <v>648</v>
      </c>
      <c r="J815">
        <v>1</v>
      </c>
      <c r="K815" t="s">
        <v>566</v>
      </c>
      <c r="L815">
        <v>15.22</v>
      </c>
      <c r="M815">
        <f t="shared" si="12"/>
        <v>15.22</v>
      </c>
    </row>
    <row r="816" spans="3:13">
      <c r="C816" t="s">
        <v>266</v>
      </c>
      <c r="D816" t="s">
        <v>268</v>
      </c>
      <c r="E816" t="s">
        <v>519</v>
      </c>
      <c r="F816" t="s">
        <v>643</v>
      </c>
      <c r="G816" t="s">
        <v>561</v>
      </c>
      <c r="H816" t="s">
        <v>606</v>
      </c>
      <c r="I816" t="s">
        <v>649</v>
      </c>
      <c r="J816">
        <v>2</v>
      </c>
      <c r="K816" t="s">
        <v>550</v>
      </c>
      <c r="L816">
        <v>4.75</v>
      </c>
      <c r="M816">
        <f t="shared" si="12"/>
        <v>9.5</v>
      </c>
    </row>
    <row r="817" spans="3:13">
      <c r="C817" t="s">
        <v>266</v>
      </c>
      <c r="D817" t="s">
        <v>268</v>
      </c>
      <c r="E817" t="s">
        <v>519</v>
      </c>
      <c r="F817" t="s">
        <v>643</v>
      </c>
      <c r="G817" t="s">
        <v>571</v>
      </c>
      <c r="H817" t="s">
        <v>572</v>
      </c>
      <c r="I817" t="s">
        <v>573</v>
      </c>
      <c r="J817">
        <v>1</v>
      </c>
      <c r="K817" t="s">
        <v>554</v>
      </c>
      <c r="L817">
        <v>1680</v>
      </c>
      <c r="M817">
        <f t="shared" si="12"/>
        <v>1680</v>
      </c>
    </row>
    <row r="818" spans="3:13">
      <c r="C818" t="s">
        <v>266</v>
      </c>
      <c r="D818" t="s">
        <v>268</v>
      </c>
      <c r="E818" t="s">
        <v>519</v>
      </c>
      <c r="F818" t="s">
        <v>643</v>
      </c>
      <c r="G818" t="s">
        <v>571</v>
      </c>
      <c r="H818" t="s">
        <v>574</v>
      </c>
      <c r="I818" t="s">
        <v>575</v>
      </c>
      <c r="J818">
        <v>1</v>
      </c>
      <c r="K818" t="s">
        <v>554</v>
      </c>
      <c r="L818">
        <v>10</v>
      </c>
      <c r="M818">
        <f t="shared" si="12"/>
        <v>10</v>
      </c>
    </row>
    <row r="819" spans="3:13">
      <c r="C819" t="s">
        <v>266</v>
      </c>
      <c r="D819" t="s">
        <v>268</v>
      </c>
      <c r="E819" t="s">
        <v>519</v>
      </c>
      <c r="F819" t="s">
        <v>643</v>
      </c>
      <c r="G819" t="s">
        <v>576</v>
      </c>
      <c r="H819" t="s">
        <v>577</v>
      </c>
      <c r="I819" t="s">
        <v>578</v>
      </c>
      <c r="J819">
        <v>1</v>
      </c>
      <c r="K819" t="s">
        <v>554</v>
      </c>
      <c r="L819">
        <v>93</v>
      </c>
      <c r="M819">
        <f t="shared" si="12"/>
        <v>93</v>
      </c>
    </row>
    <row r="820" spans="3:13">
      <c r="C820" t="s">
        <v>266</v>
      </c>
      <c r="D820" t="s">
        <v>268</v>
      </c>
      <c r="E820" t="s">
        <v>519</v>
      </c>
      <c r="F820" t="s">
        <v>643</v>
      </c>
      <c r="G820" t="s">
        <v>576</v>
      </c>
      <c r="H820" t="s">
        <v>579</v>
      </c>
      <c r="I820" t="s">
        <v>580</v>
      </c>
      <c r="J820">
        <v>1</v>
      </c>
      <c r="K820" t="s">
        <v>554</v>
      </c>
      <c r="L820">
        <v>56</v>
      </c>
      <c r="M820">
        <f t="shared" si="12"/>
        <v>56</v>
      </c>
    </row>
    <row r="821" spans="3:13">
      <c r="C821" t="s">
        <v>266</v>
      </c>
      <c r="D821" t="s">
        <v>268</v>
      </c>
      <c r="E821" t="s">
        <v>519</v>
      </c>
      <c r="F821" t="s">
        <v>643</v>
      </c>
      <c r="G821" t="s">
        <v>558</v>
      </c>
      <c r="H821" t="s">
        <v>581</v>
      </c>
      <c r="I821" t="s">
        <v>582</v>
      </c>
      <c r="J821">
        <v>1</v>
      </c>
      <c r="K821" t="s">
        <v>554</v>
      </c>
      <c r="L821">
        <v>84</v>
      </c>
      <c r="M821">
        <f t="shared" si="12"/>
        <v>84</v>
      </c>
    </row>
    <row r="822" spans="3:13">
      <c r="C822" t="s">
        <v>266</v>
      </c>
      <c r="D822" t="s">
        <v>268</v>
      </c>
      <c r="E822" t="s">
        <v>519</v>
      </c>
      <c r="F822" t="s">
        <v>643</v>
      </c>
      <c r="G822" t="s">
        <v>583</v>
      </c>
      <c r="H822" t="s">
        <v>584</v>
      </c>
      <c r="I822" t="s">
        <v>585</v>
      </c>
      <c r="J822">
        <v>1</v>
      </c>
      <c r="K822" t="s">
        <v>554</v>
      </c>
      <c r="L822">
        <v>165</v>
      </c>
      <c r="M822">
        <f t="shared" si="12"/>
        <v>165</v>
      </c>
    </row>
    <row r="823" spans="3:13">
      <c r="C823" t="s">
        <v>266</v>
      </c>
      <c r="D823" t="s">
        <v>268</v>
      </c>
      <c r="E823" t="s">
        <v>519</v>
      </c>
      <c r="F823" t="s">
        <v>643</v>
      </c>
      <c r="G823" t="s">
        <v>561</v>
      </c>
      <c r="H823" t="s">
        <v>586</v>
      </c>
      <c r="I823" t="s">
        <v>587</v>
      </c>
      <c r="J823">
        <v>1</v>
      </c>
      <c r="K823" t="s">
        <v>554</v>
      </c>
      <c r="L823">
        <v>43</v>
      </c>
      <c r="M823">
        <f t="shared" si="12"/>
        <v>43</v>
      </c>
    </row>
    <row r="824" spans="3:13">
      <c r="C824" t="s">
        <v>266</v>
      </c>
      <c r="D824" t="s">
        <v>268</v>
      </c>
      <c r="E824" t="s">
        <v>519</v>
      </c>
      <c r="F824" t="s">
        <v>643</v>
      </c>
      <c r="G824" t="s">
        <v>588</v>
      </c>
      <c r="H824" t="s">
        <v>589</v>
      </c>
      <c r="I824" t="s">
        <v>590</v>
      </c>
      <c r="J824">
        <v>1</v>
      </c>
      <c r="K824" t="s">
        <v>554</v>
      </c>
      <c r="L824">
        <v>425</v>
      </c>
      <c r="M824">
        <f t="shared" si="12"/>
        <v>425</v>
      </c>
    </row>
    <row r="825" spans="3:13">
      <c r="C825" t="s">
        <v>266</v>
      </c>
      <c r="D825" t="s">
        <v>268</v>
      </c>
      <c r="E825" t="s">
        <v>519</v>
      </c>
      <c r="F825" t="s">
        <v>643</v>
      </c>
      <c r="G825" t="s">
        <v>561</v>
      </c>
      <c r="H825" t="s">
        <v>591</v>
      </c>
      <c r="I825" t="s">
        <v>592</v>
      </c>
      <c r="J825">
        <v>1</v>
      </c>
      <c r="K825" t="s">
        <v>554</v>
      </c>
      <c r="L825">
        <v>77</v>
      </c>
      <c r="M825">
        <f t="shared" si="12"/>
        <v>77</v>
      </c>
    </row>
    <row r="826" spans="3:13">
      <c r="C826" t="s">
        <v>266</v>
      </c>
      <c r="D826" t="s">
        <v>268</v>
      </c>
      <c r="E826" t="s">
        <v>519</v>
      </c>
      <c r="F826" t="s">
        <v>643</v>
      </c>
      <c r="G826" t="s">
        <v>544</v>
      </c>
      <c r="H826" t="s">
        <v>593</v>
      </c>
      <c r="I826" t="s">
        <v>594</v>
      </c>
      <c r="J826">
        <v>2</v>
      </c>
      <c r="K826" t="s">
        <v>595</v>
      </c>
      <c r="L826">
        <v>415</v>
      </c>
      <c r="M826">
        <f t="shared" si="12"/>
        <v>830</v>
      </c>
    </row>
    <row r="827" spans="3:13">
      <c r="C827" t="s">
        <v>266</v>
      </c>
      <c r="D827" t="s">
        <v>268</v>
      </c>
      <c r="E827" t="s">
        <v>519</v>
      </c>
      <c r="F827" t="s">
        <v>643</v>
      </c>
      <c r="G827" t="s">
        <v>544</v>
      </c>
      <c r="H827" t="s">
        <v>657</v>
      </c>
      <c r="I827" t="s">
        <v>665</v>
      </c>
      <c r="J827">
        <v>1</v>
      </c>
      <c r="K827" t="s">
        <v>595</v>
      </c>
      <c r="L827">
        <v>439</v>
      </c>
      <c r="M827">
        <f t="shared" si="12"/>
        <v>439</v>
      </c>
    </row>
    <row r="828" spans="3:13">
      <c r="C828" t="s">
        <v>266</v>
      </c>
      <c r="D828" t="s">
        <v>268</v>
      </c>
      <c r="E828" t="s">
        <v>519</v>
      </c>
      <c r="F828" t="s">
        <v>643</v>
      </c>
      <c r="G828" t="s">
        <v>596</v>
      </c>
      <c r="H828" t="s">
        <v>597</v>
      </c>
      <c r="I828" t="s">
        <v>640</v>
      </c>
      <c r="J828">
        <v>1</v>
      </c>
      <c r="K828" t="s">
        <v>641</v>
      </c>
      <c r="L828">
        <v>77</v>
      </c>
      <c r="M828">
        <f t="shared" si="12"/>
        <v>77</v>
      </c>
    </row>
    <row r="829" spans="3:13">
      <c r="C829" t="s">
        <v>266</v>
      </c>
      <c r="D829" t="s">
        <v>268</v>
      </c>
      <c r="E829" t="s">
        <v>519</v>
      </c>
      <c r="F829" t="s">
        <v>643</v>
      </c>
      <c r="G829" t="s">
        <v>596</v>
      </c>
      <c r="H829" t="s">
        <v>597</v>
      </c>
      <c r="I829" t="s">
        <v>598</v>
      </c>
      <c r="J829">
        <v>1</v>
      </c>
      <c r="K829" t="s">
        <v>599</v>
      </c>
      <c r="L829">
        <v>53</v>
      </c>
      <c r="M829">
        <f t="shared" si="12"/>
        <v>53</v>
      </c>
    </row>
    <row r="830" spans="3:13">
      <c r="C830" t="s">
        <v>266</v>
      </c>
      <c r="D830" t="s">
        <v>268</v>
      </c>
      <c r="E830" t="s">
        <v>519</v>
      </c>
      <c r="F830" t="s">
        <v>643</v>
      </c>
      <c r="G830" t="s">
        <v>561</v>
      </c>
      <c r="H830" t="s">
        <v>481</v>
      </c>
      <c r="I830" t="s">
        <v>666</v>
      </c>
      <c r="J830">
        <v>1</v>
      </c>
      <c r="K830" t="s">
        <v>601</v>
      </c>
      <c r="L830">
        <v>52.85</v>
      </c>
      <c r="M830">
        <f t="shared" si="12"/>
        <v>52.85</v>
      </c>
    </row>
    <row r="831" spans="3:13">
      <c r="C831" t="s">
        <v>266</v>
      </c>
      <c r="D831" t="s">
        <v>268</v>
      </c>
      <c r="E831" t="s">
        <v>519</v>
      </c>
      <c r="F831" t="s">
        <v>557</v>
      </c>
      <c r="G831" t="s">
        <v>544</v>
      </c>
      <c r="H831" t="s">
        <v>651</v>
      </c>
      <c r="I831" t="s">
        <v>652</v>
      </c>
      <c r="J831">
        <v>1</v>
      </c>
      <c r="K831" t="s">
        <v>595</v>
      </c>
      <c r="L831">
        <v>800</v>
      </c>
      <c r="M831">
        <f t="shared" si="12"/>
        <v>800</v>
      </c>
    </row>
    <row r="832" spans="3:13">
      <c r="C832" t="s">
        <v>266</v>
      </c>
      <c r="D832" t="s">
        <v>268</v>
      </c>
      <c r="E832" t="s">
        <v>519</v>
      </c>
      <c r="F832" t="s">
        <v>557</v>
      </c>
      <c r="G832" t="s">
        <v>561</v>
      </c>
      <c r="H832" t="s">
        <v>564</v>
      </c>
      <c r="I832" t="s">
        <v>565</v>
      </c>
      <c r="J832">
        <v>1</v>
      </c>
      <c r="K832" t="s">
        <v>566</v>
      </c>
      <c r="L832">
        <v>26.93</v>
      </c>
      <c r="M832">
        <f t="shared" si="12"/>
        <v>26.93</v>
      </c>
    </row>
    <row r="833" spans="3:13">
      <c r="C833" t="s">
        <v>266</v>
      </c>
      <c r="D833" t="s">
        <v>268</v>
      </c>
      <c r="E833" t="s">
        <v>519</v>
      </c>
      <c r="F833" t="s">
        <v>557</v>
      </c>
      <c r="G833" t="s">
        <v>561</v>
      </c>
      <c r="H833" t="s">
        <v>567</v>
      </c>
      <c r="I833" t="s">
        <v>568</v>
      </c>
      <c r="J833">
        <v>1</v>
      </c>
      <c r="K833" t="s">
        <v>566</v>
      </c>
      <c r="L833">
        <v>23.77</v>
      </c>
      <c r="M833">
        <f t="shared" si="12"/>
        <v>23.77</v>
      </c>
    </row>
    <row r="834" spans="3:13">
      <c r="C834" t="s">
        <v>266</v>
      </c>
      <c r="D834" t="s">
        <v>268</v>
      </c>
      <c r="E834" t="s">
        <v>519</v>
      </c>
      <c r="F834" t="s">
        <v>557</v>
      </c>
      <c r="G834" t="s">
        <v>561</v>
      </c>
      <c r="H834" t="s">
        <v>569</v>
      </c>
      <c r="I834" t="s">
        <v>570</v>
      </c>
      <c r="J834">
        <v>1</v>
      </c>
      <c r="K834" t="s">
        <v>554</v>
      </c>
      <c r="L834">
        <v>47.7</v>
      </c>
      <c r="M834">
        <f t="shared" si="12"/>
        <v>47.7</v>
      </c>
    </row>
    <row r="835" spans="3:13">
      <c r="C835" t="s">
        <v>266</v>
      </c>
      <c r="D835" t="s">
        <v>268</v>
      </c>
      <c r="E835" t="s">
        <v>519</v>
      </c>
      <c r="F835" t="s">
        <v>557</v>
      </c>
      <c r="G835" t="s">
        <v>544</v>
      </c>
      <c r="H835" t="s">
        <v>593</v>
      </c>
      <c r="I835" t="s">
        <v>594</v>
      </c>
      <c r="J835">
        <v>1</v>
      </c>
      <c r="K835" t="s">
        <v>595</v>
      </c>
      <c r="L835">
        <v>415</v>
      </c>
      <c r="M835">
        <f t="shared" si="12"/>
        <v>415</v>
      </c>
    </row>
    <row r="836" spans="3:13">
      <c r="C836" t="s">
        <v>266</v>
      </c>
      <c r="D836" t="s">
        <v>268</v>
      </c>
      <c r="E836" t="s">
        <v>519</v>
      </c>
      <c r="F836" t="s">
        <v>557</v>
      </c>
      <c r="G836" t="s">
        <v>596</v>
      </c>
      <c r="H836" t="s">
        <v>597</v>
      </c>
      <c r="I836" t="s">
        <v>640</v>
      </c>
      <c r="J836">
        <v>1</v>
      </c>
      <c r="K836" t="s">
        <v>641</v>
      </c>
      <c r="L836">
        <v>77</v>
      </c>
      <c r="M836">
        <f t="shared" si="12"/>
        <v>77</v>
      </c>
    </row>
    <row r="837" spans="3:13">
      <c r="C837" t="s">
        <v>266</v>
      </c>
      <c r="D837" t="s">
        <v>268</v>
      </c>
      <c r="E837" t="s">
        <v>519</v>
      </c>
      <c r="F837" t="s">
        <v>557</v>
      </c>
      <c r="G837" t="s">
        <v>571</v>
      </c>
      <c r="H837" t="s">
        <v>572</v>
      </c>
      <c r="I837" t="s">
        <v>573</v>
      </c>
      <c r="J837">
        <v>1</v>
      </c>
      <c r="K837" t="s">
        <v>554</v>
      </c>
      <c r="L837">
        <v>1680</v>
      </c>
      <c r="M837">
        <f t="shared" si="12"/>
        <v>1680</v>
      </c>
    </row>
    <row r="838" spans="3:13">
      <c r="C838" t="s">
        <v>266</v>
      </c>
      <c r="D838" t="s">
        <v>268</v>
      </c>
      <c r="E838" t="s">
        <v>519</v>
      </c>
      <c r="F838" t="s">
        <v>557</v>
      </c>
      <c r="G838" t="s">
        <v>571</v>
      </c>
      <c r="H838" t="s">
        <v>574</v>
      </c>
      <c r="I838" t="s">
        <v>575</v>
      </c>
      <c r="J838">
        <v>1</v>
      </c>
      <c r="K838" t="s">
        <v>554</v>
      </c>
      <c r="L838">
        <v>10</v>
      </c>
      <c r="M838">
        <f t="shared" si="12"/>
        <v>10</v>
      </c>
    </row>
    <row r="839" spans="3:13">
      <c r="C839" t="s">
        <v>266</v>
      </c>
      <c r="D839" t="s">
        <v>268</v>
      </c>
      <c r="E839" t="s">
        <v>519</v>
      </c>
      <c r="F839" t="s">
        <v>557</v>
      </c>
      <c r="G839" t="s">
        <v>558</v>
      </c>
      <c r="H839" t="s">
        <v>581</v>
      </c>
      <c r="I839" t="s">
        <v>582</v>
      </c>
      <c r="J839">
        <v>1</v>
      </c>
      <c r="K839" t="s">
        <v>554</v>
      </c>
      <c r="L839">
        <v>84</v>
      </c>
      <c r="M839">
        <f t="shared" si="12"/>
        <v>84</v>
      </c>
    </row>
    <row r="840" spans="3:13">
      <c r="C840" t="s">
        <v>266</v>
      </c>
      <c r="D840" t="s">
        <v>268</v>
      </c>
      <c r="E840" t="s">
        <v>519</v>
      </c>
      <c r="F840" t="s">
        <v>557</v>
      </c>
      <c r="G840" t="s">
        <v>576</v>
      </c>
      <c r="H840" t="s">
        <v>577</v>
      </c>
      <c r="I840" t="s">
        <v>578</v>
      </c>
      <c r="J840">
        <v>1</v>
      </c>
      <c r="K840" t="s">
        <v>554</v>
      </c>
      <c r="L840">
        <v>93</v>
      </c>
      <c r="M840">
        <f t="shared" si="12"/>
        <v>93</v>
      </c>
    </row>
    <row r="841" spans="3:13">
      <c r="C841" t="s">
        <v>266</v>
      </c>
      <c r="D841" t="s">
        <v>268</v>
      </c>
      <c r="E841" t="s">
        <v>519</v>
      </c>
      <c r="F841" t="s">
        <v>67</v>
      </c>
      <c r="G841" t="s">
        <v>561</v>
      </c>
      <c r="H841" t="s">
        <v>608</v>
      </c>
      <c r="I841" t="s">
        <v>609</v>
      </c>
      <c r="J841">
        <v>1</v>
      </c>
      <c r="K841" t="s">
        <v>610</v>
      </c>
      <c r="L841">
        <v>58</v>
      </c>
      <c r="M841">
        <f t="shared" si="12"/>
        <v>58</v>
      </c>
    </row>
    <row r="842" spans="3:13">
      <c r="C842" t="s">
        <v>266</v>
      </c>
      <c r="D842" t="s">
        <v>268</v>
      </c>
      <c r="E842" t="s">
        <v>519</v>
      </c>
      <c r="F842" t="s">
        <v>67</v>
      </c>
      <c r="G842" t="s">
        <v>571</v>
      </c>
      <c r="H842" t="s">
        <v>602</v>
      </c>
      <c r="I842" t="s">
        <v>667</v>
      </c>
      <c r="J842">
        <v>1</v>
      </c>
      <c r="K842" t="s">
        <v>604</v>
      </c>
      <c r="L842">
        <v>30.1</v>
      </c>
      <c r="M842">
        <f t="shared" ref="M842:M905" si="13">J842*L842</f>
        <v>30.1</v>
      </c>
    </row>
    <row r="843" spans="3:13">
      <c r="C843" t="s">
        <v>266</v>
      </c>
      <c r="D843" t="s">
        <v>268</v>
      </c>
      <c r="E843" t="s">
        <v>519</v>
      </c>
      <c r="F843" t="s">
        <v>67</v>
      </c>
      <c r="G843" t="s">
        <v>576</v>
      </c>
      <c r="H843" t="s">
        <v>660</v>
      </c>
      <c r="I843" t="s">
        <v>661</v>
      </c>
      <c r="J843">
        <v>1</v>
      </c>
      <c r="K843" t="s">
        <v>554</v>
      </c>
      <c r="L843">
        <v>48</v>
      </c>
      <c r="M843">
        <f t="shared" si="13"/>
        <v>48</v>
      </c>
    </row>
    <row r="844" spans="3:13">
      <c r="C844" t="s">
        <v>266</v>
      </c>
      <c r="D844" t="s">
        <v>268</v>
      </c>
      <c r="E844" t="s">
        <v>519</v>
      </c>
      <c r="F844" t="s">
        <v>67</v>
      </c>
      <c r="G844" t="s">
        <v>662</v>
      </c>
      <c r="H844" t="s">
        <v>663</v>
      </c>
      <c r="I844" t="s">
        <v>664</v>
      </c>
      <c r="J844">
        <v>1</v>
      </c>
      <c r="K844" t="s">
        <v>641</v>
      </c>
      <c r="L844">
        <v>288</v>
      </c>
      <c r="M844">
        <f t="shared" si="13"/>
        <v>288</v>
      </c>
    </row>
    <row r="845" spans="3:13">
      <c r="C845" t="s">
        <v>266</v>
      </c>
      <c r="D845" t="s">
        <v>268</v>
      </c>
      <c r="E845" t="s">
        <v>519</v>
      </c>
      <c r="F845" t="s">
        <v>611</v>
      </c>
      <c r="G845" t="s">
        <v>544</v>
      </c>
      <c r="H845" t="s">
        <v>612</v>
      </c>
      <c r="I845" t="s">
        <v>613</v>
      </c>
      <c r="J845">
        <v>1</v>
      </c>
      <c r="K845" t="s">
        <v>595</v>
      </c>
      <c r="L845">
        <v>290</v>
      </c>
      <c r="M845">
        <f t="shared" si="13"/>
        <v>290</v>
      </c>
    </row>
    <row r="846" spans="3:13">
      <c r="C846" t="s">
        <v>266</v>
      </c>
      <c r="D846" t="s">
        <v>268</v>
      </c>
      <c r="E846" t="s">
        <v>519</v>
      </c>
      <c r="F846" t="s">
        <v>611</v>
      </c>
      <c r="G846" t="s">
        <v>571</v>
      </c>
      <c r="H846" t="s">
        <v>614</v>
      </c>
      <c r="I846" t="s">
        <v>615</v>
      </c>
      <c r="J846">
        <v>1</v>
      </c>
      <c r="K846" t="s">
        <v>554</v>
      </c>
      <c r="L846">
        <v>100</v>
      </c>
      <c r="M846">
        <f t="shared" si="13"/>
        <v>100</v>
      </c>
    </row>
    <row r="847" spans="3:13">
      <c r="C847" t="s">
        <v>266</v>
      </c>
      <c r="D847" t="s">
        <v>268</v>
      </c>
      <c r="E847" t="s">
        <v>519</v>
      </c>
      <c r="F847" t="s">
        <v>611</v>
      </c>
      <c r="G847" t="s">
        <v>561</v>
      </c>
      <c r="H847" t="s">
        <v>616</v>
      </c>
      <c r="I847" t="s">
        <v>617</v>
      </c>
      <c r="J847">
        <v>1</v>
      </c>
      <c r="K847" t="s">
        <v>618</v>
      </c>
      <c r="L847">
        <v>55</v>
      </c>
      <c r="M847">
        <f t="shared" si="13"/>
        <v>55</v>
      </c>
    </row>
    <row r="848" spans="3:13">
      <c r="C848" t="s">
        <v>266</v>
      </c>
      <c r="D848" t="s">
        <v>268</v>
      </c>
      <c r="E848" t="s">
        <v>519</v>
      </c>
      <c r="F848" t="s">
        <v>611</v>
      </c>
      <c r="G848" t="s">
        <v>576</v>
      </c>
      <c r="H848" t="s">
        <v>619</v>
      </c>
      <c r="I848" t="s">
        <v>620</v>
      </c>
      <c r="J848">
        <v>1</v>
      </c>
      <c r="K848" t="s">
        <v>554</v>
      </c>
      <c r="L848">
        <v>66.26</v>
      </c>
      <c r="M848">
        <f t="shared" si="13"/>
        <v>66.26</v>
      </c>
    </row>
    <row r="849" spans="3:13">
      <c r="C849" t="s">
        <v>266</v>
      </c>
      <c r="D849" t="s">
        <v>268</v>
      </c>
      <c r="E849" t="s">
        <v>519</v>
      </c>
      <c r="F849" t="s">
        <v>611</v>
      </c>
      <c r="G849" t="s">
        <v>621</v>
      </c>
      <c r="H849" t="s">
        <v>622</v>
      </c>
      <c r="I849" t="s">
        <v>623</v>
      </c>
      <c r="J849">
        <v>1</v>
      </c>
      <c r="K849" t="s">
        <v>554</v>
      </c>
      <c r="L849">
        <v>101</v>
      </c>
      <c r="M849">
        <f t="shared" si="13"/>
        <v>101</v>
      </c>
    </row>
    <row r="850" spans="3:13">
      <c r="C850" t="s">
        <v>266</v>
      </c>
      <c r="D850" t="s">
        <v>268</v>
      </c>
      <c r="E850" t="s">
        <v>519</v>
      </c>
      <c r="F850" t="s">
        <v>611</v>
      </c>
      <c r="G850" t="s">
        <v>621</v>
      </c>
      <c r="H850" t="s">
        <v>624</v>
      </c>
      <c r="I850" t="s">
        <v>625</v>
      </c>
      <c r="J850">
        <v>1</v>
      </c>
      <c r="K850" t="s">
        <v>554</v>
      </c>
      <c r="L850">
        <v>418</v>
      </c>
      <c r="M850">
        <f t="shared" si="13"/>
        <v>418</v>
      </c>
    </row>
    <row r="851" spans="3:13">
      <c r="C851" t="s">
        <v>266</v>
      </c>
      <c r="D851" t="s">
        <v>268</v>
      </c>
      <c r="E851" t="s">
        <v>519</v>
      </c>
      <c r="F851" t="s">
        <v>611</v>
      </c>
      <c r="G851" t="s">
        <v>621</v>
      </c>
      <c r="H851" t="s">
        <v>626</v>
      </c>
      <c r="I851" t="s">
        <v>627</v>
      </c>
      <c r="J851">
        <v>1</v>
      </c>
      <c r="K851" t="s">
        <v>554</v>
      </c>
      <c r="L851">
        <v>37</v>
      </c>
      <c r="M851">
        <f t="shared" si="13"/>
        <v>37</v>
      </c>
    </row>
    <row r="852" spans="3:13">
      <c r="C852" t="s">
        <v>266</v>
      </c>
      <c r="D852" t="s">
        <v>268</v>
      </c>
      <c r="E852" t="s">
        <v>519</v>
      </c>
      <c r="F852" t="s">
        <v>611</v>
      </c>
      <c r="G852" t="s">
        <v>571</v>
      </c>
      <c r="H852" t="s">
        <v>628</v>
      </c>
      <c r="I852" t="s">
        <v>653</v>
      </c>
      <c r="J852">
        <v>1</v>
      </c>
      <c r="K852" t="s">
        <v>604</v>
      </c>
      <c r="L852">
        <v>430</v>
      </c>
      <c r="M852">
        <f t="shared" si="13"/>
        <v>430</v>
      </c>
    </row>
    <row r="853" spans="3:13">
      <c r="C853" t="s">
        <v>266</v>
      </c>
      <c r="D853" t="s">
        <v>268</v>
      </c>
      <c r="E853" t="s">
        <v>519</v>
      </c>
      <c r="F853" t="s">
        <v>611</v>
      </c>
      <c r="G853" t="s">
        <v>551</v>
      </c>
      <c r="H853" t="s">
        <v>630</v>
      </c>
      <c r="I853" t="s">
        <v>631</v>
      </c>
      <c r="J853">
        <v>1</v>
      </c>
      <c r="K853" t="s">
        <v>566</v>
      </c>
      <c r="L853">
        <v>4.7</v>
      </c>
      <c r="M853">
        <f t="shared" si="13"/>
        <v>4.7</v>
      </c>
    </row>
    <row r="854" spans="3:13">
      <c r="C854" t="s">
        <v>266</v>
      </c>
      <c r="D854" t="s">
        <v>268</v>
      </c>
      <c r="E854" t="s">
        <v>519</v>
      </c>
      <c r="F854" t="s">
        <v>611</v>
      </c>
      <c r="G854" t="s">
        <v>621</v>
      </c>
      <c r="H854" t="s">
        <v>632</v>
      </c>
      <c r="I854" t="s">
        <v>633</v>
      </c>
      <c r="J854">
        <v>1</v>
      </c>
      <c r="K854" t="s">
        <v>601</v>
      </c>
      <c r="L854">
        <v>370</v>
      </c>
      <c r="M854">
        <f t="shared" si="13"/>
        <v>370</v>
      </c>
    </row>
    <row r="855" spans="3:13">
      <c r="C855" t="s">
        <v>266</v>
      </c>
      <c r="D855" t="s">
        <v>268</v>
      </c>
      <c r="E855" t="s">
        <v>519</v>
      </c>
      <c r="F855" t="s">
        <v>611</v>
      </c>
      <c r="G855" t="s">
        <v>621</v>
      </c>
      <c r="H855" t="s">
        <v>634</v>
      </c>
      <c r="I855" t="s">
        <v>635</v>
      </c>
      <c r="J855">
        <v>1</v>
      </c>
      <c r="K855" t="s">
        <v>554</v>
      </c>
      <c r="L855">
        <v>39.5</v>
      </c>
      <c r="M855">
        <f t="shared" si="13"/>
        <v>39.5</v>
      </c>
    </row>
    <row r="856" spans="3:13">
      <c r="C856" t="s">
        <v>266</v>
      </c>
      <c r="D856" t="s">
        <v>268</v>
      </c>
      <c r="E856" t="s">
        <v>519</v>
      </c>
      <c r="F856" t="s">
        <v>611</v>
      </c>
      <c r="G856" t="s">
        <v>583</v>
      </c>
      <c r="H856" t="s">
        <v>636</v>
      </c>
      <c r="I856" t="s">
        <v>637</v>
      </c>
      <c r="J856">
        <v>1</v>
      </c>
      <c r="K856" t="s">
        <v>554</v>
      </c>
      <c r="L856">
        <v>41</v>
      </c>
      <c r="M856">
        <f t="shared" si="13"/>
        <v>41</v>
      </c>
    </row>
    <row r="857" spans="3:13">
      <c r="C857" t="s">
        <v>266</v>
      </c>
      <c r="D857" t="s">
        <v>268</v>
      </c>
      <c r="E857" t="s">
        <v>519</v>
      </c>
      <c r="F857" t="s">
        <v>611</v>
      </c>
      <c r="G857" t="s">
        <v>621</v>
      </c>
      <c r="H857" t="s">
        <v>638</v>
      </c>
      <c r="I857" t="s">
        <v>639</v>
      </c>
      <c r="J857">
        <v>1</v>
      </c>
      <c r="K857" t="s">
        <v>554</v>
      </c>
      <c r="L857">
        <v>17.2</v>
      </c>
      <c r="M857">
        <f t="shared" si="13"/>
        <v>17.2</v>
      </c>
    </row>
    <row r="858" spans="3:13">
      <c r="C858" t="s">
        <v>266</v>
      </c>
      <c r="D858" t="s">
        <v>268</v>
      </c>
      <c r="E858" t="s">
        <v>520</v>
      </c>
      <c r="F858" t="s">
        <v>543</v>
      </c>
      <c r="G858" t="s">
        <v>544</v>
      </c>
      <c r="H858" t="s">
        <v>545</v>
      </c>
      <c r="I858" t="s">
        <v>546</v>
      </c>
      <c r="J858">
        <v>1</v>
      </c>
      <c r="K858" t="s">
        <v>547</v>
      </c>
      <c r="L858">
        <v>920</v>
      </c>
      <c r="M858">
        <f t="shared" si="13"/>
        <v>920</v>
      </c>
    </row>
    <row r="859" spans="3:13">
      <c r="C859" t="s">
        <v>266</v>
      </c>
      <c r="D859" t="s">
        <v>268</v>
      </c>
      <c r="E859" t="s">
        <v>520</v>
      </c>
      <c r="F859" t="s">
        <v>543</v>
      </c>
      <c r="G859" t="s">
        <v>544</v>
      </c>
      <c r="H859" t="s">
        <v>548</v>
      </c>
      <c r="I859" t="s">
        <v>549</v>
      </c>
      <c r="J859">
        <v>1</v>
      </c>
      <c r="K859" t="s">
        <v>550</v>
      </c>
      <c r="L859">
        <v>380</v>
      </c>
      <c r="M859">
        <f t="shared" si="13"/>
        <v>380</v>
      </c>
    </row>
    <row r="860" spans="3:13">
      <c r="C860" t="s">
        <v>266</v>
      </c>
      <c r="D860" t="s">
        <v>268</v>
      </c>
      <c r="E860" t="s">
        <v>520</v>
      </c>
      <c r="F860" t="s">
        <v>543</v>
      </c>
      <c r="G860" t="s">
        <v>551</v>
      </c>
      <c r="H860" t="s">
        <v>552</v>
      </c>
      <c r="I860" t="s">
        <v>553</v>
      </c>
      <c r="J860">
        <v>1</v>
      </c>
      <c r="K860" t="s">
        <v>554</v>
      </c>
      <c r="L860">
        <v>14</v>
      </c>
      <c r="M860">
        <f t="shared" si="13"/>
        <v>14</v>
      </c>
    </row>
    <row r="861" spans="3:13">
      <c r="C861" t="s">
        <v>266</v>
      </c>
      <c r="D861" t="s">
        <v>268</v>
      </c>
      <c r="E861" t="s">
        <v>520</v>
      </c>
      <c r="F861" t="s">
        <v>543</v>
      </c>
      <c r="G861" t="s">
        <v>551</v>
      </c>
      <c r="H861" t="s">
        <v>555</v>
      </c>
      <c r="I861" t="s">
        <v>556</v>
      </c>
      <c r="J861">
        <v>1</v>
      </c>
      <c r="K861" t="s">
        <v>554</v>
      </c>
      <c r="L861">
        <v>33</v>
      </c>
      <c r="M861">
        <f t="shared" si="13"/>
        <v>33</v>
      </c>
    </row>
    <row r="862" spans="3:13">
      <c r="C862" t="s">
        <v>266</v>
      </c>
      <c r="D862" t="s">
        <v>268</v>
      </c>
      <c r="E862" t="s">
        <v>520</v>
      </c>
      <c r="F862" t="s">
        <v>557</v>
      </c>
      <c r="G862" t="s">
        <v>558</v>
      </c>
      <c r="H862" t="s">
        <v>559</v>
      </c>
      <c r="I862" t="s">
        <v>560</v>
      </c>
      <c r="J862">
        <v>1</v>
      </c>
      <c r="K862" t="s">
        <v>554</v>
      </c>
      <c r="L862">
        <v>0</v>
      </c>
      <c r="M862">
        <f t="shared" si="13"/>
        <v>0</v>
      </c>
    </row>
    <row r="863" spans="3:13">
      <c r="C863" t="s">
        <v>266</v>
      </c>
      <c r="D863" t="s">
        <v>268</v>
      </c>
      <c r="E863" t="s">
        <v>520</v>
      </c>
      <c r="F863" t="s">
        <v>557</v>
      </c>
      <c r="G863" t="s">
        <v>561</v>
      </c>
      <c r="H863" t="s">
        <v>562</v>
      </c>
      <c r="I863" t="s">
        <v>563</v>
      </c>
      <c r="J863">
        <v>1</v>
      </c>
      <c r="K863" t="s">
        <v>554</v>
      </c>
      <c r="L863">
        <v>13.38</v>
      </c>
      <c r="M863">
        <f t="shared" si="13"/>
        <v>13.38</v>
      </c>
    </row>
    <row r="864" spans="3:13">
      <c r="C864" t="s">
        <v>266</v>
      </c>
      <c r="D864" t="s">
        <v>268</v>
      </c>
      <c r="E864" t="s">
        <v>520</v>
      </c>
      <c r="F864" t="s">
        <v>557</v>
      </c>
      <c r="G864" t="s">
        <v>561</v>
      </c>
      <c r="H864" t="s">
        <v>564</v>
      </c>
      <c r="I864" t="s">
        <v>565</v>
      </c>
      <c r="J864">
        <v>1</v>
      </c>
      <c r="K864" t="s">
        <v>566</v>
      </c>
      <c r="L864">
        <v>26.93</v>
      </c>
      <c r="M864">
        <f t="shared" si="13"/>
        <v>26.93</v>
      </c>
    </row>
    <row r="865" spans="3:13">
      <c r="C865" t="s">
        <v>266</v>
      </c>
      <c r="D865" t="s">
        <v>268</v>
      </c>
      <c r="E865" t="s">
        <v>520</v>
      </c>
      <c r="F865" t="s">
        <v>557</v>
      </c>
      <c r="G865" t="s">
        <v>561</v>
      </c>
      <c r="H865" t="s">
        <v>567</v>
      </c>
      <c r="I865" t="s">
        <v>568</v>
      </c>
      <c r="J865">
        <v>1</v>
      </c>
      <c r="K865" t="s">
        <v>566</v>
      </c>
      <c r="L865">
        <v>23.77</v>
      </c>
      <c r="M865">
        <f t="shared" si="13"/>
        <v>23.77</v>
      </c>
    </row>
    <row r="866" spans="3:13">
      <c r="C866" t="s">
        <v>266</v>
      </c>
      <c r="D866" t="s">
        <v>268</v>
      </c>
      <c r="E866" t="s">
        <v>520</v>
      </c>
      <c r="F866" t="s">
        <v>557</v>
      </c>
      <c r="G866" t="s">
        <v>561</v>
      </c>
      <c r="H866" t="s">
        <v>569</v>
      </c>
      <c r="I866" t="s">
        <v>570</v>
      </c>
      <c r="J866">
        <v>1</v>
      </c>
      <c r="K866" t="s">
        <v>554</v>
      </c>
      <c r="L866">
        <v>47.7</v>
      </c>
      <c r="M866">
        <f t="shared" si="13"/>
        <v>47.7</v>
      </c>
    </row>
    <row r="867" spans="3:13">
      <c r="C867" t="s">
        <v>266</v>
      </c>
      <c r="D867" t="s">
        <v>268</v>
      </c>
      <c r="E867" t="s">
        <v>520</v>
      </c>
      <c r="F867" t="s">
        <v>557</v>
      </c>
      <c r="G867" t="s">
        <v>571</v>
      </c>
      <c r="H867" t="s">
        <v>572</v>
      </c>
      <c r="I867" t="s">
        <v>573</v>
      </c>
      <c r="J867">
        <v>1</v>
      </c>
      <c r="K867" t="s">
        <v>554</v>
      </c>
      <c r="L867">
        <v>1680</v>
      </c>
      <c r="M867">
        <f t="shared" si="13"/>
        <v>1680</v>
      </c>
    </row>
    <row r="868" spans="3:13">
      <c r="C868" t="s">
        <v>266</v>
      </c>
      <c r="D868" t="s">
        <v>268</v>
      </c>
      <c r="E868" t="s">
        <v>520</v>
      </c>
      <c r="F868" t="s">
        <v>557</v>
      </c>
      <c r="G868" t="s">
        <v>571</v>
      </c>
      <c r="H868" t="s">
        <v>574</v>
      </c>
      <c r="I868" t="s">
        <v>575</v>
      </c>
      <c r="J868">
        <v>1</v>
      </c>
      <c r="K868" t="s">
        <v>554</v>
      </c>
      <c r="L868">
        <v>10</v>
      </c>
      <c r="M868">
        <f t="shared" si="13"/>
        <v>10</v>
      </c>
    </row>
    <row r="869" spans="3:13">
      <c r="C869" t="s">
        <v>266</v>
      </c>
      <c r="D869" t="s">
        <v>268</v>
      </c>
      <c r="E869" t="s">
        <v>520</v>
      </c>
      <c r="F869" t="s">
        <v>557</v>
      </c>
      <c r="G869" t="s">
        <v>576</v>
      </c>
      <c r="H869" t="s">
        <v>577</v>
      </c>
      <c r="I869" t="s">
        <v>578</v>
      </c>
      <c r="J869">
        <v>1</v>
      </c>
      <c r="K869" t="s">
        <v>554</v>
      </c>
      <c r="L869">
        <v>93</v>
      </c>
      <c r="M869">
        <f t="shared" si="13"/>
        <v>93</v>
      </c>
    </row>
    <row r="870" spans="3:13">
      <c r="C870" t="s">
        <v>266</v>
      </c>
      <c r="D870" t="s">
        <v>268</v>
      </c>
      <c r="E870" t="s">
        <v>520</v>
      </c>
      <c r="F870" t="s">
        <v>557</v>
      </c>
      <c r="G870" t="s">
        <v>558</v>
      </c>
      <c r="H870" t="s">
        <v>581</v>
      </c>
      <c r="I870" t="s">
        <v>582</v>
      </c>
      <c r="J870">
        <v>1</v>
      </c>
      <c r="K870" t="s">
        <v>554</v>
      </c>
      <c r="L870">
        <v>84</v>
      </c>
      <c r="M870">
        <f t="shared" si="13"/>
        <v>84</v>
      </c>
    </row>
    <row r="871" spans="3:13">
      <c r="C871" t="s">
        <v>266</v>
      </c>
      <c r="D871" t="s">
        <v>268</v>
      </c>
      <c r="E871" t="s">
        <v>520</v>
      </c>
      <c r="F871" t="s">
        <v>557</v>
      </c>
      <c r="G871" t="s">
        <v>583</v>
      </c>
      <c r="H871" t="s">
        <v>584</v>
      </c>
      <c r="I871" t="s">
        <v>585</v>
      </c>
      <c r="J871">
        <v>1</v>
      </c>
      <c r="K871" t="s">
        <v>554</v>
      </c>
      <c r="L871">
        <v>165</v>
      </c>
      <c r="M871">
        <f t="shared" si="13"/>
        <v>165</v>
      </c>
    </row>
    <row r="872" spans="3:13">
      <c r="C872" t="s">
        <v>266</v>
      </c>
      <c r="D872" t="s">
        <v>268</v>
      </c>
      <c r="E872" t="s">
        <v>520</v>
      </c>
      <c r="F872" t="s">
        <v>557</v>
      </c>
      <c r="G872" t="s">
        <v>561</v>
      </c>
      <c r="H872" t="s">
        <v>586</v>
      </c>
      <c r="I872" t="s">
        <v>587</v>
      </c>
      <c r="J872">
        <v>1</v>
      </c>
      <c r="K872" t="s">
        <v>554</v>
      </c>
      <c r="L872">
        <v>43</v>
      </c>
      <c r="M872">
        <f t="shared" si="13"/>
        <v>43</v>
      </c>
    </row>
    <row r="873" spans="3:13">
      <c r="C873" t="s">
        <v>266</v>
      </c>
      <c r="D873" t="s">
        <v>268</v>
      </c>
      <c r="E873" t="s">
        <v>520</v>
      </c>
      <c r="F873" t="s">
        <v>557</v>
      </c>
      <c r="G873" t="s">
        <v>588</v>
      </c>
      <c r="H873" t="s">
        <v>589</v>
      </c>
      <c r="I873" t="s">
        <v>590</v>
      </c>
      <c r="J873">
        <v>1</v>
      </c>
      <c r="K873" t="s">
        <v>554</v>
      </c>
      <c r="L873">
        <v>425</v>
      </c>
      <c r="M873">
        <f t="shared" si="13"/>
        <v>425</v>
      </c>
    </row>
    <row r="874" spans="3:13">
      <c r="C874" t="s">
        <v>266</v>
      </c>
      <c r="D874" t="s">
        <v>268</v>
      </c>
      <c r="E874" t="s">
        <v>520</v>
      </c>
      <c r="F874" t="s">
        <v>557</v>
      </c>
      <c r="G874" t="s">
        <v>561</v>
      </c>
      <c r="H874" t="s">
        <v>591</v>
      </c>
      <c r="I874" t="s">
        <v>592</v>
      </c>
      <c r="J874">
        <v>1</v>
      </c>
      <c r="K874" t="s">
        <v>554</v>
      </c>
      <c r="L874">
        <v>77</v>
      </c>
      <c r="M874">
        <f t="shared" si="13"/>
        <v>77</v>
      </c>
    </row>
    <row r="875" spans="3:13">
      <c r="C875" t="s">
        <v>266</v>
      </c>
      <c r="D875" t="s">
        <v>268</v>
      </c>
      <c r="E875" t="s">
        <v>520</v>
      </c>
      <c r="F875" t="s">
        <v>557</v>
      </c>
      <c r="G875" t="s">
        <v>544</v>
      </c>
      <c r="H875" t="s">
        <v>657</v>
      </c>
      <c r="I875" t="s">
        <v>658</v>
      </c>
      <c r="J875">
        <v>1</v>
      </c>
      <c r="K875" t="s">
        <v>641</v>
      </c>
      <c r="L875">
        <v>414</v>
      </c>
      <c r="M875">
        <f t="shared" si="13"/>
        <v>414</v>
      </c>
    </row>
    <row r="876" spans="3:13">
      <c r="C876" t="s">
        <v>266</v>
      </c>
      <c r="D876" t="s">
        <v>268</v>
      </c>
      <c r="E876" t="s">
        <v>520</v>
      </c>
      <c r="F876" t="s">
        <v>557</v>
      </c>
      <c r="G876" t="s">
        <v>596</v>
      </c>
      <c r="H876" t="s">
        <v>597</v>
      </c>
      <c r="I876" t="s">
        <v>640</v>
      </c>
      <c r="J876">
        <v>1</v>
      </c>
      <c r="K876" t="s">
        <v>641</v>
      </c>
      <c r="L876">
        <v>77</v>
      </c>
      <c r="M876">
        <f t="shared" si="13"/>
        <v>77</v>
      </c>
    </row>
    <row r="877" spans="3:13">
      <c r="C877" t="s">
        <v>266</v>
      </c>
      <c r="D877" t="s">
        <v>268</v>
      </c>
      <c r="E877" t="s">
        <v>520</v>
      </c>
      <c r="F877" t="s">
        <v>557</v>
      </c>
      <c r="G877" t="s">
        <v>561</v>
      </c>
      <c r="H877" t="s">
        <v>481</v>
      </c>
      <c r="I877" t="s">
        <v>666</v>
      </c>
      <c r="J877">
        <v>1</v>
      </c>
      <c r="K877" t="s">
        <v>601</v>
      </c>
      <c r="L877">
        <v>52.85</v>
      </c>
      <c r="M877">
        <f t="shared" si="13"/>
        <v>52.85</v>
      </c>
    </row>
    <row r="878" spans="3:13">
      <c r="C878" t="s">
        <v>266</v>
      </c>
      <c r="D878" t="s">
        <v>268</v>
      </c>
      <c r="E878" t="s">
        <v>520</v>
      </c>
      <c r="F878" t="s">
        <v>557</v>
      </c>
      <c r="G878" t="s">
        <v>561</v>
      </c>
      <c r="H878" t="s">
        <v>482</v>
      </c>
      <c r="I878" t="s">
        <v>605</v>
      </c>
      <c r="J878">
        <v>1</v>
      </c>
      <c r="K878" t="s">
        <v>566</v>
      </c>
      <c r="L878">
        <v>15.82</v>
      </c>
      <c r="M878">
        <f t="shared" si="13"/>
        <v>15.82</v>
      </c>
    </row>
    <row r="879" spans="3:13">
      <c r="C879" t="s">
        <v>266</v>
      </c>
      <c r="D879" t="s">
        <v>268</v>
      </c>
      <c r="E879" t="s">
        <v>520</v>
      </c>
      <c r="F879" t="s">
        <v>557</v>
      </c>
      <c r="G879" t="s">
        <v>561</v>
      </c>
      <c r="H879" t="s">
        <v>606</v>
      </c>
      <c r="I879" t="s">
        <v>607</v>
      </c>
      <c r="J879">
        <v>1</v>
      </c>
      <c r="K879" t="s">
        <v>550</v>
      </c>
      <c r="L879">
        <v>4.29</v>
      </c>
      <c r="M879">
        <f t="shared" si="13"/>
        <v>4.29</v>
      </c>
    </row>
    <row r="880" spans="3:13">
      <c r="C880" t="s">
        <v>266</v>
      </c>
      <c r="D880" t="s">
        <v>268</v>
      </c>
      <c r="E880" t="s">
        <v>520</v>
      </c>
      <c r="F880" t="s">
        <v>67</v>
      </c>
      <c r="G880" t="s">
        <v>561</v>
      </c>
      <c r="H880" t="s">
        <v>608</v>
      </c>
      <c r="I880" t="s">
        <v>609</v>
      </c>
      <c r="J880">
        <v>1</v>
      </c>
      <c r="K880" t="s">
        <v>610</v>
      </c>
      <c r="L880">
        <v>58</v>
      </c>
      <c r="M880">
        <f t="shared" si="13"/>
        <v>58</v>
      </c>
    </row>
    <row r="881" spans="3:13">
      <c r="C881" t="s">
        <v>266</v>
      </c>
      <c r="D881" t="s">
        <v>268</v>
      </c>
      <c r="E881" t="s">
        <v>520</v>
      </c>
      <c r="F881" t="s">
        <v>67</v>
      </c>
      <c r="G881" t="s">
        <v>571</v>
      </c>
      <c r="H881" t="s">
        <v>602</v>
      </c>
      <c r="I881" t="s">
        <v>667</v>
      </c>
      <c r="J881">
        <v>1</v>
      </c>
      <c r="K881" t="s">
        <v>604</v>
      </c>
      <c r="L881">
        <v>30.1</v>
      </c>
      <c r="M881">
        <f t="shared" si="13"/>
        <v>30.1</v>
      </c>
    </row>
    <row r="882" spans="3:13">
      <c r="C882" t="s">
        <v>266</v>
      </c>
      <c r="D882" t="s">
        <v>268</v>
      </c>
      <c r="E882" t="s">
        <v>520</v>
      </c>
      <c r="F882" t="s">
        <v>67</v>
      </c>
      <c r="G882" t="s">
        <v>576</v>
      </c>
      <c r="H882" t="s">
        <v>660</v>
      </c>
      <c r="I882" t="s">
        <v>661</v>
      </c>
      <c r="J882">
        <v>1</v>
      </c>
      <c r="K882" t="s">
        <v>554</v>
      </c>
      <c r="L882">
        <v>48</v>
      </c>
      <c r="M882">
        <f t="shared" si="13"/>
        <v>48</v>
      </c>
    </row>
    <row r="883" spans="3:13">
      <c r="C883" t="s">
        <v>266</v>
      </c>
      <c r="D883" t="s">
        <v>268</v>
      </c>
      <c r="E883" t="s">
        <v>520</v>
      </c>
      <c r="F883" t="s">
        <v>67</v>
      </c>
      <c r="G883" t="s">
        <v>662</v>
      </c>
      <c r="H883" t="s">
        <v>663</v>
      </c>
      <c r="I883" t="s">
        <v>664</v>
      </c>
      <c r="J883">
        <v>1</v>
      </c>
      <c r="K883" t="s">
        <v>641</v>
      </c>
      <c r="L883">
        <v>288</v>
      </c>
      <c r="M883">
        <f t="shared" si="13"/>
        <v>288</v>
      </c>
    </row>
    <row r="884" spans="3:13">
      <c r="C884" t="s">
        <v>266</v>
      </c>
      <c r="D884" t="s">
        <v>268</v>
      </c>
      <c r="E884" t="s">
        <v>520</v>
      </c>
      <c r="F884" t="s">
        <v>611</v>
      </c>
      <c r="G884" t="s">
        <v>544</v>
      </c>
      <c r="H884" t="s">
        <v>612</v>
      </c>
      <c r="I884" t="s">
        <v>613</v>
      </c>
      <c r="J884">
        <v>1</v>
      </c>
      <c r="K884" t="s">
        <v>595</v>
      </c>
      <c r="L884">
        <v>290</v>
      </c>
      <c r="M884">
        <f t="shared" si="13"/>
        <v>290</v>
      </c>
    </row>
    <row r="885" spans="3:13">
      <c r="C885" t="s">
        <v>266</v>
      </c>
      <c r="D885" t="s">
        <v>268</v>
      </c>
      <c r="E885" t="s">
        <v>520</v>
      </c>
      <c r="F885" t="s">
        <v>611</v>
      </c>
      <c r="G885" t="s">
        <v>571</v>
      </c>
      <c r="H885" t="s">
        <v>614</v>
      </c>
      <c r="I885" t="s">
        <v>615</v>
      </c>
      <c r="J885">
        <v>1</v>
      </c>
      <c r="K885" t="s">
        <v>554</v>
      </c>
      <c r="L885">
        <v>100</v>
      </c>
      <c r="M885">
        <f t="shared" si="13"/>
        <v>100</v>
      </c>
    </row>
    <row r="886" spans="3:13">
      <c r="C886" t="s">
        <v>266</v>
      </c>
      <c r="D886" t="s">
        <v>268</v>
      </c>
      <c r="E886" t="s">
        <v>520</v>
      </c>
      <c r="F886" t="s">
        <v>611</v>
      </c>
      <c r="G886" t="s">
        <v>561</v>
      </c>
      <c r="H886" t="s">
        <v>616</v>
      </c>
      <c r="I886" t="s">
        <v>617</v>
      </c>
      <c r="J886">
        <v>1</v>
      </c>
      <c r="K886" t="s">
        <v>618</v>
      </c>
      <c r="L886">
        <v>55</v>
      </c>
      <c r="M886">
        <f t="shared" si="13"/>
        <v>55</v>
      </c>
    </row>
    <row r="887" spans="3:13">
      <c r="C887" t="s">
        <v>266</v>
      </c>
      <c r="D887" t="s">
        <v>268</v>
      </c>
      <c r="E887" t="s">
        <v>520</v>
      </c>
      <c r="F887" t="s">
        <v>611</v>
      </c>
      <c r="G887" t="s">
        <v>576</v>
      </c>
      <c r="H887" t="s">
        <v>619</v>
      </c>
      <c r="I887" t="s">
        <v>620</v>
      </c>
      <c r="J887">
        <v>1</v>
      </c>
      <c r="K887" t="s">
        <v>554</v>
      </c>
      <c r="L887">
        <v>66.26</v>
      </c>
      <c r="M887">
        <f t="shared" si="13"/>
        <v>66.26</v>
      </c>
    </row>
    <row r="888" spans="3:13">
      <c r="C888" t="s">
        <v>266</v>
      </c>
      <c r="D888" t="s">
        <v>268</v>
      </c>
      <c r="E888" t="s">
        <v>520</v>
      </c>
      <c r="F888" t="s">
        <v>611</v>
      </c>
      <c r="G888" t="s">
        <v>621</v>
      </c>
      <c r="H888" t="s">
        <v>622</v>
      </c>
      <c r="I888" t="s">
        <v>623</v>
      </c>
      <c r="J888">
        <v>1</v>
      </c>
      <c r="K888" t="s">
        <v>554</v>
      </c>
      <c r="L888">
        <v>101</v>
      </c>
      <c r="M888">
        <f t="shared" si="13"/>
        <v>101</v>
      </c>
    </row>
    <row r="889" spans="3:13">
      <c r="C889" t="s">
        <v>266</v>
      </c>
      <c r="D889" t="s">
        <v>268</v>
      </c>
      <c r="E889" t="s">
        <v>520</v>
      </c>
      <c r="F889" t="s">
        <v>611</v>
      </c>
      <c r="G889" t="s">
        <v>621</v>
      </c>
      <c r="H889" t="s">
        <v>624</v>
      </c>
      <c r="I889" t="s">
        <v>625</v>
      </c>
      <c r="J889">
        <v>1</v>
      </c>
      <c r="K889" t="s">
        <v>554</v>
      </c>
      <c r="L889">
        <v>418</v>
      </c>
      <c r="M889">
        <f t="shared" si="13"/>
        <v>418</v>
      </c>
    </row>
    <row r="890" spans="3:13">
      <c r="C890" t="s">
        <v>266</v>
      </c>
      <c r="D890" t="s">
        <v>268</v>
      </c>
      <c r="E890" t="s">
        <v>520</v>
      </c>
      <c r="F890" t="s">
        <v>611</v>
      </c>
      <c r="G890" t="s">
        <v>621</v>
      </c>
      <c r="H890" t="s">
        <v>626</v>
      </c>
      <c r="I890" t="s">
        <v>627</v>
      </c>
      <c r="J890">
        <v>1</v>
      </c>
      <c r="K890" t="s">
        <v>554</v>
      </c>
      <c r="L890">
        <v>37</v>
      </c>
      <c r="M890">
        <f t="shared" si="13"/>
        <v>37</v>
      </c>
    </row>
    <row r="891" spans="3:13">
      <c r="C891" t="s">
        <v>266</v>
      </c>
      <c r="D891" t="s">
        <v>268</v>
      </c>
      <c r="E891" t="s">
        <v>520</v>
      </c>
      <c r="F891" t="s">
        <v>611</v>
      </c>
      <c r="G891" t="s">
        <v>571</v>
      </c>
      <c r="H891" t="s">
        <v>628</v>
      </c>
      <c r="I891" t="s">
        <v>629</v>
      </c>
      <c r="J891">
        <v>1</v>
      </c>
      <c r="K891" t="s">
        <v>604</v>
      </c>
      <c r="L891">
        <v>370</v>
      </c>
      <c r="M891">
        <f t="shared" si="13"/>
        <v>370</v>
      </c>
    </row>
    <row r="892" spans="3:13">
      <c r="C892" t="s">
        <v>266</v>
      </c>
      <c r="D892" t="s">
        <v>268</v>
      </c>
      <c r="E892" t="s">
        <v>520</v>
      </c>
      <c r="F892" t="s">
        <v>611</v>
      </c>
      <c r="G892" t="s">
        <v>551</v>
      </c>
      <c r="H892" t="s">
        <v>630</v>
      </c>
      <c r="I892" t="s">
        <v>631</v>
      </c>
      <c r="J892">
        <v>1</v>
      </c>
      <c r="K892" t="s">
        <v>566</v>
      </c>
      <c r="L892">
        <v>4.7</v>
      </c>
      <c r="M892">
        <f t="shared" si="13"/>
        <v>4.7</v>
      </c>
    </row>
    <row r="893" spans="3:13">
      <c r="C893" t="s">
        <v>266</v>
      </c>
      <c r="D893" t="s">
        <v>268</v>
      </c>
      <c r="E893" t="s">
        <v>520</v>
      </c>
      <c r="F893" t="s">
        <v>611</v>
      </c>
      <c r="G893" t="s">
        <v>621</v>
      </c>
      <c r="H893" t="s">
        <v>632</v>
      </c>
      <c r="I893" t="s">
        <v>633</v>
      </c>
      <c r="J893">
        <v>1</v>
      </c>
      <c r="K893" t="s">
        <v>601</v>
      </c>
      <c r="L893">
        <v>370</v>
      </c>
      <c r="M893">
        <f t="shared" si="13"/>
        <v>370</v>
      </c>
    </row>
    <row r="894" spans="3:13">
      <c r="C894" t="s">
        <v>266</v>
      </c>
      <c r="D894" t="s">
        <v>268</v>
      </c>
      <c r="E894" t="s">
        <v>520</v>
      </c>
      <c r="F894" t="s">
        <v>611</v>
      </c>
      <c r="G894" t="s">
        <v>621</v>
      </c>
      <c r="H894" t="s">
        <v>634</v>
      </c>
      <c r="I894" t="s">
        <v>635</v>
      </c>
      <c r="J894">
        <v>1</v>
      </c>
      <c r="K894" t="s">
        <v>554</v>
      </c>
      <c r="L894">
        <v>39.5</v>
      </c>
      <c r="M894">
        <f t="shared" si="13"/>
        <v>39.5</v>
      </c>
    </row>
    <row r="895" spans="3:13">
      <c r="C895" t="s">
        <v>266</v>
      </c>
      <c r="D895" t="s">
        <v>268</v>
      </c>
      <c r="E895" t="s">
        <v>520</v>
      </c>
      <c r="F895" t="s">
        <v>611</v>
      </c>
      <c r="G895" t="s">
        <v>583</v>
      </c>
      <c r="H895" t="s">
        <v>636</v>
      </c>
      <c r="I895" t="s">
        <v>637</v>
      </c>
      <c r="J895">
        <v>1</v>
      </c>
      <c r="K895" t="s">
        <v>554</v>
      </c>
      <c r="L895">
        <v>41</v>
      </c>
      <c r="M895">
        <f t="shared" si="13"/>
        <v>41</v>
      </c>
    </row>
    <row r="896" spans="3:13">
      <c r="C896" t="s">
        <v>266</v>
      </c>
      <c r="D896" t="s">
        <v>268</v>
      </c>
      <c r="E896" t="s">
        <v>520</v>
      </c>
      <c r="F896" t="s">
        <v>611</v>
      </c>
      <c r="G896" t="s">
        <v>621</v>
      </c>
      <c r="H896" t="s">
        <v>638</v>
      </c>
      <c r="I896" t="s">
        <v>639</v>
      </c>
      <c r="J896">
        <v>1</v>
      </c>
      <c r="K896" t="s">
        <v>554</v>
      </c>
      <c r="L896">
        <v>17.2</v>
      </c>
      <c r="M896">
        <f t="shared" si="13"/>
        <v>17.2</v>
      </c>
    </row>
    <row r="897" spans="3:13">
      <c r="C897" t="s">
        <v>266</v>
      </c>
      <c r="D897" t="s">
        <v>268</v>
      </c>
      <c r="E897" t="s">
        <v>521</v>
      </c>
      <c r="F897" t="s">
        <v>543</v>
      </c>
      <c r="G897" t="s">
        <v>544</v>
      </c>
      <c r="H897" t="s">
        <v>545</v>
      </c>
      <c r="I897" t="s">
        <v>546</v>
      </c>
      <c r="J897">
        <v>1</v>
      </c>
      <c r="K897" t="s">
        <v>547</v>
      </c>
      <c r="L897">
        <v>920</v>
      </c>
      <c r="M897">
        <f t="shared" si="13"/>
        <v>920</v>
      </c>
    </row>
    <row r="898" spans="3:13">
      <c r="C898" t="s">
        <v>266</v>
      </c>
      <c r="D898" t="s">
        <v>268</v>
      </c>
      <c r="E898" t="s">
        <v>521</v>
      </c>
      <c r="F898" t="s">
        <v>543</v>
      </c>
      <c r="G898" t="s">
        <v>544</v>
      </c>
      <c r="H898" t="s">
        <v>548</v>
      </c>
      <c r="I898" t="s">
        <v>549</v>
      </c>
      <c r="J898">
        <v>1</v>
      </c>
      <c r="K898" t="s">
        <v>550</v>
      </c>
      <c r="L898">
        <v>380</v>
      </c>
      <c r="M898">
        <f t="shared" si="13"/>
        <v>380</v>
      </c>
    </row>
    <row r="899" spans="3:13">
      <c r="C899" t="s">
        <v>266</v>
      </c>
      <c r="D899" t="s">
        <v>268</v>
      </c>
      <c r="E899" t="s">
        <v>521</v>
      </c>
      <c r="F899" t="s">
        <v>543</v>
      </c>
      <c r="G899" t="s">
        <v>551</v>
      </c>
      <c r="H899" t="s">
        <v>552</v>
      </c>
      <c r="I899" t="s">
        <v>553</v>
      </c>
      <c r="J899">
        <v>1</v>
      </c>
      <c r="K899" t="s">
        <v>554</v>
      </c>
      <c r="L899">
        <v>14</v>
      </c>
      <c r="M899">
        <f t="shared" si="13"/>
        <v>14</v>
      </c>
    </row>
    <row r="900" spans="3:13">
      <c r="C900" t="s">
        <v>266</v>
      </c>
      <c r="D900" t="s">
        <v>268</v>
      </c>
      <c r="E900" t="s">
        <v>521</v>
      </c>
      <c r="F900" t="s">
        <v>543</v>
      </c>
      <c r="G900" t="s">
        <v>551</v>
      </c>
      <c r="H900" t="s">
        <v>555</v>
      </c>
      <c r="I900" t="s">
        <v>556</v>
      </c>
      <c r="J900">
        <v>1</v>
      </c>
      <c r="K900" t="s">
        <v>554</v>
      </c>
      <c r="L900">
        <v>33</v>
      </c>
      <c r="M900">
        <f t="shared" si="13"/>
        <v>33</v>
      </c>
    </row>
    <row r="901" spans="3:13">
      <c r="C901" t="s">
        <v>266</v>
      </c>
      <c r="D901" t="s">
        <v>268</v>
      </c>
      <c r="E901" t="s">
        <v>521</v>
      </c>
      <c r="F901" t="s">
        <v>643</v>
      </c>
      <c r="G901" t="s">
        <v>558</v>
      </c>
      <c r="H901" t="s">
        <v>559</v>
      </c>
      <c r="I901" t="s">
        <v>560</v>
      </c>
      <c r="J901">
        <v>1</v>
      </c>
      <c r="K901" t="s">
        <v>554</v>
      </c>
      <c r="L901">
        <v>0</v>
      </c>
      <c r="M901">
        <f t="shared" si="13"/>
        <v>0</v>
      </c>
    </row>
    <row r="902" spans="3:13">
      <c r="C902" t="s">
        <v>266</v>
      </c>
      <c r="D902" t="s">
        <v>268</v>
      </c>
      <c r="E902" t="s">
        <v>521</v>
      </c>
      <c r="F902" t="s">
        <v>643</v>
      </c>
      <c r="G902" t="s">
        <v>561</v>
      </c>
      <c r="H902" t="s">
        <v>562</v>
      </c>
      <c r="I902" t="s">
        <v>563</v>
      </c>
      <c r="J902">
        <v>1</v>
      </c>
      <c r="K902" t="s">
        <v>554</v>
      </c>
      <c r="L902">
        <v>13.38</v>
      </c>
      <c r="M902">
        <f t="shared" si="13"/>
        <v>13.38</v>
      </c>
    </row>
    <row r="903" spans="3:13">
      <c r="C903" t="s">
        <v>266</v>
      </c>
      <c r="D903" t="s">
        <v>268</v>
      </c>
      <c r="E903" t="s">
        <v>521</v>
      </c>
      <c r="F903" t="s">
        <v>643</v>
      </c>
      <c r="G903" t="s">
        <v>561</v>
      </c>
      <c r="H903" t="s">
        <v>644</v>
      </c>
      <c r="I903" t="s">
        <v>645</v>
      </c>
      <c r="J903">
        <v>1</v>
      </c>
      <c r="K903" t="s">
        <v>554</v>
      </c>
      <c r="L903">
        <v>39.06</v>
      </c>
      <c r="M903">
        <f t="shared" si="13"/>
        <v>39.06</v>
      </c>
    </row>
    <row r="904" spans="3:13">
      <c r="C904" t="s">
        <v>266</v>
      </c>
      <c r="D904" t="s">
        <v>268</v>
      </c>
      <c r="E904" t="s">
        <v>521</v>
      </c>
      <c r="F904" t="s">
        <v>643</v>
      </c>
      <c r="G904" t="s">
        <v>561</v>
      </c>
      <c r="H904" t="s">
        <v>485</v>
      </c>
      <c r="I904" t="s">
        <v>648</v>
      </c>
      <c r="J904">
        <v>1</v>
      </c>
      <c r="K904" t="s">
        <v>566</v>
      </c>
      <c r="L904">
        <v>15.22</v>
      </c>
      <c r="M904">
        <f t="shared" si="13"/>
        <v>15.22</v>
      </c>
    </row>
    <row r="905" spans="3:13">
      <c r="C905" t="s">
        <v>266</v>
      </c>
      <c r="D905" t="s">
        <v>268</v>
      </c>
      <c r="E905" t="s">
        <v>521</v>
      </c>
      <c r="F905" t="s">
        <v>643</v>
      </c>
      <c r="G905" t="s">
        <v>561</v>
      </c>
      <c r="H905" t="s">
        <v>606</v>
      </c>
      <c r="I905" t="s">
        <v>649</v>
      </c>
      <c r="J905">
        <v>2</v>
      </c>
      <c r="K905" t="s">
        <v>550</v>
      </c>
      <c r="L905">
        <v>4.75</v>
      </c>
      <c r="M905">
        <f t="shared" si="13"/>
        <v>9.5</v>
      </c>
    </row>
    <row r="906" spans="3:13">
      <c r="C906" t="s">
        <v>266</v>
      </c>
      <c r="D906" t="s">
        <v>268</v>
      </c>
      <c r="E906" t="s">
        <v>521</v>
      </c>
      <c r="F906" t="s">
        <v>643</v>
      </c>
      <c r="G906" t="s">
        <v>571</v>
      </c>
      <c r="H906" t="s">
        <v>572</v>
      </c>
      <c r="I906" t="s">
        <v>573</v>
      </c>
      <c r="J906">
        <v>1</v>
      </c>
      <c r="K906" t="s">
        <v>554</v>
      </c>
      <c r="L906">
        <v>1680</v>
      </c>
      <c r="M906">
        <f t="shared" ref="M906:M969" si="14">J906*L906</f>
        <v>1680</v>
      </c>
    </row>
    <row r="907" spans="3:13">
      <c r="C907" t="s">
        <v>266</v>
      </c>
      <c r="D907" t="s">
        <v>268</v>
      </c>
      <c r="E907" t="s">
        <v>521</v>
      </c>
      <c r="F907" t="s">
        <v>643</v>
      </c>
      <c r="G907" t="s">
        <v>571</v>
      </c>
      <c r="H907" t="s">
        <v>574</v>
      </c>
      <c r="I907" t="s">
        <v>575</v>
      </c>
      <c r="J907">
        <v>1</v>
      </c>
      <c r="K907" t="s">
        <v>554</v>
      </c>
      <c r="L907">
        <v>10</v>
      </c>
      <c r="M907">
        <f t="shared" si="14"/>
        <v>10</v>
      </c>
    </row>
    <row r="908" spans="3:13">
      <c r="C908" t="s">
        <v>266</v>
      </c>
      <c r="D908" t="s">
        <v>268</v>
      </c>
      <c r="E908" t="s">
        <v>521</v>
      </c>
      <c r="F908" t="s">
        <v>643</v>
      </c>
      <c r="G908" t="s">
        <v>576</v>
      </c>
      <c r="H908" t="s">
        <v>577</v>
      </c>
      <c r="I908" t="s">
        <v>578</v>
      </c>
      <c r="J908">
        <v>1</v>
      </c>
      <c r="K908" t="s">
        <v>554</v>
      </c>
      <c r="L908">
        <v>93</v>
      </c>
      <c r="M908">
        <f t="shared" si="14"/>
        <v>93</v>
      </c>
    </row>
    <row r="909" spans="3:13">
      <c r="C909" t="s">
        <v>266</v>
      </c>
      <c r="D909" t="s">
        <v>268</v>
      </c>
      <c r="E909" t="s">
        <v>521</v>
      </c>
      <c r="F909" t="s">
        <v>643</v>
      </c>
      <c r="G909" t="s">
        <v>576</v>
      </c>
      <c r="H909" t="s">
        <v>579</v>
      </c>
      <c r="I909" t="s">
        <v>580</v>
      </c>
      <c r="J909">
        <v>1</v>
      </c>
      <c r="K909" t="s">
        <v>554</v>
      </c>
      <c r="L909">
        <v>56</v>
      </c>
      <c r="M909">
        <f t="shared" si="14"/>
        <v>56</v>
      </c>
    </row>
    <row r="910" spans="3:13">
      <c r="C910" t="s">
        <v>266</v>
      </c>
      <c r="D910" t="s">
        <v>268</v>
      </c>
      <c r="E910" t="s">
        <v>521</v>
      </c>
      <c r="F910" t="s">
        <v>643</v>
      </c>
      <c r="G910" t="s">
        <v>558</v>
      </c>
      <c r="H910" t="s">
        <v>581</v>
      </c>
      <c r="I910" t="s">
        <v>582</v>
      </c>
      <c r="J910">
        <v>1</v>
      </c>
      <c r="K910" t="s">
        <v>554</v>
      </c>
      <c r="L910">
        <v>84</v>
      </c>
      <c r="M910">
        <f t="shared" si="14"/>
        <v>84</v>
      </c>
    </row>
    <row r="911" spans="3:13">
      <c r="C911" t="s">
        <v>266</v>
      </c>
      <c r="D911" t="s">
        <v>268</v>
      </c>
      <c r="E911" t="s">
        <v>521</v>
      </c>
      <c r="F911" t="s">
        <v>643</v>
      </c>
      <c r="G911" t="s">
        <v>583</v>
      </c>
      <c r="H911" t="s">
        <v>584</v>
      </c>
      <c r="I911" t="s">
        <v>585</v>
      </c>
      <c r="J911">
        <v>1</v>
      </c>
      <c r="K911" t="s">
        <v>554</v>
      </c>
      <c r="L911">
        <v>165</v>
      </c>
      <c r="M911">
        <f t="shared" si="14"/>
        <v>165</v>
      </c>
    </row>
    <row r="912" spans="3:13">
      <c r="C912" t="s">
        <v>266</v>
      </c>
      <c r="D912" t="s">
        <v>268</v>
      </c>
      <c r="E912" t="s">
        <v>521</v>
      </c>
      <c r="F912" t="s">
        <v>643</v>
      </c>
      <c r="G912" t="s">
        <v>561</v>
      </c>
      <c r="H912" t="s">
        <v>586</v>
      </c>
      <c r="I912" t="s">
        <v>587</v>
      </c>
      <c r="J912">
        <v>1</v>
      </c>
      <c r="K912" t="s">
        <v>554</v>
      </c>
      <c r="L912">
        <v>43</v>
      </c>
      <c r="M912">
        <f t="shared" si="14"/>
        <v>43</v>
      </c>
    </row>
    <row r="913" spans="3:13">
      <c r="C913" t="s">
        <v>266</v>
      </c>
      <c r="D913" t="s">
        <v>268</v>
      </c>
      <c r="E913" t="s">
        <v>521</v>
      </c>
      <c r="F913" t="s">
        <v>643</v>
      </c>
      <c r="G913" t="s">
        <v>588</v>
      </c>
      <c r="H913" t="s">
        <v>589</v>
      </c>
      <c r="I913" t="s">
        <v>590</v>
      </c>
      <c r="J913">
        <v>1</v>
      </c>
      <c r="K913" t="s">
        <v>554</v>
      </c>
      <c r="L913">
        <v>425</v>
      </c>
      <c r="M913">
        <f t="shared" si="14"/>
        <v>425</v>
      </c>
    </row>
    <row r="914" spans="3:13">
      <c r="C914" t="s">
        <v>266</v>
      </c>
      <c r="D914" t="s">
        <v>268</v>
      </c>
      <c r="E914" t="s">
        <v>521</v>
      </c>
      <c r="F914" t="s">
        <v>643</v>
      </c>
      <c r="G914" t="s">
        <v>561</v>
      </c>
      <c r="H914" t="s">
        <v>591</v>
      </c>
      <c r="I914" t="s">
        <v>592</v>
      </c>
      <c r="J914">
        <v>1</v>
      </c>
      <c r="K914" t="s">
        <v>554</v>
      </c>
      <c r="L914">
        <v>77</v>
      </c>
      <c r="M914">
        <f t="shared" si="14"/>
        <v>77</v>
      </c>
    </row>
    <row r="915" spans="3:13">
      <c r="C915" t="s">
        <v>266</v>
      </c>
      <c r="D915" t="s">
        <v>268</v>
      </c>
      <c r="E915" t="s">
        <v>521</v>
      </c>
      <c r="F915" t="s">
        <v>643</v>
      </c>
      <c r="G915" t="s">
        <v>544</v>
      </c>
      <c r="H915" t="s">
        <v>593</v>
      </c>
      <c r="I915" t="s">
        <v>594</v>
      </c>
      <c r="J915">
        <v>1</v>
      </c>
      <c r="K915" t="s">
        <v>595</v>
      </c>
      <c r="L915">
        <v>415</v>
      </c>
      <c r="M915">
        <f t="shared" si="14"/>
        <v>415</v>
      </c>
    </row>
    <row r="916" spans="3:13">
      <c r="C916" t="s">
        <v>266</v>
      </c>
      <c r="D916" t="s">
        <v>268</v>
      </c>
      <c r="E916" t="s">
        <v>521</v>
      </c>
      <c r="F916" t="s">
        <v>643</v>
      </c>
      <c r="G916" t="s">
        <v>596</v>
      </c>
      <c r="H916" t="s">
        <v>597</v>
      </c>
      <c r="I916" t="s">
        <v>640</v>
      </c>
      <c r="J916">
        <v>1</v>
      </c>
      <c r="K916" t="s">
        <v>641</v>
      </c>
      <c r="L916">
        <v>77</v>
      </c>
      <c r="M916">
        <f t="shared" si="14"/>
        <v>77</v>
      </c>
    </row>
    <row r="917" spans="3:13">
      <c r="C917" t="s">
        <v>266</v>
      </c>
      <c r="D917" t="s">
        <v>268</v>
      </c>
      <c r="E917" t="s">
        <v>521</v>
      </c>
      <c r="F917" t="s">
        <v>643</v>
      </c>
      <c r="G917" t="s">
        <v>561</v>
      </c>
      <c r="H917" t="s">
        <v>608</v>
      </c>
      <c r="I917" t="s">
        <v>609</v>
      </c>
      <c r="J917">
        <v>1</v>
      </c>
      <c r="K917" t="s">
        <v>610</v>
      </c>
      <c r="L917">
        <v>58</v>
      </c>
      <c r="M917">
        <f t="shared" si="14"/>
        <v>58</v>
      </c>
    </row>
    <row r="918" spans="3:13">
      <c r="C918" t="s">
        <v>266</v>
      </c>
      <c r="D918" t="s">
        <v>268</v>
      </c>
      <c r="E918" t="s">
        <v>521</v>
      </c>
      <c r="F918" t="s">
        <v>643</v>
      </c>
      <c r="G918" t="s">
        <v>561</v>
      </c>
      <c r="H918" t="s">
        <v>481</v>
      </c>
      <c r="I918" t="s">
        <v>650</v>
      </c>
      <c r="J918">
        <v>1</v>
      </c>
      <c r="K918" t="s">
        <v>601</v>
      </c>
      <c r="L918">
        <v>52.14</v>
      </c>
      <c r="M918">
        <f t="shared" si="14"/>
        <v>52.14</v>
      </c>
    </row>
    <row r="919" spans="3:13">
      <c r="C919" t="s">
        <v>266</v>
      </c>
      <c r="D919" t="s">
        <v>268</v>
      </c>
      <c r="E919" t="s">
        <v>521</v>
      </c>
      <c r="F919" t="s">
        <v>643</v>
      </c>
      <c r="G919" t="s">
        <v>571</v>
      </c>
      <c r="H919" t="s">
        <v>602</v>
      </c>
      <c r="I919" t="s">
        <v>603</v>
      </c>
      <c r="J919">
        <v>1</v>
      </c>
      <c r="K919" t="s">
        <v>604</v>
      </c>
      <c r="L919">
        <v>48.27</v>
      </c>
      <c r="M919">
        <f t="shared" si="14"/>
        <v>48.27</v>
      </c>
    </row>
    <row r="920" spans="3:13">
      <c r="C920" t="s">
        <v>266</v>
      </c>
      <c r="D920" t="s">
        <v>268</v>
      </c>
      <c r="E920" t="s">
        <v>521</v>
      </c>
      <c r="F920" t="s">
        <v>557</v>
      </c>
      <c r="G920" t="s">
        <v>544</v>
      </c>
      <c r="H920" t="s">
        <v>651</v>
      </c>
      <c r="I920" t="s">
        <v>652</v>
      </c>
      <c r="J920">
        <v>1</v>
      </c>
      <c r="K920" t="s">
        <v>595</v>
      </c>
      <c r="L920">
        <v>800</v>
      </c>
      <c r="M920">
        <f t="shared" si="14"/>
        <v>800</v>
      </c>
    </row>
    <row r="921" spans="3:13">
      <c r="C921" t="s">
        <v>266</v>
      </c>
      <c r="D921" t="s">
        <v>268</v>
      </c>
      <c r="E921" t="s">
        <v>521</v>
      </c>
      <c r="F921" t="s">
        <v>557</v>
      </c>
      <c r="G921" t="s">
        <v>561</v>
      </c>
      <c r="H921" t="s">
        <v>564</v>
      </c>
      <c r="I921" t="s">
        <v>565</v>
      </c>
      <c r="J921">
        <v>1</v>
      </c>
      <c r="K921" t="s">
        <v>566</v>
      </c>
      <c r="L921">
        <v>26.93</v>
      </c>
      <c r="M921">
        <f t="shared" si="14"/>
        <v>26.93</v>
      </c>
    </row>
    <row r="922" spans="3:13">
      <c r="C922" t="s">
        <v>266</v>
      </c>
      <c r="D922" t="s">
        <v>268</v>
      </c>
      <c r="E922" t="s">
        <v>521</v>
      </c>
      <c r="F922" t="s">
        <v>557</v>
      </c>
      <c r="G922" t="s">
        <v>561</v>
      </c>
      <c r="H922" t="s">
        <v>567</v>
      </c>
      <c r="I922" t="s">
        <v>568</v>
      </c>
      <c r="J922">
        <v>1</v>
      </c>
      <c r="K922" t="s">
        <v>566</v>
      </c>
      <c r="L922">
        <v>23.77</v>
      </c>
      <c r="M922">
        <f t="shared" si="14"/>
        <v>23.77</v>
      </c>
    </row>
    <row r="923" spans="3:13">
      <c r="C923" t="s">
        <v>266</v>
      </c>
      <c r="D923" t="s">
        <v>268</v>
      </c>
      <c r="E923" t="s">
        <v>521</v>
      </c>
      <c r="F923" t="s">
        <v>557</v>
      </c>
      <c r="G923" t="s">
        <v>561</v>
      </c>
      <c r="H923" t="s">
        <v>655</v>
      </c>
      <c r="I923" t="s">
        <v>656</v>
      </c>
      <c r="J923">
        <v>1</v>
      </c>
      <c r="K923" t="s">
        <v>554</v>
      </c>
      <c r="L923">
        <v>7.85</v>
      </c>
      <c r="M923">
        <f t="shared" si="14"/>
        <v>7.85</v>
      </c>
    </row>
    <row r="924" spans="3:13">
      <c r="C924" t="s">
        <v>266</v>
      </c>
      <c r="D924" t="s">
        <v>268</v>
      </c>
      <c r="E924" t="s">
        <v>521</v>
      </c>
      <c r="F924" t="s">
        <v>557</v>
      </c>
      <c r="G924" t="s">
        <v>561</v>
      </c>
      <c r="H924" t="s">
        <v>569</v>
      </c>
      <c r="I924" t="s">
        <v>570</v>
      </c>
      <c r="J924">
        <v>1</v>
      </c>
      <c r="K924" t="s">
        <v>554</v>
      </c>
      <c r="L924">
        <v>47.7</v>
      </c>
      <c r="M924">
        <f t="shared" si="14"/>
        <v>47.7</v>
      </c>
    </row>
    <row r="925" spans="3:13">
      <c r="C925" t="s">
        <v>266</v>
      </c>
      <c r="D925" t="s">
        <v>268</v>
      </c>
      <c r="E925" t="s">
        <v>521</v>
      </c>
      <c r="F925" t="s">
        <v>557</v>
      </c>
      <c r="G925" t="s">
        <v>561</v>
      </c>
      <c r="H925" t="s">
        <v>482</v>
      </c>
      <c r="I925" t="s">
        <v>605</v>
      </c>
      <c r="J925">
        <v>1</v>
      </c>
      <c r="K925" t="s">
        <v>566</v>
      </c>
      <c r="L925">
        <v>15.82</v>
      </c>
      <c r="M925">
        <f t="shared" si="14"/>
        <v>15.82</v>
      </c>
    </row>
    <row r="926" spans="3:13">
      <c r="C926" t="s">
        <v>266</v>
      </c>
      <c r="D926" t="s">
        <v>268</v>
      </c>
      <c r="E926" t="s">
        <v>521</v>
      </c>
      <c r="F926" t="s">
        <v>557</v>
      </c>
      <c r="G926" t="s">
        <v>561</v>
      </c>
      <c r="H926" t="s">
        <v>606</v>
      </c>
      <c r="I926" t="s">
        <v>607</v>
      </c>
      <c r="J926">
        <v>1</v>
      </c>
      <c r="K926" t="s">
        <v>550</v>
      </c>
      <c r="L926">
        <v>4.29</v>
      </c>
      <c r="M926">
        <f t="shared" si="14"/>
        <v>4.29</v>
      </c>
    </row>
    <row r="927" spans="3:13">
      <c r="C927" t="s">
        <v>266</v>
      </c>
      <c r="D927" t="s">
        <v>268</v>
      </c>
      <c r="E927" t="s">
        <v>521</v>
      </c>
      <c r="F927" t="s">
        <v>557</v>
      </c>
      <c r="G927" t="s">
        <v>544</v>
      </c>
      <c r="H927" t="s">
        <v>593</v>
      </c>
      <c r="I927" t="s">
        <v>594</v>
      </c>
      <c r="J927">
        <v>1</v>
      </c>
      <c r="K927" t="s">
        <v>595</v>
      </c>
      <c r="L927">
        <v>415</v>
      </c>
      <c r="M927">
        <f t="shared" si="14"/>
        <v>415</v>
      </c>
    </row>
    <row r="928" spans="3:13">
      <c r="C928" t="s">
        <v>266</v>
      </c>
      <c r="D928" t="s">
        <v>268</v>
      </c>
      <c r="E928" t="s">
        <v>521</v>
      </c>
      <c r="F928" t="s">
        <v>557</v>
      </c>
      <c r="G928" t="s">
        <v>596</v>
      </c>
      <c r="H928" t="s">
        <v>597</v>
      </c>
      <c r="I928" t="s">
        <v>640</v>
      </c>
      <c r="J928">
        <v>1</v>
      </c>
      <c r="K928" t="s">
        <v>641</v>
      </c>
      <c r="L928">
        <v>77</v>
      </c>
      <c r="M928">
        <f t="shared" si="14"/>
        <v>77</v>
      </c>
    </row>
    <row r="929" spans="3:13">
      <c r="C929" t="s">
        <v>266</v>
      </c>
      <c r="D929" t="s">
        <v>268</v>
      </c>
      <c r="E929" t="s">
        <v>521</v>
      </c>
      <c r="F929" t="s">
        <v>557</v>
      </c>
      <c r="G929" t="s">
        <v>571</v>
      </c>
      <c r="H929" t="s">
        <v>572</v>
      </c>
      <c r="I929" t="s">
        <v>573</v>
      </c>
      <c r="J929">
        <v>1</v>
      </c>
      <c r="K929" t="s">
        <v>554</v>
      </c>
      <c r="L929">
        <v>1680</v>
      </c>
      <c r="M929">
        <f t="shared" si="14"/>
        <v>1680</v>
      </c>
    </row>
    <row r="930" spans="3:13">
      <c r="C930" t="s">
        <v>266</v>
      </c>
      <c r="D930" t="s">
        <v>268</v>
      </c>
      <c r="E930" t="s">
        <v>521</v>
      </c>
      <c r="F930" t="s">
        <v>557</v>
      </c>
      <c r="G930" t="s">
        <v>571</v>
      </c>
      <c r="H930" t="s">
        <v>574</v>
      </c>
      <c r="I930" t="s">
        <v>575</v>
      </c>
      <c r="J930">
        <v>1</v>
      </c>
      <c r="K930" t="s">
        <v>554</v>
      </c>
      <c r="L930">
        <v>10</v>
      </c>
      <c r="M930">
        <f t="shared" si="14"/>
        <v>10</v>
      </c>
    </row>
    <row r="931" spans="3:13">
      <c r="C931" t="s">
        <v>266</v>
      </c>
      <c r="D931" t="s">
        <v>268</v>
      </c>
      <c r="E931" t="s">
        <v>521</v>
      </c>
      <c r="F931" t="s">
        <v>557</v>
      </c>
      <c r="G931" t="s">
        <v>558</v>
      </c>
      <c r="H931" t="s">
        <v>581</v>
      </c>
      <c r="I931" t="s">
        <v>582</v>
      </c>
      <c r="J931">
        <v>1</v>
      </c>
      <c r="K931" t="s">
        <v>554</v>
      </c>
      <c r="L931">
        <v>84</v>
      </c>
      <c r="M931">
        <f t="shared" si="14"/>
        <v>84</v>
      </c>
    </row>
    <row r="932" spans="3:13">
      <c r="C932" t="s">
        <v>266</v>
      </c>
      <c r="D932" t="s">
        <v>268</v>
      </c>
      <c r="E932" t="s">
        <v>521</v>
      </c>
      <c r="F932" t="s">
        <v>557</v>
      </c>
      <c r="G932" t="s">
        <v>576</v>
      </c>
      <c r="H932" t="s">
        <v>577</v>
      </c>
      <c r="I932" t="s">
        <v>578</v>
      </c>
      <c r="J932">
        <v>1</v>
      </c>
      <c r="K932" t="s">
        <v>554</v>
      </c>
      <c r="L932">
        <v>93</v>
      </c>
      <c r="M932">
        <f t="shared" si="14"/>
        <v>93</v>
      </c>
    </row>
    <row r="933" spans="3:13">
      <c r="C933" t="s">
        <v>266</v>
      </c>
      <c r="D933" t="s">
        <v>268</v>
      </c>
      <c r="E933" t="s">
        <v>521</v>
      </c>
      <c r="F933" t="s">
        <v>611</v>
      </c>
      <c r="G933" t="s">
        <v>544</v>
      </c>
      <c r="H933" t="s">
        <v>612</v>
      </c>
      <c r="I933" t="s">
        <v>613</v>
      </c>
      <c r="J933">
        <v>1</v>
      </c>
      <c r="K933" t="s">
        <v>595</v>
      </c>
      <c r="L933">
        <v>290</v>
      </c>
      <c r="M933">
        <f t="shared" si="14"/>
        <v>290</v>
      </c>
    </row>
    <row r="934" spans="3:13">
      <c r="C934" t="s">
        <v>266</v>
      </c>
      <c r="D934" t="s">
        <v>268</v>
      </c>
      <c r="E934" t="s">
        <v>521</v>
      </c>
      <c r="F934" t="s">
        <v>611</v>
      </c>
      <c r="G934" t="s">
        <v>571</v>
      </c>
      <c r="H934" t="s">
        <v>614</v>
      </c>
      <c r="I934" t="s">
        <v>615</v>
      </c>
      <c r="J934">
        <v>1</v>
      </c>
      <c r="K934" t="s">
        <v>554</v>
      </c>
      <c r="L934">
        <v>100</v>
      </c>
      <c r="M934">
        <f t="shared" si="14"/>
        <v>100</v>
      </c>
    </row>
    <row r="935" spans="3:13">
      <c r="C935" t="s">
        <v>266</v>
      </c>
      <c r="D935" t="s">
        <v>268</v>
      </c>
      <c r="E935" t="s">
        <v>521</v>
      </c>
      <c r="F935" t="s">
        <v>611</v>
      </c>
      <c r="G935" t="s">
        <v>561</v>
      </c>
      <c r="H935" t="s">
        <v>616</v>
      </c>
      <c r="I935" t="s">
        <v>617</v>
      </c>
      <c r="J935">
        <v>1</v>
      </c>
      <c r="K935" t="s">
        <v>618</v>
      </c>
      <c r="L935">
        <v>55</v>
      </c>
      <c r="M935">
        <f t="shared" si="14"/>
        <v>55</v>
      </c>
    </row>
    <row r="936" spans="3:13">
      <c r="C936" t="s">
        <v>266</v>
      </c>
      <c r="D936" t="s">
        <v>268</v>
      </c>
      <c r="E936" t="s">
        <v>521</v>
      </c>
      <c r="F936" t="s">
        <v>611</v>
      </c>
      <c r="G936" t="s">
        <v>576</v>
      </c>
      <c r="H936" t="s">
        <v>619</v>
      </c>
      <c r="I936" t="s">
        <v>620</v>
      </c>
      <c r="J936">
        <v>1</v>
      </c>
      <c r="K936" t="s">
        <v>554</v>
      </c>
      <c r="L936">
        <v>66.26</v>
      </c>
      <c r="M936">
        <f t="shared" si="14"/>
        <v>66.26</v>
      </c>
    </row>
    <row r="937" spans="3:13">
      <c r="C937" t="s">
        <v>266</v>
      </c>
      <c r="D937" t="s">
        <v>268</v>
      </c>
      <c r="E937" t="s">
        <v>521</v>
      </c>
      <c r="F937" t="s">
        <v>611</v>
      </c>
      <c r="G937" t="s">
        <v>621</v>
      </c>
      <c r="H937" t="s">
        <v>622</v>
      </c>
      <c r="I937" t="s">
        <v>623</v>
      </c>
      <c r="J937">
        <v>1</v>
      </c>
      <c r="K937" t="s">
        <v>554</v>
      </c>
      <c r="L937">
        <v>101</v>
      </c>
      <c r="M937">
        <f t="shared" si="14"/>
        <v>101</v>
      </c>
    </row>
    <row r="938" spans="3:13">
      <c r="C938" t="s">
        <v>266</v>
      </c>
      <c r="D938" t="s">
        <v>268</v>
      </c>
      <c r="E938" t="s">
        <v>521</v>
      </c>
      <c r="F938" t="s">
        <v>611</v>
      </c>
      <c r="G938" t="s">
        <v>621</v>
      </c>
      <c r="H938" t="s">
        <v>624</v>
      </c>
      <c r="I938" t="s">
        <v>625</v>
      </c>
      <c r="J938">
        <v>1</v>
      </c>
      <c r="K938" t="s">
        <v>554</v>
      </c>
      <c r="L938">
        <v>418</v>
      </c>
      <c r="M938">
        <f t="shared" si="14"/>
        <v>418</v>
      </c>
    </row>
    <row r="939" spans="3:13">
      <c r="C939" t="s">
        <v>266</v>
      </c>
      <c r="D939" t="s">
        <v>268</v>
      </c>
      <c r="E939" t="s">
        <v>521</v>
      </c>
      <c r="F939" t="s">
        <v>611</v>
      </c>
      <c r="G939" t="s">
        <v>621</v>
      </c>
      <c r="H939" t="s">
        <v>626</v>
      </c>
      <c r="I939" t="s">
        <v>627</v>
      </c>
      <c r="J939">
        <v>1</v>
      </c>
      <c r="K939" t="s">
        <v>554</v>
      </c>
      <c r="L939">
        <v>37</v>
      </c>
      <c r="M939">
        <f t="shared" si="14"/>
        <v>37</v>
      </c>
    </row>
    <row r="940" spans="3:13">
      <c r="C940" t="s">
        <v>266</v>
      </c>
      <c r="D940" t="s">
        <v>268</v>
      </c>
      <c r="E940" t="s">
        <v>521</v>
      </c>
      <c r="F940" t="s">
        <v>611</v>
      </c>
      <c r="G940" t="s">
        <v>571</v>
      </c>
      <c r="H940" t="s">
        <v>628</v>
      </c>
      <c r="I940" t="s">
        <v>653</v>
      </c>
      <c r="J940">
        <v>1</v>
      </c>
      <c r="K940" t="s">
        <v>604</v>
      </c>
      <c r="L940">
        <v>430</v>
      </c>
      <c r="M940">
        <f t="shared" si="14"/>
        <v>430</v>
      </c>
    </row>
    <row r="941" spans="3:13">
      <c r="C941" t="s">
        <v>266</v>
      </c>
      <c r="D941" t="s">
        <v>268</v>
      </c>
      <c r="E941" t="s">
        <v>521</v>
      </c>
      <c r="F941" t="s">
        <v>611</v>
      </c>
      <c r="G941" t="s">
        <v>583</v>
      </c>
      <c r="H941" t="s">
        <v>636</v>
      </c>
      <c r="I941" t="s">
        <v>637</v>
      </c>
      <c r="J941">
        <v>1</v>
      </c>
      <c r="K941" t="s">
        <v>554</v>
      </c>
      <c r="L941">
        <v>41</v>
      </c>
      <c r="M941">
        <f t="shared" si="14"/>
        <v>41</v>
      </c>
    </row>
    <row r="942" spans="3:13">
      <c r="C942" t="s">
        <v>266</v>
      </c>
      <c r="D942" t="s">
        <v>268</v>
      </c>
      <c r="E942" t="s">
        <v>521</v>
      </c>
      <c r="F942" t="s">
        <v>611</v>
      </c>
      <c r="G942" t="s">
        <v>551</v>
      </c>
      <c r="H942" t="s">
        <v>630</v>
      </c>
      <c r="I942" t="s">
        <v>631</v>
      </c>
      <c r="J942">
        <v>1</v>
      </c>
      <c r="K942" t="s">
        <v>566</v>
      </c>
      <c r="L942">
        <v>4.7</v>
      </c>
      <c r="M942">
        <f t="shared" si="14"/>
        <v>4.7</v>
      </c>
    </row>
    <row r="943" spans="3:13">
      <c r="C943" t="s">
        <v>266</v>
      </c>
      <c r="D943" t="s">
        <v>268</v>
      </c>
      <c r="E943" t="s">
        <v>521</v>
      </c>
      <c r="F943" t="s">
        <v>611</v>
      </c>
      <c r="G943" t="s">
        <v>621</v>
      </c>
      <c r="H943" t="s">
        <v>632</v>
      </c>
      <c r="I943" t="s">
        <v>633</v>
      </c>
      <c r="J943">
        <v>1</v>
      </c>
      <c r="K943" t="s">
        <v>601</v>
      </c>
      <c r="L943">
        <v>370</v>
      </c>
      <c r="M943">
        <f t="shared" si="14"/>
        <v>370</v>
      </c>
    </row>
    <row r="944" spans="3:13">
      <c r="C944" t="s">
        <v>266</v>
      </c>
      <c r="D944" t="s">
        <v>268</v>
      </c>
      <c r="E944" t="s">
        <v>521</v>
      </c>
      <c r="F944" t="s">
        <v>611</v>
      </c>
      <c r="G944" t="s">
        <v>621</v>
      </c>
      <c r="H944" t="s">
        <v>634</v>
      </c>
      <c r="I944" t="s">
        <v>635</v>
      </c>
      <c r="J944">
        <v>1</v>
      </c>
      <c r="K944" t="s">
        <v>554</v>
      </c>
      <c r="L944">
        <v>39.5</v>
      </c>
      <c r="M944">
        <f t="shared" si="14"/>
        <v>39.5</v>
      </c>
    </row>
    <row r="945" spans="3:13">
      <c r="C945" t="s">
        <v>266</v>
      </c>
      <c r="D945" t="s">
        <v>268</v>
      </c>
      <c r="E945" t="s">
        <v>521</v>
      </c>
      <c r="F945" t="s">
        <v>611</v>
      </c>
      <c r="G945" t="s">
        <v>621</v>
      </c>
      <c r="H945" t="s">
        <v>638</v>
      </c>
      <c r="I945" t="s">
        <v>639</v>
      </c>
      <c r="J945">
        <v>1</v>
      </c>
      <c r="K945" t="s">
        <v>554</v>
      </c>
      <c r="L945">
        <v>17.2</v>
      </c>
      <c r="M945">
        <f t="shared" si="14"/>
        <v>17.2</v>
      </c>
    </row>
    <row r="946" spans="3:13">
      <c r="C946" t="s">
        <v>266</v>
      </c>
      <c r="D946" t="s">
        <v>268</v>
      </c>
      <c r="E946" t="s">
        <v>522</v>
      </c>
      <c r="F946" t="s">
        <v>543</v>
      </c>
      <c r="G946" t="s">
        <v>544</v>
      </c>
      <c r="H946" t="s">
        <v>545</v>
      </c>
      <c r="I946" t="s">
        <v>546</v>
      </c>
      <c r="J946">
        <v>1</v>
      </c>
      <c r="K946" t="s">
        <v>547</v>
      </c>
      <c r="L946">
        <v>920</v>
      </c>
      <c r="M946">
        <f t="shared" si="14"/>
        <v>920</v>
      </c>
    </row>
    <row r="947" spans="3:13">
      <c r="C947" t="s">
        <v>266</v>
      </c>
      <c r="D947" t="s">
        <v>268</v>
      </c>
      <c r="E947" t="s">
        <v>522</v>
      </c>
      <c r="F947" t="s">
        <v>543</v>
      </c>
      <c r="G947" t="s">
        <v>544</v>
      </c>
      <c r="H947" t="s">
        <v>548</v>
      </c>
      <c r="I947" t="s">
        <v>549</v>
      </c>
      <c r="J947">
        <v>1</v>
      </c>
      <c r="K947" t="s">
        <v>550</v>
      </c>
      <c r="L947">
        <v>380</v>
      </c>
      <c r="M947">
        <f t="shared" si="14"/>
        <v>380</v>
      </c>
    </row>
    <row r="948" spans="3:13">
      <c r="C948" t="s">
        <v>266</v>
      </c>
      <c r="D948" t="s">
        <v>268</v>
      </c>
      <c r="E948" t="s">
        <v>522</v>
      </c>
      <c r="F948" t="s">
        <v>543</v>
      </c>
      <c r="G948" t="s">
        <v>551</v>
      </c>
      <c r="H948" t="s">
        <v>552</v>
      </c>
      <c r="I948" t="s">
        <v>553</v>
      </c>
      <c r="J948">
        <v>1</v>
      </c>
      <c r="K948" t="s">
        <v>554</v>
      </c>
      <c r="L948">
        <v>14</v>
      </c>
      <c r="M948">
        <f t="shared" si="14"/>
        <v>14</v>
      </c>
    </row>
    <row r="949" spans="3:13">
      <c r="C949" t="s">
        <v>266</v>
      </c>
      <c r="D949" t="s">
        <v>268</v>
      </c>
      <c r="E949" t="s">
        <v>522</v>
      </c>
      <c r="F949" t="s">
        <v>543</v>
      </c>
      <c r="G949" t="s">
        <v>551</v>
      </c>
      <c r="H949" t="s">
        <v>555</v>
      </c>
      <c r="I949" t="s">
        <v>556</v>
      </c>
      <c r="J949">
        <v>1</v>
      </c>
      <c r="K949" t="s">
        <v>554</v>
      </c>
      <c r="L949">
        <v>33</v>
      </c>
      <c r="M949">
        <f t="shared" si="14"/>
        <v>33</v>
      </c>
    </row>
    <row r="950" spans="3:13">
      <c r="C950" t="s">
        <v>266</v>
      </c>
      <c r="D950" t="s">
        <v>268</v>
      </c>
      <c r="E950" t="s">
        <v>522</v>
      </c>
      <c r="F950" t="s">
        <v>643</v>
      </c>
      <c r="G950" t="s">
        <v>558</v>
      </c>
      <c r="H950" t="s">
        <v>559</v>
      </c>
      <c r="I950" t="s">
        <v>560</v>
      </c>
      <c r="J950">
        <v>1</v>
      </c>
      <c r="K950" t="s">
        <v>554</v>
      </c>
      <c r="L950">
        <v>0</v>
      </c>
      <c r="M950">
        <f t="shared" si="14"/>
        <v>0</v>
      </c>
    </row>
    <row r="951" spans="3:13">
      <c r="C951" t="s">
        <v>266</v>
      </c>
      <c r="D951" t="s">
        <v>268</v>
      </c>
      <c r="E951" t="s">
        <v>522</v>
      </c>
      <c r="F951" t="s">
        <v>643</v>
      </c>
      <c r="G951" t="s">
        <v>561</v>
      </c>
      <c r="H951" t="s">
        <v>562</v>
      </c>
      <c r="I951" t="s">
        <v>563</v>
      </c>
      <c r="J951">
        <v>1</v>
      </c>
      <c r="K951" t="s">
        <v>554</v>
      </c>
      <c r="L951">
        <v>13.38</v>
      </c>
      <c r="M951">
        <f t="shared" si="14"/>
        <v>13.38</v>
      </c>
    </row>
    <row r="952" spans="3:13">
      <c r="C952" t="s">
        <v>266</v>
      </c>
      <c r="D952" t="s">
        <v>268</v>
      </c>
      <c r="E952" t="s">
        <v>522</v>
      </c>
      <c r="F952" t="s">
        <v>643</v>
      </c>
      <c r="G952" t="s">
        <v>561</v>
      </c>
      <c r="H952" t="s">
        <v>644</v>
      </c>
      <c r="I952" t="s">
        <v>645</v>
      </c>
      <c r="J952">
        <v>1</v>
      </c>
      <c r="K952" t="s">
        <v>554</v>
      </c>
      <c r="L952">
        <v>39.06</v>
      </c>
      <c r="M952">
        <f t="shared" si="14"/>
        <v>39.06</v>
      </c>
    </row>
    <row r="953" spans="3:13">
      <c r="C953" t="s">
        <v>266</v>
      </c>
      <c r="D953" t="s">
        <v>268</v>
      </c>
      <c r="E953" t="s">
        <v>522</v>
      </c>
      <c r="F953" t="s">
        <v>643</v>
      </c>
      <c r="G953" t="s">
        <v>561</v>
      </c>
      <c r="H953" t="s">
        <v>646</v>
      </c>
      <c r="I953" t="s">
        <v>654</v>
      </c>
      <c r="J953">
        <v>1</v>
      </c>
      <c r="K953" t="s">
        <v>566</v>
      </c>
      <c r="L953">
        <v>8.39</v>
      </c>
      <c r="M953">
        <f t="shared" si="14"/>
        <v>8.39</v>
      </c>
    </row>
    <row r="954" spans="3:13">
      <c r="C954" t="s">
        <v>266</v>
      </c>
      <c r="D954" t="s">
        <v>268</v>
      </c>
      <c r="E954" t="s">
        <v>522</v>
      </c>
      <c r="F954" t="s">
        <v>643</v>
      </c>
      <c r="G954" t="s">
        <v>561</v>
      </c>
      <c r="H954" t="s">
        <v>485</v>
      </c>
      <c r="I954" t="s">
        <v>648</v>
      </c>
      <c r="J954">
        <v>1</v>
      </c>
      <c r="K954" t="s">
        <v>566</v>
      </c>
      <c r="L954">
        <v>15.22</v>
      </c>
      <c r="M954">
        <f t="shared" si="14"/>
        <v>15.22</v>
      </c>
    </row>
    <row r="955" spans="3:13">
      <c r="C955" t="s">
        <v>266</v>
      </c>
      <c r="D955" t="s">
        <v>268</v>
      </c>
      <c r="E955" t="s">
        <v>522</v>
      </c>
      <c r="F955" t="s">
        <v>643</v>
      </c>
      <c r="G955" t="s">
        <v>561</v>
      </c>
      <c r="H955" t="s">
        <v>606</v>
      </c>
      <c r="I955" t="s">
        <v>649</v>
      </c>
      <c r="J955">
        <v>2</v>
      </c>
      <c r="K955" t="s">
        <v>550</v>
      </c>
      <c r="L955">
        <v>4.75</v>
      </c>
      <c r="M955">
        <f t="shared" si="14"/>
        <v>9.5</v>
      </c>
    </row>
    <row r="956" spans="3:13">
      <c r="C956" t="s">
        <v>266</v>
      </c>
      <c r="D956" t="s">
        <v>268</v>
      </c>
      <c r="E956" t="s">
        <v>522</v>
      </c>
      <c r="F956" t="s">
        <v>643</v>
      </c>
      <c r="G956" t="s">
        <v>571</v>
      </c>
      <c r="H956" t="s">
        <v>572</v>
      </c>
      <c r="I956" t="s">
        <v>573</v>
      </c>
      <c r="J956">
        <v>1</v>
      </c>
      <c r="K956" t="s">
        <v>554</v>
      </c>
      <c r="L956">
        <v>1680</v>
      </c>
      <c r="M956">
        <f t="shared" si="14"/>
        <v>1680</v>
      </c>
    </row>
    <row r="957" spans="3:13">
      <c r="C957" t="s">
        <v>266</v>
      </c>
      <c r="D957" t="s">
        <v>268</v>
      </c>
      <c r="E957" t="s">
        <v>522</v>
      </c>
      <c r="F957" t="s">
        <v>643</v>
      </c>
      <c r="G957" t="s">
        <v>571</v>
      </c>
      <c r="H957" t="s">
        <v>574</v>
      </c>
      <c r="I957" t="s">
        <v>575</v>
      </c>
      <c r="J957">
        <v>1</v>
      </c>
      <c r="K957" t="s">
        <v>554</v>
      </c>
      <c r="L957">
        <v>10</v>
      </c>
      <c r="M957">
        <f t="shared" si="14"/>
        <v>10</v>
      </c>
    </row>
    <row r="958" spans="3:13">
      <c r="C958" t="s">
        <v>266</v>
      </c>
      <c r="D958" t="s">
        <v>268</v>
      </c>
      <c r="E958" t="s">
        <v>522</v>
      </c>
      <c r="F958" t="s">
        <v>643</v>
      </c>
      <c r="G958" t="s">
        <v>576</v>
      </c>
      <c r="H958" t="s">
        <v>577</v>
      </c>
      <c r="I958" t="s">
        <v>578</v>
      </c>
      <c r="J958">
        <v>1</v>
      </c>
      <c r="K958" t="s">
        <v>554</v>
      </c>
      <c r="L958">
        <v>93</v>
      </c>
      <c r="M958">
        <f t="shared" si="14"/>
        <v>93</v>
      </c>
    </row>
    <row r="959" spans="3:13">
      <c r="C959" t="s">
        <v>266</v>
      </c>
      <c r="D959" t="s">
        <v>268</v>
      </c>
      <c r="E959" t="s">
        <v>522</v>
      </c>
      <c r="F959" t="s">
        <v>643</v>
      </c>
      <c r="G959" t="s">
        <v>576</v>
      </c>
      <c r="H959" t="s">
        <v>579</v>
      </c>
      <c r="I959" t="s">
        <v>580</v>
      </c>
      <c r="J959">
        <v>1</v>
      </c>
      <c r="K959" t="s">
        <v>554</v>
      </c>
      <c r="L959">
        <v>56</v>
      </c>
      <c r="M959">
        <f t="shared" si="14"/>
        <v>56</v>
      </c>
    </row>
    <row r="960" spans="3:13">
      <c r="C960" t="s">
        <v>266</v>
      </c>
      <c r="D960" t="s">
        <v>268</v>
      </c>
      <c r="E960" t="s">
        <v>522</v>
      </c>
      <c r="F960" t="s">
        <v>643</v>
      </c>
      <c r="G960" t="s">
        <v>558</v>
      </c>
      <c r="H960" t="s">
        <v>581</v>
      </c>
      <c r="I960" t="s">
        <v>582</v>
      </c>
      <c r="J960">
        <v>1</v>
      </c>
      <c r="K960" t="s">
        <v>554</v>
      </c>
      <c r="L960">
        <v>84</v>
      </c>
      <c r="M960">
        <f t="shared" si="14"/>
        <v>84</v>
      </c>
    </row>
    <row r="961" spans="3:13">
      <c r="C961" t="s">
        <v>266</v>
      </c>
      <c r="D961" t="s">
        <v>268</v>
      </c>
      <c r="E961" t="s">
        <v>522</v>
      </c>
      <c r="F961" t="s">
        <v>643</v>
      </c>
      <c r="G961" t="s">
        <v>583</v>
      </c>
      <c r="H961" t="s">
        <v>584</v>
      </c>
      <c r="I961" t="s">
        <v>585</v>
      </c>
      <c r="J961">
        <v>1</v>
      </c>
      <c r="K961" t="s">
        <v>554</v>
      </c>
      <c r="L961">
        <v>165</v>
      </c>
      <c r="M961">
        <f t="shared" si="14"/>
        <v>165</v>
      </c>
    </row>
    <row r="962" spans="3:13">
      <c r="C962" t="s">
        <v>266</v>
      </c>
      <c r="D962" t="s">
        <v>268</v>
      </c>
      <c r="E962" t="s">
        <v>522</v>
      </c>
      <c r="F962" t="s">
        <v>643</v>
      </c>
      <c r="G962" t="s">
        <v>561</v>
      </c>
      <c r="H962" t="s">
        <v>586</v>
      </c>
      <c r="I962" t="s">
        <v>587</v>
      </c>
      <c r="J962">
        <v>1</v>
      </c>
      <c r="K962" t="s">
        <v>554</v>
      </c>
      <c r="L962">
        <v>43</v>
      </c>
      <c r="M962">
        <f t="shared" si="14"/>
        <v>43</v>
      </c>
    </row>
    <row r="963" spans="3:13">
      <c r="C963" t="s">
        <v>266</v>
      </c>
      <c r="D963" t="s">
        <v>268</v>
      </c>
      <c r="E963" t="s">
        <v>522</v>
      </c>
      <c r="F963" t="s">
        <v>643</v>
      </c>
      <c r="G963" t="s">
        <v>588</v>
      </c>
      <c r="H963" t="s">
        <v>589</v>
      </c>
      <c r="I963" t="s">
        <v>590</v>
      </c>
      <c r="J963">
        <v>1</v>
      </c>
      <c r="K963" t="s">
        <v>554</v>
      </c>
      <c r="L963">
        <v>425</v>
      </c>
      <c r="M963">
        <f t="shared" si="14"/>
        <v>425</v>
      </c>
    </row>
    <row r="964" spans="3:13">
      <c r="C964" t="s">
        <v>266</v>
      </c>
      <c r="D964" t="s">
        <v>268</v>
      </c>
      <c r="E964" t="s">
        <v>522</v>
      </c>
      <c r="F964" t="s">
        <v>643</v>
      </c>
      <c r="G964" t="s">
        <v>561</v>
      </c>
      <c r="H964" t="s">
        <v>591</v>
      </c>
      <c r="I964" t="s">
        <v>592</v>
      </c>
      <c r="J964">
        <v>1</v>
      </c>
      <c r="K964" t="s">
        <v>554</v>
      </c>
      <c r="L964">
        <v>77</v>
      </c>
      <c r="M964">
        <f t="shared" si="14"/>
        <v>77</v>
      </c>
    </row>
    <row r="965" spans="3:13">
      <c r="C965" t="s">
        <v>266</v>
      </c>
      <c r="D965" t="s">
        <v>268</v>
      </c>
      <c r="E965" t="s">
        <v>522</v>
      </c>
      <c r="F965" t="s">
        <v>643</v>
      </c>
      <c r="G965" t="s">
        <v>544</v>
      </c>
      <c r="H965" t="s">
        <v>593</v>
      </c>
      <c r="I965" t="s">
        <v>594</v>
      </c>
      <c r="J965">
        <v>1</v>
      </c>
      <c r="K965" t="s">
        <v>595</v>
      </c>
      <c r="L965">
        <v>415</v>
      </c>
      <c r="M965">
        <f t="shared" si="14"/>
        <v>415</v>
      </c>
    </row>
    <row r="966" spans="3:13">
      <c r="C966" t="s">
        <v>266</v>
      </c>
      <c r="D966" t="s">
        <v>268</v>
      </c>
      <c r="E966" t="s">
        <v>522</v>
      </c>
      <c r="F966" t="s">
        <v>643</v>
      </c>
      <c r="G966" t="s">
        <v>544</v>
      </c>
      <c r="H966" t="s">
        <v>657</v>
      </c>
      <c r="I966" t="s">
        <v>665</v>
      </c>
      <c r="J966">
        <v>1</v>
      </c>
      <c r="K966" t="s">
        <v>595</v>
      </c>
      <c r="L966">
        <v>439</v>
      </c>
      <c r="M966">
        <f t="shared" si="14"/>
        <v>439</v>
      </c>
    </row>
    <row r="967" spans="3:13">
      <c r="C967" t="s">
        <v>266</v>
      </c>
      <c r="D967" t="s">
        <v>268</v>
      </c>
      <c r="E967" t="s">
        <v>522</v>
      </c>
      <c r="F967" t="s">
        <v>643</v>
      </c>
      <c r="G967" t="s">
        <v>596</v>
      </c>
      <c r="H967" t="s">
        <v>597</v>
      </c>
      <c r="I967" t="s">
        <v>598</v>
      </c>
      <c r="J967">
        <v>1</v>
      </c>
      <c r="K967" t="s">
        <v>599</v>
      </c>
      <c r="L967">
        <v>53</v>
      </c>
      <c r="M967">
        <f t="shared" si="14"/>
        <v>53</v>
      </c>
    </row>
    <row r="968" spans="3:13">
      <c r="C968" t="s">
        <v>266</v>
      </c>
      <c r="D968" t="s">
        <v>268</v>
      </c>
      <c r="E968" t="s">
        <v>522</v>
      </c>
      <c r="F968" t="s">
        <v>643</v>
      </c>
      <c r="G968" t="s">
        <v>561</v>
      </c>
      <c r="H968" t="s">
        <v>481</v>
      </c>
      <c r="I968" t="s">
        <v>666</v>
      </c>
      <c r="J968">
        <v>1</v>
      </c>
      <c r="K968" t="s">
        <v>601</v>
      </c>
      <c r="L968">
        <v>52.85</v>
      </c>
      <c r="M968">
        <f t="shared" si="14"/>
        <v>52.85</v>
      </c>
    </row>
    <row r="969" spans="3:13">
      <c r="C969" t="s">
        <v>266</v>
      </c>
      <c r="D969" t="s">
        <v>268</v>
      </c>
      <c r="E969" t="s">
        <v>522</v>
      </c>
      <c r="F969" t="s">
        <v>557</v>
      </c>
      <c r="G969" t="s">
        <v>544</v>
      </c>
      <c r="H969" t="s">
        <v>651</v>
      </c>
      <c r="I969" t="s">
        <v>652</v>
      </c>
      <c r="J969">
        <v>1</v>
      </c>
      <c r="K969" t="s">
        <v>595</v>
      </c>
      <c r="L969">
        <v>800</v>
      </c>
      <c r="M969">
        <f t="shared" si="14"/>
        <v>800</v>
      </c>
    </row>
    <row r="970" spans="3:13">
      <c r="C970" t="s">
        <v>266</v>
      </c>
      <c r="D970" t="s">
        <v>268</v>
      </c>
      <c r="E970" t="s">
        <v>522</v>
      </c>
      <c r="F970" t="s">
        <v>557</v>
      </c>
      <c r="G970" t="s">
        <v>561</v>
      </c>
      <c r="H970" t="s">
        <v>564</v>
      </c>
      <c r="I970" t="s">
        <v>565</v>
      </c>
      <c r="J970">
        <v>1</v>
      </c>
      <c r="K970" t="s">
        <v>566</v>
      </c>
      <c r="L970">
        <v>26.93</v>
      </c>
      <c r="M970">
        <f t="shared" ref="M970:M1033" si="15">J970*L970</f>
        <v>26.93</v>
      </c>
    </row>
    <row r="971" spans="3:13">
      <c r="C971" t="s">
        <v>266</v>
      </c>
      <c r="D971" t="s">
        <v>268</v>
      </c>
      <c r="E971" t="s">
        <v>522</v>
      </c>
      <c r="F971" t="s">
        <v>557</v>
      </c>
      <c r="G971" t="s">
        <v>561</v>
      </c>
      <c r="H971" t="s">
        <v>567</v>
      </c>
      <c r="I971" t="s">
        <v>568</v>
      </c>
      <c r="J971">
        <v>1</v>
      </c>
      <c r="K971" t="s">
        <v>566</v>
      </c>
      <c r="L971">
        <v>23.77</v>
      </c>
      <c r="M971">
        <f t="shared" si="15"/>
        <v>23.77</v>
      </c>
    </row>
    <row r="972" spans="3:13">
      <c r="C972" t="s">
        <v>266</v>
      </c>
      <c r="D972" t="s">
        <v>268</v>
      </c>
      <c r="E972" t="s">
        <v>522</v>
      </c>
      <c r="F972" t="s">
        <v>557</v>
      </c>
      <c r="G972" t="s">
        <v>561</v>
      </c>
      <c r="H972" t="s">
        <v>569</v>
      </c>
      <c r="I972" t="s">
        <v>570</v>
      </c>
      <c r="J972">
        <v>1</v>
      </c>
      <c r="K972" t="s">
        <v>554</v>
      </c>
      <c r="L972">
        <v>47.7</v>
      </c>
      <c r="M972">
        <f t="shared" si="15"/>
        <v>47.7</v>
      </c>
    </row>
    <row r="973" spans="3:13">
      <c r="C973" t="s">
        <v>266</v>
      </c>
      <c r="D973" t="s">
        <v>268</v>
      </c>
      <c r="E973" t="s">
        <v>522</v>
      </c>
      <c r="F973" t="s">
        <v>557</v>
      </c>
      <c r="G973" t="s">
        <v>544</v>
      </c>
      <c r="H973" t="s">
        <v>593</v>
      </c>
      <c r="I973" t="s">
        <v>594</v>
      </c>
      <c r="J973">
        <v>1</v>
      </c>
      <c r="K973" t="s">
        <v>595</v>
      </c>
      <c r="L973">
        <v>415</v>
      </c>
      <c r="M973">
        <f t="shared" si="15"/>
        <v>415</v>
      </c>
    </row>
    <row r="974" spans="3:13">
      <c r="C974" t="s">
        <v>266</v>
      </c>
      <c r="D974" t="s">
        <v>268</v>
      </c>
      <c r="E974" t="s">
        <v>522</v>
      </c>
      <c r="F974" t="s">
        <v>557</v>
      </c>
      <c r="G974" t="s">
        <v>596</v>
      </c>
      <c r="H974" t="s">
        <v>597</v>
      </c>
      <c r="I974" t="s">
        <v>640</v>
      </c>
      <c r="J974">
        <v>1</v>
      </c>
      <c r="K974" t="s">
        <v>641</v>
      </c>
      <c r="L974">
        <v>77</v>
      </c>
      <c r="M974">
        <f t="shared" si="15"/>
        <v>77</v>
      </c>
    </row>
    <row r="975" spans="3:13">
      <c r="C975" t="s">
        <v>266</v>
      </c>
      <c r="D975" t="s">
        <v>268</v>
      </c>
      <c r="E975" t="s">
        <v>522</v>
      </c>
      <c r="F975" t="s">
        <v>557</v>
      </c>
      <c r="G975" t="s">
        <v>571</v>
      </c>
      <c r="H975" t="s">
        <v>572</v>
      </c>
      <c r="I975" t="s">
        <v>573</v>
      </c>
      <c r="J975">
        <v>1</v>
      </c>
      <c r="K975" t="s">
        <v>554</v>
      </c>
      <c r="L975">
        <v>1680</v>
      </c>
      <c r="M975">
        <f t="shared" si="15"/>
        <v>1680</v>
      </c>
    </row>
    <row r="976" spans="3:13">
      <c r="C976" t="s">
        <v>266</v>
      </c>
      <c r="D976" t="s">
        <v>268</v>
      </c>
      <c r="E976" t="s">
        <v>522</v>
      </c>
      <c r="F976" t="s">
        <v>557</v>
      </c>
      <c r="G976" t="s">
        <v>571</v>
      </c>
      <c r="H976" t="s">
        <v>574</v>
      </c>
      <c r="I976" t="s">
        <v>575</v>
      </c>
      <c r="J976">
        <v>1</v>
      </c>
      <c r="K976" t="s">
        <v>554</v>
      </c>
      <c r="L976">
        <v>10</v>
      </c>
      <c r="M976">
        <f t="shared" si="15"/>
        <v>10</v>
      </c>
    </row>
    <row r="977" spans="3:13">
      <c r="C977" t="s">
        <v>266</v>
      </c>
      <c r="D977" t="s">
        <v>268</v>
      </c>
      <c r="E977" t="s">
        <v>522</v>
      </c>
      <c r="F977" t="s">
        <v>557</v>
      </c>
      <c r="G977" t="s">
        <v>558</v>
      </c>
      <c r="H977" t="s">
        <v>581</v>
      </c>
      <c r="I977" t="s">
        <v>582</v>
      </c>
      <c r="J977">
        <v>1</v>
      </c>
      <c r="K977" t="s">
        <v>554</v>
      </c>
      <c r="L977">
        <v>84</v>
      </c>
      <c r="M977">
        <f t="shared" si="15"/>
        <v>84</v>
      </c>
    </row>
    <row r="978" spans="3:13">
      <c r="C978" t="s">
        <v>266</v>
      </c>
      <c r="D978" t="s">
        <v>268</v>
      </c>
      <c r="E978" t="s">
        <v>522</v>
      </c>
      <c r="F978" t="s">
        <v>557</v>
      </c>
      <c r="G978" t="s">
        <v>576</v>
      </c>
      <c r="H978" t="s">
        <v>577</v>
      </c>
      <c r="I978" t="s">
        <v>578</v>
      </c>
      <c r="J978">
        <v>1</v>
      </c>
      <c r="K978" t="s">
        <v>554</v>
      </c>
      <c r="L978">
        <v>93</v>
      </c>
      <c r="M978">
        <f t="shared" si="15"/>
        <v>93</v>
      </c>
    </row>
    <row r="979" spans="3:13">
      <c r="C979" t="s">
        <v>266</v>
      </c>
      <c r="D979" t="s">
        <v>268</v>
      </c>
      <c r="E979" t="s">
        <v>522</v>
      </c>
      <c r="F979" t="s">
        <v>67</v>
      </c>
      <c r="G979" t="s">
        <v>561</v>
      </c>
      <c r="H979" t="s">
        <v>608</v>
      </c>
      <c r="I979" t="s">
        <v>609</v>
      </c>
      <c r="J979">
        <v>1</v>
      </c>
      <c r="K979" t="s">
        <v>610</v>
      </c>
      <c r="L979">
        <v>58</v>
      </c>
      <c r="M979">
        <f t="shared" si="15"/>
        <v>58</v>
      </c>
    </row>
    <row r="980" spans="3:13">
      <c r="C980" t="s">
        <v>266</v>
      </c>
      <c r="D980" t="s">
        <v>268</v>
      </c>
      <c r="E980" t="s">
        <v>522</v>
      </c>
      <c r="F980" t="s">
        <v>67</v>
      </c>
      <c r="G980" t="s">
        <v>571</v>
      </c>
      <c r="H980" t="s">
        <v>602</v>
      </c>
      <c r="I980" t="s">
        <v>667</v>
      </c>
      <c r="J980">
        <v>1</v>
      </c>
      <c r="K980" t="s">
        <v>604</v>
      </c>
      <c r="L980">
        <v>30.1</v>
      </c>
      <c r="M980">
        <f t="shared" si="15"/>
        <v>30.1</v>
      </c>
    </row>
    <row r="981" spans="3:13">
      <c r="C981" t="s">
        <v>266</v>
      </c>
      <c r="D981" t="s">
        <v>268</v>
      </c>
      <c r="E981" t="s">
        <v>522</v>
      </c>
      <c r="F981" t="s">
        <v>67</v>
      </c>
      <c r="G981" t="s">
        <v>576</v>
      </c>
      <c r="H981" t="s">
        <v>660</v>
      </c>
      <c r="I981" t="s">
        <v>661</v>
      </c>
      <c r="J981">
        <v>1</v>
      </c>
      <c r="K981" t="s">
        <v>554</v>
      </c>
      <c r="L981">
        <v>48</v>
      </c>
      <c r="M981">
        <f t="shared" si="15"/>
        <v>48</v>
      </c>
    </row>
    <row r="982" spans="3:13">
      <c r="C982" t="s">
        <v>266</v>
      </c>
      <c r="D982" t="s">
        <v>268</v>
      </c>
      <c r="E982" t="s">
        <v>522</v>
      </c>
      <c r="F982" t="s">
        <v>67</v>
      </c>
      <c r="G982" t="s">
        <v>662</v>
      </c>
      <c r="H982" t="s">
        <v>663</v>
      </c>
      <c r="I982" t="s">
        <v>664</v>
      </c>
      <c r="J982">
        <v>1</v>
      </c>
      <c r="K982" t="s">
        <v>641</v>
      </c>
      <c r="L982">
        <v>288</v>
      </c>
      <c r="M982">
        <f t="shared" si="15"/>
        <v>288</v>
      </c>
    </row>
    <row r="983" spans="3:13">
      <c r="C983" t="s">
        <v>266</v>
      </c>
      <c r="D983" t="s">
        <v>268</v>
      </c>
      <c r="E983" t="s">
        <v>522</v>
      </c>
      <c r="F983" t="s">
        <v>611</v>
      </c>
      <c r="G983" t="s">
        <v>544</v>
      </c>
      <c r="H983" t="s">
        <v>612</v>
      </c>
      <c r="I983" t="s">
        <v>613</v>
      </c>
      <c r="J983">
        <v>1</v>
      </c>
      <c r="K983" t="s">
        <v>595</v>
      </c>
      <c r="L983">
        <v>290</v>
      </c>
      <c r="M983">
        <f t="shared" si="15"/>
        <v>290</v>
      </c>
    </row>
    <row r="984" spans="3:13">
      <c r="C984" t="s">
        <v>266</v>
      </c>
      <c r="D984" t="s">
        <v>268</v>
      </c>
      <c r="E984" t="s">
        <v>522</v>
      </c>
      <c r="F984" t="s">
        <v>611</v>
      </c>
      <c r="G984" t="s">
        <v>571</v>
      </c>
      <c r="H984" t="s">
        <v>614</v>
      </c>
      <c r="I984" t="s">
        <v>615</v>
      </c>
      <c r="J984">
        <v>1</v>
      </c>
      <c r="K984" t="s">
        <v>554</v>
      </c>
      <c r="L984">
        <v>100</v>
      </c>
      <c r="M984">
        <f t="shared" si="15"/>
        <v>100</v>
      </c>
    </row>
    <row r="985" spans="3:13">
      <c r="C985" t="s">
        <v>266</v>
      </c>
      <c r="D985" t="s">
        <v>268</v>
      </c>
      <c r="E985" t="s">
        <v>522</v>
      </c>
      <c r="F985" t="s">
        <v>611</v>
      </c>
      <c r="G985" t="s">
        <v>561</v>
      </c>
      <c r="H985" t="s">
        <v>616</v>
      </c>
      <c r="I985" t="s">
        <v>617</v>
      </c>
      <c r="J985">
        <v>1</v>
      </c>
      <c r="K985" t="s">
        <v>618</v>
      </c>
      <c r="L985">
        <v>55</v>
      </c>
      <c r="M985">
        <f t="shared" si="15"/>
        <v>55</v>
      </c>
    </row>
    <row r="986" spans="3:13">
      <c r="C986" t="s">
        <v>266</v>
      </c>
      <c r="D986" t="s">
        <v>268</v>
      </c>
      <c r="E986" t="s">
        <v>522</v>
      </c>
      <c r="F986" t="s">
        <v>611</v>
      </c>
      <c r="G986" t="s">
        <v>576</v>
      </c>
      <c r="H986" t="s">
        <v>619</v>
      </c>
      <c r="I986" t="s">
        <v>620</v>
      </c>
      <c r="J986">
        <v>1</v>
      </c>
      <c r="K986" t="s">
        <v>554</v>
      </c>
      <c r="L986">
        <v>66.26</v>
      </c>
      <c r="M986">
        <f t="shared" si="15"/>
        <v>66.26</v>
      </c>
    </row>
    <row r="987" spans="3:13">
      <c r="C987" t="s">
        <v>266</v>
      </c>
      <c r="D987" t="s">
        <v>268</v>
      </c>
      <c r="E987" t="s">
        <v>522</v>
      </c>
      <c r="F987" t="s">
        <v>611</v>
      </c>
      <c r="G987" t="s">
        <v>621</v>
      </c>
      <c r="H987" t="s">
        <v>622</v>
      </c>
      <c r="I987" t="s">
        <v>623</v>
      </c>
      <c r="J987">
        <v>1</v>
      </c>
      <c r="K987" t="s">
        <v>554</v>
      </c>
      <c r="L987">
        <v>101</v>
      </c>
      <c r="M987">
        <f t="shared" si="15"/>
        <v>101</v>
      </c>
    </row>
    <row r="988" spans="3:13">
      <c r="C988" t="s">
        <v>266</v>
      </c>
      <c r="D988" t="s">
        <v>268</v>
      </c>
      <c r="E988" t="s">
        <v>522</v>
      </c>
      <c r="F988" t="s">
        <v>611</v>
      </c>
      <c r="G988" t="s">
        <v>621</v>
      </c>
      <c r="H988" t="s">
        <v>624</v>
      </c>
      <c r="I988" t="s">
        <v>625</v>
      </c>
      <c r="J988">
        <v>1</v>
      </c>
      <c r="K988" t="s">
        <v>554</v>
      </c>
      <c r="L988">
        <v>418</v>
      </c>
      <c r="M988">
        <f t="shared" si="15"/>
        <v>418</v>
      </c>
    </row>
    <row r="989" spans="3:13">
      <c r="C989" t="s">
        <v>266</v>
      </c>
      <c r="D989" t="s">
        <v>268</v>
      </c>
      <c r="E989" t="s">
        <v>522</v>
      </c>
      <c r="F989" t="s">
        <v>611</v>
      </c>
      <c r="G989" t="s">
        <v>621</v>
      </c>
      <c r="H989" t="s">
        <v>626</v>
      </c>
      <c r="I989" t="s">
        <v>627</v>
      </c>
      <c r="J989">
        <v>1</v>
      </c>
      <c r="K989" t="s">
        <v>554</v>
      </c>
      <c r="L989">
        <v>37</v>
      </c>
      <c r="M989">
        <f t="shared" si="15"/>
        <v>37</v>
      </c>
    </row>
    <row r="990" spans="3:13">
      <c r="C990" t="s">
        <v>266</v>
      </c>
      <c r="D990" t="s">
        <v>268</v>
      </c>
      <c r="E990" t="s">
        <v>522</v>
      </c>
      <c r="F990" t="s">
        <v>611</v>
      </c>
      <c r="G990" t="s">
        <v>571</v>
      </c>
      <c r="H990" t="s">
        <v>628</v>
      </c>
      <c r="I990" t="s">
        <v>653</v>
      </c>
      <c r="J990">
        <v>1</v>
      </c>
      <c r="K990" t="s">
        <v>604</v>
      </c>
      <c r="L990">
        <v>430</v>
      </c>
      <c r="M990">
        <f t="shared" si="15"/>
        <v>430</v>
      </c>
    </row>
    <row r="991" spans="3:13">
      <c r="C991" t="s">
        <v>266</v>
      </c>
      <c r="D991" t="s">
        <v>268</v>
      </c>
      <c r="E991" t="s">
        <v>522</v>
      </c>
      <c r="F991" t="s">
        <v>611</v>
      </c>
      <c r="G991" t="s">
        <v>551</v>
      </c>
      <c r="H991" t="s">
        <v>630</v>
      </c>
      <c r="I991" t="s">
        <v>631</v>
      </c>
      <c r="J991">
        <v>1</v>
      </c>
      <c r="K991" t="s">
        <v>566</v>
      </c>
      <c r="L991">
        <v>4.7</v>
      </c>
      <c r="M991">
        <f t="shared" si="15"/>
        <v>4.7</v>
      </c>
    </row>
    <row r="992" spans="3:13">
      <c r="C992" t="s">
        <v>266</v>
      </c>
      <c r="D992" t="s">
        <v>268</v>
      </c>
      <c r="E992" t="s">
        <v>522</v>
      </c>
      <c r="F992" t="s">
        <v>611</v>
      </c>
      <c r="G992" t="s">
        <v>621</v>
      </c>
      <c r="H992" t="s">
        <v>632</v>
      </c>
      <c r="I992" t="s">
        <v>633</v>
      </c>
      <c r="J992">
        <v>1</v>
      </c>
      <c r="K992" t="s">
        <v>601</v>
      </c>
      <c r="L992">
        <v>370</v>
      </c>
      <c r="M992">
        <f t="shared" si="15"/>
        <v>370</v>
      </c>
    </row>
    <row r="993" spans="3:13">
      <c r="C993" t="s">
        <v>266</v>
      </c>
      <c r="D993" t="s">
        <v>268</v>
      </c>
      <c r="E993" t="s">
        <v>522</v>
      </c>
      <c r="F993" t="s">
        <v>611</v>
      </c>
      <c r="G993" t="s">
        <v>621</v>
      </c>
      <c r="H993" t="s">
        <v>634</v>
      </c>
      <c r="I993" t="s">
        <v>635</v>
      </c>
      <c r="J993">
        <v>1</v>
      </c>
      <c r="K993" t="s">
        <v>554</v>
      </c>
      <c r="L993">
        <v>39.5</v>
      </c>
      <c r="M993">
        <f t="shared" si="15"/>
        <v>39.5</v>
      </c>
    </row>
    <row r="994" spans="3:13">
      <c r="C994" t="s">
        <v>266</v>
      </c>
      <c r="D994" t="s">
        <v>268</v>
      </c>
      <c r="E994" t="s">
        <v>522</v>
      </c>
      <c r="F994" t="s">
        <v>611</v>
      </c>
      <c r="G994" t="s">
        <v>583</v>
      </c>
      <c r="H994" t="s">
        <v>636</v>
      </c>
      <c r="I994" t="s">
        <v>637</v>
      </c>
      <c r="J994">
        <v>1</v>
      </c>
      <c r="K994" t="s">
        <v>554</v>
      </c>
      <c r="L994">
        <v>41</v>
      </c>
      <c r="M994">
        <f t="shared" si="15"/>
        <v>41</v>
      </c>
    </row>
    <row r="995" spans="3:13">
      <c r="C995" t="s">
        <v>266</v>
      </c>
      <c r="D995" t="s">
        <v>268</v>
      </c>
      <c r="E995" t="s">
        <v>522</v>
      </c>
      <c r="F995" t="s">
        <v>611</v>
      </c>
      <c r="G995" t="s">
        <v>621</v>
      </c>
      <c r="H995" t="s">
        <v>638</v>
      </c>
      <c r="I995" t="s">
        <v>639</v>
      </c>
      <c r="J995">
        <v>1</v>
      </c>
      <c r="K995" t="s">
        <v>554</v>
      </c>
      <c r="L995">
        <v>17.2</v>
      </c>
      <c r="M995">
        <f t="shared" si="15"/>
        <v>17.2</v>
      </c>
    </row>
    <row r="996" spans="3:13">
      <c r="C996" t="s">
        <v>266</v>
      </c>
      <c r="D996" t="s">
        <v>268</v>
      </c>
      <c r="E996" t="s">
        <v>523</v>
      </c>
      <c r="F996" t="s">
        <v>543</v>
      </c>
      <c r="G996" t="s">
        <v>544</v>
      </c>
      <c r="H996" t="s">
        <v>545</v>
      </c>
      <c r="I996" t="s">
        <v>546</v>
      </c>
      <c r="J996">
        <v>1</v>
      </c>
      <c r="K996" t="s">
        <v>547</v>
      </c>
      <c r="L996">
        <v>920</v>
      </c>
      <c r="M996">
        <f t="shared" si="15"/>
        <v>920</v>
      </c>
    </row>
    <row r="997" spans="3:13">
      <c r="C997" t="s">
        <v>266</v>
      </c>
      <c r="D997" t="s">
        <v>268</v>
      </c>
      <c r="E997" t="s">
        <v>523</v>
      </c>
      <c r="F997" t="s">
        <v>543</v>
      </c>
      <c r="G997" t="s">
        <v>544</v>
      </c>
      <c r="H997" t="s">
        <v>548</v>
      </c>
      <c r="I997" t="s">
        <v>549</v>
      </c>
      <c r="J997">
        <v>1</v>
      </c>
      <c r="K997" t="s">
        <v>550</v>
      </c>
      <c r="L997">
        <v>380</v>
      </c>
      <c r="M997">
        <f t="shared" si="15"/>
        <v>380</v>
      </c>
    </row>
    <row r="998" spans="3:13">
      <c r="C998" t="s">
        <v>266</v>
      </c>
      <c r="D998" t="s">
        <v>268</v>
      </c>
      <c r="E998" t="s">
        <v>523</v>
      </c>
      <c r="F998" t="s">
        <v>543</v>
      </c>
      <c r="G998" t="s">
        <v>551</v>
      </c>
      <c r="H998" t="s">
        <v>552</v>
      </c>
      <c r="I998" t="s">
        <v>553</v>
      </c>
      <c r="J998">
        <v>1</v>
      </c>
      <c r="K998" t="s">
        <v>554</v>
      </c>
      <c r="L998">
        <v>14</v>
      </c>
      <c r="M998">
        <f t="shared" si="15"/>
        <v>14</v>
      </c>
    </row>
    <row r="999" spans="3:13">
      <c r="C999" t="s">
        <v>266</v>
      </c>
      <c r="D999" t="s">
        <v>268</v>
      </c>
      <c r="E999" t="s">
        <v>523</v>
      </c>
      <c r="F999" t="s">
        <v>543</v>
      </c>
      <c r="G999" t="s">
        <v>551</v>
      </c>
      <c r="H999" t="s">
        <v>555</v>
      </c>
      <c r="I999" t="s">
        <v>556</v>
      </c>
      <c r="J999">
        <v>1</v>
      </c>
      <c r="K999" t="s">
        <v>554</v>
      </c>
      <c r="L999">
        <v>33</v>
      </c>
      <c r="M999">
        <f t="shared" si="15"/>
        <v>33</v>
      </c>
    </row>
    <row r="1000" spans="3:13">
      <c r="C1000" t="s">
        <v>266</v>
      </c>
      <c r="D1000" t="s">
        <v>268</v>
      </c>
      <c r="E1000" t="s">
        <v>523</v>
      </c>
      <c r="F1000" t="s">
        <v>557</v>
      </c>
      <c r="G1000" t="s">
        <v>558</v>
      </c>
      <c r="H1000" t="s">
        <v>559</v>
      </c>
      <c r="I1000" t="s">
        <v>560</v>
      </c>
      <c r="J1000">
        <v>1</v>
      </c>
      <c r="K1000" t="s">
        <v>554</v>
      </c>
      <c r="L1000">
        <v>0</v>
      </c>
      <c r="M1000">
        <f t="shared" si="15"/>
        <v>0</v>
      </c>
    </row>
    <row r="1001" spans="3:13">
      <c r="C1001" t="s">
        <v>266</v>
      </c>
      <c r="D1001" t="s">
        <v>268</v>
      </c>
      <c r="E1001" t="s">
        <v>523</v>
      </c>
      <c r="F1001" t="s">
        <v>557</v>
      </c>
      <c r="G1001" t="s">
        <v>561</v>
      </c>
      <c r="H1001" t="s">
        <v>562</v>
      </c>
      <c r="I1001" t="s">
        <v>563</v>
      </c>
      <c r="J1001">
        <v>1</v>
      </c>
      <c r="K1001" t="s">
        <v>554</v>
      </c>
      <c r="L1001">
        <v>13.38</v>
      </c>
      <c r="M1001">
        <f t="shared" si="15"/>
        <v>13.38</v>
      </c>
    </row>
    <row r="1002" spans="3:13">
      <c r="C1002" t="s">
        <v>266</v>
      </c>
      <c r="D1002" t="s">
        <v>268</v>
      </c>
      <c r="E1002" t="s">
        <v>523</v>
      </c>
      <c r="F1002" t="s">
        <v>557</v>
      </c>
      <c r="G1002" t="s">
        <v>561</v>
      </c>
      <c r="H1002" t="s">
        <v>564</v>
      </c>
      <c r="I1002" t="s">
        <v>565</v>
      </c>
      <c r="J1002">
        <v>1</v>
      </c>
      <c r="K1002" t="s">
        <v>566</v>
      </c>
      <c r="L1002">
        <v>26.93</v>
      </c>
      <c r="M1002">
        <f t="shared" si="15"/>
        <v>26.93</v>
      </c>
    </row>
    <row r="1003" spans="3:13">
      <c r="C1003" t="s">
        <v>266</v>
      </c>
      <c r="D1003" t="s">
        <v>268</v>
      </c>
      <c r="E1003" t="s">
        <v>523</v>
      </c>
      <c r="F1003" t="s">
        <v>557</v>
      </c>
      <c r="G1003" t="s">
        <v>561</v>
      </c>
      <c r="H1003" t="s">
        <v>567</v>
      </c>
      <c r="I1003" t="s">
        <v>568</v>
      </c>
      <c r="J1003">
        <v>1</v>
      </c>
      <c r="K1003" t="s">
        <v>566</v>
      </c>
      <c r="L1003">
        <v>23.77</v>
      </c>
      <c r="M1003">
        <f t="shared" si="15"/>
        <v>23.77</v>
      </c>
    </row>
    <row r="1004" spans="3:13">
      <c r="C1004" t="s">
        <v>266</v>
      </c>
      <c r="D1004" t="s">
        <v>268</v>
      </c>
      <c r="E1004" t="s">
        <v>523</v>
      </c>
      <c r="F1004" t="s">
        <v>557</v>
      </c>
      <c r="G1004" t="s">
        <v>561</v>
      </c>
      <c r="H1004" t="s">
        <v>569</v>
      </c>
      <c r="I1004" t="s">
        <v>642</v>
      </c>
      <c r="J1004">
        <v>1</v>
      </c>
      <c r="K1004" t="s">
        <v>554</v>
      </c>
      <c r="L1004">
        <v>46.61</v>
      </c>
      <c r="M1004">
        <f t="shared" si="15"/>
        <v>46.61</v>
      </c>
    </row>
    <row r="1005" spans="3:13">
      <c r="C1005" t="s">
        <v>266</v>
      </c>
      <c r="D1005" t="s">
        <v>268</v>
      </c>
      <c r="E1005" t="s">
        <v>523</v>
      </c>
      <c r="F1005" t="s">
        <v>557</v>
      </c>
      <c r="G1005" t="s">
        <v>571</v>
      </c>
      <c r="H1005" t="s">
        <v>572</v>
      </c>
      <c r="I1005" t="s">
        <v>573</v>
      </c>
      <c r="J1005">
        <v>1</v>
      </c>
      <c r="K1005" t="s">
        <v>554</v>
      </c>
      <c r="L1005">
        <v>1680</v>
      </c>
      <c r="M1005">
        <f t="shared" si="15"/>
        <v>1680</v>
      </c>
    </row>
    <row r="1006" spans="3:13">
      <c r="C1006" t="s">
        <v>266</v>
      </c>
      <c r="D1006" t="s">
        <v>268</v>
      </c>
      <c r="E1006" t="s">
        <v>523</v>
      </c>
      <c r="F1006" t="s">
        <v>557</v>
      </c>
      <c r="G1006" t="s">
        <v>571</v>
      </c>
      <c r="H1006" t="s">
        <v>574</v>
      </c>
      <c r="I1006" t="s">
        <v>575</v>
      </c>
      <c r="J1006">
        <v>1</v>
      </c>
      <c r="K1006" t="s">
        <v>554</v>
      </c>
      <c r="L1006">
        <v>10</v>
      </c>
      <c r="M1006">
        <f t="shared" si="15"/>
        <v>10</v>
      </c>
    </row>
    <row r="1007" spans="3:13">
      <c r="C1007" t="s">
        <v>266</v>
      </c>
      <c r="D1007" t="s">
        <v>268</v>
      </c>
      <c r="E1007" t="s">
        <v>523</v>
      </c>
      <c r="F1007" t="s">
        <v>557</v>
      </c>
      <c r="G1007" t="s">
        <v>576</v>
      </c>
      <c r="H1007" t="s">
        <v>577</v>
      </c>
      <c r="I1007" t="s">
        <v>578</v>
      </c>
      <c r="J1007">
        <v>1</v>
      </c>
      <c r="K1007" t="s">
        <v>554</v>
      </c>
      <c r="L1007">
        <v>93</v>
      </c>
      <c r="M1007">
        <f t="shared" si="15"/>
        <v>93</v>
      </c>
    </row>
    <row r="1008" spans="3:13">
      <c r="C1008" t="s">
        <v>266</v>
      </c>
      <c r="D1008" t="s">
        <v>268</v>
      </c>
      <c r="E1008" t="s">
        <v>523</v>
      </c>
      <c r="F1008" t="s">
        <v>557</v>
      </c>
      <c r="G1008" t="s">
        <v>558</v>
      </c>
      <c r="H1008" t="s">
        <v>581</v>
      </c>
      <c r="I1008" t="s">
        <v>582</v>
      </c>
      <c r="J1008">
        <v>1</v>
      </c>
      <c r="K1008" t="s">
        <v>554</v>
      </c>
      <c r="L1008">
        <v>84</v>
      </c>
      <c r="M1008">
        <f t="shared" si="15"/>
        <v>84</v>
      </c>
    </row>
    <row r="1009" spans="3:13">
      <c r="C1009" t="s">
        <v>266</v>
      </c>
      <c r="D1009" t="s">
        <v>268</v>
      </c>
      <c r="E1009" t="s">
        <v>523</v>
      </c>
      <c r="F1009" t="s">
        <v>557</v>
      </c>
      <c r="G1009" t="s">
        <v>583</v>
      </c>
      <c r="H1009" t="s">
        <v>584</v>
      </c>
      <c r="I1009" t="s">
        <v>585</v>
      </c>
      <c r="J1009">
        <v>1</v>
      </c>
      <c r="K1009" t="s">
        <v>554</v>
      </c>
      <c r="L1009">
        <v>165</v>
      </c>
      <c r="M1009">
        <f t="shared" si="15"/>
        <v>165</v>
      </c>
    </row>
    <row r="1010" spans="3:13">
      <c r="C1010" t="s">
        <v>266</v>
      </c>
      <c r="D1010" t="s">
        <v>268</v>
      </c>
      <c r="E1010" t="s">
        <v>523</v>
      </c>
      <c r="F1010" t="s">
        <v>557</v>
      </c>
      <c r="G1010" t="s">
        <v>561</v>
      </c>
      <c r="H1010" t="s">
        <v>586</v>
      </c>
      <c r="I1010" t="s">
        <v>587</v>
      </c>
      <c r="J1010">
        <v>1</v>
      </c>
      <c r="K1010" t="s">
        <v>554</v>
      </c>
      <c r="L1010">
        <v>43</v>
      </c>
      <c r="M1010">
        <f t="shared" si="15"/>
        <v>43</v>
      </c>
    </row>
    <row r="1011" spans="3:13">
      <c r="C1011" t="s">
        <v>266</v>
      </c>
      <c r="D1011" t="s">
        <v>268</v>
      </c>
      <c r="E1011" t="s">
        <v>523</v>
      </c>
      <c r="F1011" t="s">
        <v>557</v>
      </c>
      <c r="G1011" t="s">
        <v>588</v>
      </c>
      <c r="H1011" t="s">
        <v>589</v>
      </c>
      <c r="I1011" t="s">
        <v>590</v>
      </c>
      <c r="J1011">
        <v>1</v>
      </c>
      <c r="K1011" t="s">
        <v>554</v>
      </c>
      <c r="L1011">
        <v>425</v>
      </c>
      <c r="M1011">
        <f t="shared" si="15"/>
        <v>425</v>
      </c>
    </row>
    <row r="1012" spans="3:13">
      <c r="C1012" t="s">
        <v>266</v>
      </c>
      <c r="D1012" t="s">
        <v>268</v>
      </c>
      <c r="E1012" t="s">
        <v>523</v>
      </c>
      <c r="F1012" t="s">
        <v>557</v>
      </c>
      <c r="G1012" t="s">
        <v>561</v>
      </c>
      <c r="H1012" t="s">
        <v>591</v>
      </c>
      <c r="I1012" t="s">
        <v>592</v>
      </c>
      <c r="J1012">
        <v>1</v>
      </c>
      <c r="K1012" t="s">
        <v>554</v>
      </c>
      <c r="L1012">
        <v>77</v>
      </c>
      <c r="M1012">
        <f t="shared" si="15"/>
        <v>77</v>
      </c>
    </row>
    <row r="1013" spans="3:13">
      <c r="C1013" t="s">
        <v>266</v>
      </c>
      <c r="D1013" t="s">
        <v>268</v>
      </c>
      <c r="E1013" t="s">
        <v>523</v>
      </c>
      <c r="F1013" t="s">
        <v>557</v>
      </c>
      <c r="G1013" t="s">
        <v>544</v>
      </c>
      <c r="H1013" t="s">
        <v>657</v>
      </c>
      <c r="I1013" t="s">
        <v>658</v>
      </c>
      <c r="J1013">
        <v>1</v>
      </c>
      <c r="K1013" t="s">
        <v>641</v>
      </c>
      <c r="L1013">
        <v>414</v>
      </c>
      <c r="M1013">
        <f t="shared" si="15"/>
        <v>414</v>
      </c>
    </row>
    <row r="1014" spans="3:13">
      <c r="C1014" t="s">
        <v>266</v>
      </c>
      <c r="D1014" t="s">
        <v>268</v>
      </c>
      <c r="E1014" t="s">
        <v>523</v>
      </c>
      <c r="F1014" t="s">
        <v>557</v>
      </c>
      <c r="G1014" t="s">
        <v>596</v>
      </c>
      <c r="H1014" t="s">
        <v>597</v>
      </c>
      <c r="I1014" t="s">
        <v>640</v>
      </c>
      <c r="J1014">
        <v>1</v>
      </c>
      <c r="K1014" t="s">
        <v>641</v>
      </c>
      <c r="L1014">
        <v>77</v>
      </c>
      <c r="M1014">
        <f t="shared" si="15"/>
        <v>77</v>
      </c>
    </row>
    <row r="1015" spans="3:13">
      <c r="C1015" t="s">
        <v>266</v>
      </c>
      <c r="D1015" t="s">
        <v>268</v>
      </c>
      <c r="E1015" t="s">
        <v>523</v>
      </c>
      <c r="F1015" t="s">
        <v>557</v>
      </c>
      <c r="G1015" t="s">
        <v>561</v>
      </c>
      <c r="H1015" t="s">
        <v>482</v>
      </c>
      <c r="I1015" t="s">
        <v>605</v>
      </c>
      <c r="J1015">
        <v>1</v>
      </c>
      <c r="K1015" t="s">
        <v>566</v>
      </c>
      <c r="L1015">
        <v>15.82</v>
      </c>
      <c r="M1015">
        <f t="shared" si="15"/>
        <v>15.82</v>
      </c>
    </row>
    <row r="1016" spans="3:13">
      <c r="C1016" t="s">
        <v>266</v>
      </c>
      <c r="D1016" t="s">
        <v>268</v>
      </c>
      <c r="E1016" t="s">
        <v>523</v>
      </c>
      <c r="F1016" t="s">
        <v>557</v>
      </c>
      <c r="G1016" t="s">
        <v>561</v>
      </c>
      <c r="H1016" t="s">
        <v>606</v>
      </c>
      <c r="I1016" t="s">
        <v>607</v>
      </c>
      <c r="J1016">
        <v>1</v>
      </c>
      <c r="K1016" t="s">
        <v>550</v>
      </c>
      <c r="L1016">
        <v>4.29</v>
      </c>
      <c r="M1016">
        <f t="shared" si="15"/>
        <v>4.29</v>
      </c>
    </row>
    <row r="1017" spans="3:13">
      <c r="C1017" t="s">
        <v>266</v>
      </c>
      <c r="D1017" t="s">
        <v>268</v>
      </c>
      <c r="E1017" t="s">
        <v>523</v>
      </c>
      <c r="F1017" t="s">
        <v>67</v>
      </c>
      <c r="G1017" t="s">
        <v>561</v>
      </c>
      <c r="H1017" t="s">
        <v>608</v>
      </c>
      <c r="I1017" t="s">
        <v>609</v>
      </c>
      <c r="J1017">
        <v>1</v>
      </c>
      <c r="K1017" t="s">
        <v>610</v>
      </c>
      <c r="L1017">
        <v>58</v>
      </c>
      <c r="M1017">
        <f t="shared" si="15"/>
        <v>58</v>
      </c>
    </row>
    <row r="1018" spans="3:13">
      <c r="C1018" t="s">
        <v>266</v>
      </c>
      <c r="D1018" t="s">
        <v>268</v>
      </c>
      <c r="E1018" t="s">
        <v>523</v>
      </c>
      <c r="F1018" t="s">
        <v>67</v>
      </c>
      <c r="G1018" t="s">
        <v>561</v>
      </c>
      <c r="H1018" t="s">
        <v>481</v>
      </c>
      <c r="I1018" t="s">
        <v>659</v>
      </c>
      <c r="J1018">
        <v>1</v>
      </c>
      <c r="K1018" t="s">
        <v>601</v>
      </c>
      <c r="L1018">
        <v>55.16</v>
      </c>
      <c r="M1018">
        <f t="shared" si="15"/>
        <v>55.16</v>
      </c>
    </row>
    <row r="1019" spans="3:13">
      <c r="C1019" t="s">
        <v>266</v>
      </c>
      <c r="D1019" t="s">
        <v>268</v>
      </c>
      <c r="E1019" t="s">
        <v>523</v>
      </c>
      <c r="F1019" t="s">
        <v>67</v>
      </c>
      <c r="G1019" t="s">
        <v>571</v>
      </c>
      <c r="H1019" t="s">
        <v>602</v>
      </c>
      <c r="I1019" t="s">
        <v>603</v>
      </c>
      <c r="J1019">
        <v>1</v>
      </c>
      <c r="K1019" t="s">
        <v>604</v>
      </c>
      <c r="L1019">
        <v>48.27</v>
      </c>
      <c r="M1019">
        <f t="shared" si="15"/>
        <v>48.27</v>
      </c>
    </row>
    <row r="1020" spans="3:13">
      <c r="C1020" t="s">
        <v>266</v>
      </c>
      <c r="D1020" t="s">
        <v>268</v>
      </c>
      <c r="E1020" t="s">
        <v>523</v>
      </c>
      <c r="F1020" t="s">
        <v>67</v>
      </c>
      <c r="G1020" t="s">
        <v>576</v>
      </c>
      <c r="H1020" t="s">
        <v>660</v>
      </c>
      <c r="I1020" t="s">
        <v>661</v>
      </c>
      <c r="J1020">
        <v>1</v>
      </c>
      <c r="K1020" t="s">
        <v>554</v>
      </c>
      <c r="L1020">
        <v>48</v>
      </c>
      <c r="M1020">
        <f t="shared" si="15"/>
        <v>48</v>
      </c>
    </row>
    <row r="1021" spans="3:13">
      <c r="C1021" t="s">
        <v>266</v>
      </c>
      <c r="D1021" t="s">
        <v>268</v>
      </c>
      <c r="E1021" t="s">
        <v>523</v>
      </c>
      <c r="F1021" t="s">
        <v>67</v>
      </c>
      <c r="G1021" t="s">
        <v>662</v>
      </c>
      <c r="H1021" t="s">
        <v>663</v>
      </c>
      <c r="I1021" t="s">
        <v>664</v>
      </c>
      <c r="J1021">
        <v>1</v>
      </c>
      <c r="K1021" t="s">
        <v>641</v>
      </c>
      <c r="L1021">
        <v>288</v>
      </c>
      <c r="M1021">
        <f t="shared" si="15"/>
        <v>288</v>
      </c>
    </row>
    <row r="1022" spans="3:13">
      <c r="C1022" t="s">
        <v>266</v>
      </c>
      <c r="D1022" t="s">
        <v>268</v>
      </c>
      <c r="E1022" t="s">
        <v>523</v>
      </c>
      <c r="F1022" t="s">
        <v>611</v>
      </c>
      <c r="G1022" t="s">
        <v>544</v>
      </c>
      <c r="H1022" t="s">
        <v>612</v>
      </c>
      <c r="I1022" t="s">
        <v>613</v>
      </c>
      <c r="J1022">
        <v>1</v>
      </c>
      <c r="K1022" t="s">
        <v>595</v>
      </c>
      <c r="L1022">
        <v>290</v>
      </c>
      <c r="M1022">
        <f t="shared" si="15"/>
        <v>290</v>
      </c>
    </row>
    <row r="1023" spans="3:13">
      <c r="C1023" t="s">
        <v>266</v>
      </c>
      <c r="D1023" t="s">
        <v>268</v>
      </c>
      <c r="E1023" t="s">
        <v>523</v>
      </c>
      <c r="F1023" t="s">
        <v>611</v>
      </c>
      <c r="G1023" t="s">
        <v>571</v>
      </c>
      <c r="H1023" t="s">
        <v>614</v>
      </c>
      <c r="I1023" t="s">
        <v>615</v>
      </c>
      <c r="J1023">
        <v>1</v>
      </c>
      <c r="K1023" t="s">
        <v>554</v>
      </c>
      <c r="L1023">
        <v>100</v>
      </c>
      <c r="M1023">
        <f t="shared" si="15"/>
        <v>100</v>
      </c>
    </row>
    <row r="1024" spans="3:13">
      <c r="C1024" t="s">
        <v>266</v>
      </c>
      <c r="D1024" t="s">
        <v>268</v>
      </c>
      <c r="E1024" t="s">
        <v>523</v>
      </c>
      <c r="F1024" t="s">
        <v>611</v>
      </c>
      <c r="G1024" t="s">
        <v>561</v>
      </c>
      <c r="H1024" t="s">
        <v>616</v>
      </c>
      <c r="I1024" t="s">
        <v>617</v>
      </c>
      <c r="J1024">
        <v>1</v>
      </c>
      <c r="K1024" t="s">
        <v>618</v>
      </c>
      <c r="L1024">
        <v>55</v>
      </c>
      <c r="M1024">
        <f t="shared" si="15"/>
        <v>55</v>
      </c>
    </row>
    <row r="1025" spans="3:13">
      <c r="C1025" t="s">
        <v>266</v>
      </c>
      <c r="D1025" t="s">
        <v>268</v>
      </c>
      <c r="E1025" t="s">
        <v>523</v>
      </c>
      <c r="F1025" t="s">
        <v>611</v>
      </c>
      <c r="G1025" t="s">
        <v>576</v>
      </c>
      <c r="H1025" t="s">
        <v>619</v>
      </c>
      <c r="I1025" t="s">
        <v>620</v>
      </c>
      <c r="J1025">
        <v>1</v>
      </c>
      <c r="K1025" t="s">
        <v>554</v>
      </c>
      <c r="L1025">
        <v>66.26</v>
      </c>
      <c r="M1025">
        <f t="shared" si="15"/>
        <v>66.26</v>
      </c>
    </row>
    <row r="1026" spans="3:13">
      <c r="C1026" t="s">
        <v>266</v>
      </c>
      <c r="D1026" t="s">
        <v>268</v>
      </c>
      <c r="E1026" t="s">
        <v>523</v>
      </c>
      <c r="F1026" t="s">
        <v>611</v>
      </c>
      <c r="G1026" t="s">
        <v>621</v>
      </c>
      <c r="H1026" t="s">
        <v>622</v>
      </c>
      <c r="I1026" t="s">
        <v>623</v>
      </c>
      <c r="J1026">
        <v>1</v>
      </c>
      <c r="K1026" t="s">
        <v>554</v>
      </c>
      <c r="L1026">
        <v>101</v>
      </c>
      <c r="M1026">
        <f t="shared" si="15"/>
        <v>101</v>
      </c>
    </row>
    <row r="1027" spans="3:13">
      <c r="C1027" t="s">
        <v>266</v>
      </c>
      <c r="D1027" t="s">
        <v>268</v>
      </c>
      <c r="E1027" t="s">
        <v>523</v>
      </c>
      <c r="F1027" t="s">
        <v>611</v>
      </c>
      <c r="G1027" t="s">
        <v>621</v>
      </c>
      <c r="H1027" t="s">
        <v>624</v>
      </c>
      <c r="I1027" t="s">
        <v>625</v>
      </c>
      <c r="J1027">
        <v>1</v>
      </c>
      <c r="K1027" t="s">
        <v>554</v>
      </c>
      <c r="L1027">
        <v>418</v>
      </c>
      <c r="M1027">
        <f t="shared" si="15"/>
        <v>418</v>
      </c>
    </row>
    <row r="1028" spans="3:13">
      <c r="C1028" t="s">
        <v>266</v>
      </c>
      <c r="D1028" t="s">
        <v>268</v>
      </c>
      <c r="E1028" t="s">
        <v>523</v>
      </c>
      <c r="F1028" t="s">
        <v>611</v>
      </c>
      <c r="G1028" t="s">
        <v>621</v>
      </c>
      <c r="H1028" t="s">
        <v>626</v>
      </c>
      <c r="I1028" t="s">
        <v>627</v>
      </c>
      <c r="J1028">
        <v>1</v>
      </c>
      <c r="K1028" t="s">
        <v>554</v>
      </c>
      <c r="L1028">
        <v>37</v>
      </c>
      <c r="M1028">
        <f t="shared" si="15"/>
        <v>37</v>
      </c>
    </row>
    <row r="1029" spans="3:13">
      <c r="C1029" t="s">
        <v>266</v>
      </c>
      <c r="D1029" t="s">
        <v>268</v>
      </c>
      <c r="E1029" t="s">
        <v>523</v>
      </c>
      <c r="F1029" t="s">
        <v>611</v>
      </c>
      <c r="G1029" t="s">
        <v>571</v>
      </c>
      <c r="H1029" t="s">
        <v>628</v>
      </c>
      <c r="I1029" t="s">
        <v>629</v>
      </c>
      <c r="J1029">
        <v>1</v>
      </c>
      <c r="K1029" t="s">
        <v>604</v>
      </c>
      <c r="L1029">
        <v>370</v>
      </c>
      <c r="M1029">
        <f t="shared" si="15"/>
        <v>370</v>
      </c>
    </row>
    <row r="1030" spans="3:13">
      <c r="C1030" t="s">
        <v>266</v>
      </c>
      <c r="D1030" t="s">
        <v>268</v>
      </c>
      <c r="E1030" t="s">
        <v>523</v>
      </c>
      <c r="F1030" t="s">
        <v>611</v>
      </c>
      <c r="G1030" t="s">
        <v>551</v>
      </c>
      <c r="H1030" t="s">
        <v>630</v>
      </c>
      <c r="I1030" t="s">
        <v>631</v>
      </c>
      <c r="J1030">
        <v>1</v>
      </c>
      <c r="K1030" t="s">
        <v>566</v>
      </c>
      <c r="L1030">
        <v>4.7</v>
      </c>
      <c r="M1030">
        <f t="shared" si="15"/>
        <v>4.7</v>
      </c>
    </row>
    <row r="1031" spans="3:13">
      <c r="C1031" t="s">
        <v>266</v>
      </c>
      <c r="D1031" t="s">
        <v>268</v>
      </c>
      <c r="E1031" t="s">
        <v>523</v>
      </c>
      <c r="F1031" t="s">
        <v>611</v>
      </c>
      <c r="G1031" t="s">
        <v>621</v>
      </c>
      <c r="H1031" t="s">
        <v>632</v>
      </c>
      <c r="I1031" t="s">
        <v>633</v>
      </c>
      <c r="J1031">
        <v>1</v>
      </c>
      <c r="K1031" t="s">
        <v>601</v>
      </c>
      <c r="L1031">
        <v>370</v>
      </c>
      <c r="M1031">
        <f t="shared" si="15"/>
        <v>370</v>
      </c>
    </row>
    <row r="1032" spans="3:13">
      <c r="C1032" t="s">
        <v>266</v>
      </c>
      <c r="D1032" t="s">
        <v>268</v>
      </c>
      <c r="E1032" t="s">
        <v>523</v>
      </c>
      <c r="F1032" t="s">
        <v>611</v>
      </c>
      <c r="G1032" t="s">
        <v>621</v>
      </c>
      <c r="H1032" t="s">
        <v>634</v>
      </c>
      <c r="I1032" t="s">
        <v>635</v>
      </c>
      <c r="J1032">
        <v>1</v>
      </c>
      <c r="K1032" t="s">
        <v>554</v>
      </c>
      <c r="L1032">
        <v>39.5</v>
      </c>
      <c r="M1032">
        <f t="shared" si="15"/>
        <v>39.5</v>
      </c>
    </row>
    <row r="1033" spans="3:13">
      <c r="C1033" t="s">
        <v>266</v>
      </c>
      <c r="D1033" t="s">
        <v>268</v>
      </c>
      <c r="E1033" t="s">
        <v>523</v>
      </c>
      <c r="F1033" t="s">
        <v>611</v>
      </c>
      <c r="G1033" t="s">
        <v>583</v>
      </c>
      <c r="H1033" t="s">
        <v>636</v>
      </c>
      <c r="I1033" t="s">
        <v>637</v>
      </c>
      <c r="J1033">
        <v>1</v>
      </c>
      <c r="K1033" t="s">
        <v>554</v>
      </c>
      <c r="L1033">
        <v>41</v>
      </c>
      <c r="M1033">
        <f t="shared" si="15"/>
        <v>41</v>
      </c>
    </row>
    <row r="1034" spans="3:13">
      <c r="C1034" t="s">
        <v>266</v>
      </c>
      <c r="D1034" t="s">
        <v>268</v>
      </c>
      <c r="E1034" t="s">
        <v>523</v>
      </c>
      <c r="F1034" t="s">
        <v>611</v>
      </c>
      <c r="G1034" t="s">
        <v>621</v>
      </c>
      <c r="H1034" t="s">
        <v>638</v>
      </c>
      <c r="I1034" t="s">
        <v>639</v>
      </c>
      <c r="J1034">
        <v>1</v>
      </c>
      <c r="K1034" t="s">
        <v>554</v>
      </c>
      <c r="L1034">
        <v>17.2</v>
      </c>
      <c r="M1034">
        <f t="shared" ref="M1034:M1097" si="16">J1034*L1034</f>
        <v>17.2</v>
      </c>
    </row>
    <row r="1035" spans="3:13">
      <c r="C1035" t="s">
        <v>266</v>
      </c>
      <c r="D1035" t="s">
        <v>268</v>
      </c>
      <c r="E1035" t="s">
        <v>524</v>
      </c>
      <c r="F1035" t="s">
        <v>543</v>
      </c>
      <c r="G1035" t="s">
        <v>544</v>
      </c>
      <c r="H1035" t="s">
        <v>545</v>
      </c>
      <c r="I1035" t="s">
        <v>546</v>
      </c>
      <c r="J1035">
        <v>1</v>
      </c>
      <c r="K1035" t="s">
        <v>547</v>
      </c>
      <c r="L1035">
        <v>920</v>
      </c>
      <c r="M1035">
        <f t="shared" si="16"/>
        <v>920</v>
      </c>
    </row>
    <row r="1036" spans="3:13">
      <c r="C1036" t="s">
        <v>266</v>
      </c>
      <c r="D1036" t="s">
        <v>268</v>
      </c>
      <c r="E1036" t="s">
        <v>524</v>
      </c>
      <c r="F1036" t="s">
        <v>543</v>
      </c>
      <c r="G1036" t="s">
        <v>544</v>
      </c>
      <c r="H1036" t="s">
        <v>548</v>
      </c>
      <c r="I1036" t="s">
        <v>549</v>
      </c>
      <c r="J1036">
        <v>1</v>
      </c>
      <c r="K1036" t="s">
        <v>550</v>
      </c>
      <c r="L1036">
        <v>380</v>
      </c>
      <c r="M1036">
        <f t="shared" si="16"/>
        <v>380</v>
      </c>
    </row>
    <row r="1037" spans="3:13">
      <c r="C1037" t="s">
        <v>266</v>
      </c>
      <c r="D1037" t="s">
        <v>268</v>
      </c>
      <c r="E1037" t="s">
        <v>524</v>
      </c>
      <c r="F1037" t="s">
        <v>543</v>
      </c>
      <c r="G1037" t="s">
        <v>551</v>
      </c>
      <c r="H1037" t="s">
        <v>552</v>
      </c>
      <c r="I1037" t="s">
        <v>553</v>
      </c>
      <c r="J1037">
        <v>1</v>
      </c>
      <c r="K1037" t="s">
        <v>554</v>
      </c>
      <c r="L1037">
        <v>14</v>
      </c>
      <c r="M1037">
        <f t="shared" si="16"/>
        <v>14</v>
      </c>
    </row>
    <row r="1038" spans="3:13">
      <c r="C1038" t="s">
        <v>266</v>
      </c>
      <c r="D1038" t="s">
        <v>268</v>
      </c>
      <c r="E1038" t="s">
        <v>524</v>
      </c>
      <c r="F1038" t="s">
        <v>543</v>
      </c>
      <c r="G1038" t="s">
        <v>551</v>
      </c>
      <c r="H1038" t="s">
        <v>555</v>
      </c>
      <c r="I1038" t="s">
        <v>556</v>
      </c>
      <c r="J1038">
        <v>1</v>
      </c>
      <c r="K1038" t="s">
        <v>554</v>
      </c>
      <c r="L1038">
        <v>33</v>
      </c>
      <c r="M1038">
        <f t="shared" si="16"/>
        <v>33</v>
      </c>
    </row>
    <row r="1039" spans="3:13">
      <c r="C1039" t="s">
        <v>266</v>
      </c>
      <c r="D1039" t="s">
        <v>268</v>
      </c>
      <c r="E1039" t="s">
        <v>524</v>
      </c>
      <c r="F1039" t="s">
        <v>557</v>
      </c>
      <c r="G1039" t="s">
        <v>558</v>
      </c>
      <c r="H1039" t="s">
        <v>559</v>
      </c>
      <c r="I1039" t="s">
        <v>560</v>
      </c>
      <c r="J1039">
        <v>1</v>
      </c>
      <c r="K1039" t="s">
        <v>554</v>
      </c>
      <c r="L1039">
        <v>0</v>
      </c>
      <c r="M1039">
        <f t="shared" si="16"/>
        <v>0</v>
      </c>
    </row>
    <row r="1040" spans="3:13">
      <c r="C1040" t="s">
        <v>266</v>
      </c>
      <c r="D1040" t="s">
        <v>268</v>
      </c>
      <c r="E1040" t="s">
        <v>524</v>
      </c>
      <c r="F1040" t="s">
        <v>557</v>
      </c>
      <c r="G1040" t="s">
        <v>561</v>
      </c>
      <c r="H1040" t="s">
        <v>562</v>
      </c>
      <c r="I1040" t="s">
        <v>563</v>
      </c>
      <c r="J1040">
        <v>1</v>
      </c>
      <c r="K1040" t="s">
        <v>554</v>
      </c>
      <c r="L1040">
        <v>13.38</v>
      </c>
      <c r="M1040">
        <f t="shared" si="16"/>
        <v>13.38</v>
      </c>
    </row>
    <row r="1041" spans="3:13">
      <c r="C1041" t="s">
        <v>266</v>
      </c>
      <c r="D1041" t="s">
        <v>268</v>
      </c>
      <c r="E1041" t="s">
        <v>524</v>
      </c>
      <c r="F1041" t="s">
        <v>557</v>
      </c>
      <c r="G1041" t="s">
        <v>561</v>
      </c>
      <c r="H1041" t="s">
        <v>564</v>
      </c>
      <c r="I1041" t="s">
        <v>565</v>
      </c>
      <c r="J1041">
        <v>1</v>
      </c>
      <c r="K1041" t="s">
        <v>566</v>
      </c>
      <c r="L1041">
        <v>26.93</v>
      </c>
      <c r="M1041">
        <f t="shared" si="16"/>
        <v>26.93</v>
      </c>
    </row>
    <row r="1042" spans="3:13">
      <c r="C1042" t="s">
        <v>266</v>
      </c>
      <c r="D1042" t="s">
        <v>268</v>
      </c>
      <c r="E1042" t="s">
        <v>524</v>
      </c>
      <c r="F1042" t="s">
        <v>557</v>
      </c>
      <c r="G1042" t="s">
        <v>561</v>
      </c>
      <c r="H1042" t="s">
        <v>567</v>
      </c>
      <c r="I1042" t="s">
        <v>568</v>
      </c>
      <c r="J1042">
        <v>1</v>
      </c>
      <c r="K1042" t="s">
        <v>566</v>
      </c>
      <c r="L1042">
        <v>23.77</v>
      </c>
      <c r="M1042">
        <f t="shared" si="16"/>
        <v>23.77</v>
      </c>
    </row>
    <row r="1043" spans="3:13">
      <c r="C1043" t="s">
        <v>266</v>
      </c>
      <c r="D1043" t="s">
        <v>268</v>
      </c>
      <c r="E1043" t="s">
        <v>524</v>
      </c>
      <c r="F1043" t="s">
        <v>557</v>
      </c>
      <c r="G1043" t="s">
        <v>561</v>
      </c>
      <c r="H1043" t="s">
        <v>655</v>
      </c>
      <c r="I1043" t="s">
        <v>656</v>
      </c>
      <c r="J1043">
        <v>1</v>
      </c>
      <c r="K1043" t="s">
        <v>554</v>
      </c>
      <c r="L1043">
        <v>7.85</v>
      </c>
      <c r="M1043">
        <f t="shared" si="16"/>
        <v>7.85</v>
      </c>
    </row>
    <row r="1044" spans="3:13">
      <c r="C1044" t="s">
        <v>266</v>
      </c>
      <c r="D1044" t="s">
        <v>268</v>
      </c>
      <c r="E1044" t="s">
        <v>524</v>
      </c>
      <c r="F1044" t="s">
        <v>557</v>
      </c>
      <c r="G1044" t="s">
        <v>561</v>
      </c>
      <c r="H1044" t="s">
        <v>569</v>
      </c>
      <c r="I1044" t="s">
        <v>570</v>
      </c>
      <c r="J1044">
        <v>1</v>
      </c>
      <c r="K1044" t="s">
        <v>554</v>
      </c>
      <c r="L1044">
        <v>47.7</v>
      </c>
      <c r="M1044">
        <f t="shared" si="16"/>
        <v>47.7</v>
      </c>
    </row>
    <row r="1045" spans="3:13">
      <c r="C1045" t="s">
        <v>266</v>
      </c>
      <c r="D1045" t="s">
        <v>268</v>
      </c>
      <c r="E1045" t="s">
        <v>524</v>
      </c>
      <c r="F1045" t="s">
        <v>557</v>
      </c>
      <c r="G1045" t="s">
        <v>571</v>
      </c>
      <c r="H1045" t="s">
        <v>572</v>
      </c>
      <c r="I1045" t="s">
        <v>573</v>
      </c>
      <c r="J1045">
        <v>1</v>
      </c>
      <c r="K1045" t="s">
        <v>554</v>
      </c>
      <c r="L1045">
        <v>1680</v>
      </c>
      <c r="M1045">
        <f t="shared" si="16"/>
        <v>1680</v>
      </c>
    </row>
    <row r="1046" spans="3:13">
      <c r="C1046" t="s">
        <v>266</v>
      </c>
      <c r="D1046" t="s">
        <v>268</v>
      </c>
      <c r="E1046" t="s">
        <v>524</v>
      </c>
      <c r="F1046" t="s">
        <v>557</v>
      </c>
      <c r="G1046" t="s">
        <v>571</v>
      </c>
      <c r="H1046" t="s">
        <v>574</v>
      </c>
      <c r="I1046" t="s">
        <v>575</v>
      </c>
      <c r="J1046">
        <v>1</v>
      </c>
      <c r="K1046" t="s">
        <v>554</v>
      </c>
      <c r="L1046">
        <v>10</v>
      </c>
      <c r="M1046">
        <f t="shared" si="16"/>
        <v>10</v>
      </c>
    </row>
    <row r="1047" spans="3:13">
      <c r="C1047" t="s">
        <v>266</v>
      </c>
      <c r="D1047" t="s">
        <v>268</v>
      </c>
      <c r="E1047" t="s">
        <v>524</v>
      </c>
      <c r="F1047" t="s">
        <v>557</v>
      </c>
      <c r="G1047" t="s">
        <v>576</v>
      </c>
      <c r="H1047" t="s">
        <v>577</v>
      </c>
      <c r="I1047" t="s">
        <v>578</v>
      </c>
      <c r="J1047">
        <v>1</v>
      </c>
      <c r="K1047" t="s">
        <v>554</v>
      </c>
      <c r="L1047">
        <v>93</v>
      </c>
      <c r="M1047">
        <f t="shared" si="16"/>
        <v>93</v>
      </c>
    </row>
    <row r="1048" spans="3:13">
      <c r="C1048" t="s">
        <v>266</v>
      </c>
      <c r="D1048" t="s">
        <v>268</v>
      </c>
      <c r="E1048" t="s">
        <v>524</v>
      </c>
      <c r="F1048" t="s">
        <v>557</v>
      </c>
      <c r="G1048" t="s">
        <v>576</v>
      </c>
      <c r="H1048" t="s">
        <v>579</v>
      </c>
      <c r="I1048" t="s">
        <v>580</v>
      </c>
      <c r="J1048">
        <v>1</v>
      </c>
      <c r="K1048" t="s">
        <v>554</v>
      </c>
      <c r="L1048">
        <v>56</v>
      </c>
      <c r="M1048">
        <f t="shared" si="16"/>
        <v>56</v>
      </c>
    </row>
    <row r="1049" spans="3:13">
      <c r="C1049" t="s">
        <v>266</v>
      </c>
      <c r="D1049" t="s">
        <v>268</v>
      </c>
      <c r="E1049" t="s">
        <v>524</v>
      </c>
      <c r="F1049" t="s">
        <v>557</v>
      </c>
      <c r="G1049" t="s">
        <v>558</v>
      </c>
      <c r="H1049" t="s">
        <v>581</v>
      </c>
      <c r="I1049" t="s">
        <v>582</v>
      </c>
      <c r="J1049">
        <v>1</v>
      </c>
      <c r="K1049" t="s">
        <v>554</v>
      </c>
      <c r="L1049">
        <v>84</v>
      </c>
      <c r="M1049">
        <f t="shared" si="16"/>
        <v>84</v>
      </c>
    </row>
    <row r="1050" spans="3:13">
      <c r="C1050" t="s">
        <v>266</v>
      </c>
      <c r="D1050" t="s">
        <v>268</v>
      </c>
      <c r="E1050" t="s">
        <v>524</v>
      </c>
      <c r="F1050" t="s">
        <v>557</v>
      </c>
      <c r="G1050" t="s">
        <v>583</v>
      </c>
      <c r="H1050" t="s">
        <v>584</v>
      </c>
      <c r="I1050" t="s">
        <v>585</v>
      </c>
      <c r="J1050">
        <v>1</v>
      </c>
      <c r="K1050" t="s">
        <v>554</v>
      </c>
      <c r="L1050">
        <v>165</v>
      </c>
      <c r="M1050">
        <f t="shared" si="16"/>
        <v>165</v>
      </c>
    </row>
    <row r="1051" spans="3:13">
      <c r="C1051" t="s">
        <v>266</v>
      </c>
      <c r="D1051" t="s">
        <v>268</v>
      </c>
      <c r="E1051" t="s">
        <v>524</v>
      </c>
      <c r="F1051" t="s">
        <v>557</v>
      </c>
      <c r="G1051" t="s">
        <v>561</v>
      </c>
      <c r="H1051" t="s">
        <v>586</v>
      </c>
      <c r="I1051" t="s">
        <v>587</v>
      </c>
      <c r="J1051">
        <v>1</v>
      </c>
      <c r="K1051" t="s">
        <v>554</v>
      </c>
      <c r="L1051">
        <v>43</v>
      </c>
      <c r="M1051">
        <f t="shared" si="16"/>
        <v>43</v>
      </c>
    </row>
    <row r="1052" spans="3:13">
      <c r="C1052" t="s">
        <v>266</v>
      </c>
      <c r="D1052" t="s">
        <v>268</v>
      </c>
      <c r="E1052" t="s">
        <v>524</v>
      </c>
      <c r="F1052" t="s">
        <v>557</v>
      </c>
      <c r="G1052" t="s">
        <v>588</v>
      </c>
      <c r="H1052" t="s">
        <v>589</v>
      </c>
      <c r="I1052" t="s">
        <v>590</v>
      </c>
      <c r="J1052">
        <v>1</v>
      </c>
      <c r="K1052" t="s">
        <v>554</v>
      </c>
      <c r="L1052">
        <v>425</v>
      </c>
      <c r="M1052">
        <f t="shared" si="16"/>
        <v>425</v>
      </c>
    </row>
    <row r="1053" spans="3:13">
      <c r="C1053" t="s">
        <v>266</v>
      </c>
      <c r="D1053" t="s">
        <v>268</v>
      </c>
      <c r="E1053" t="s">
        <v>524</v>
      </c>
      <c r="F1053" t="s">
        <v>557</v>
      </c>
      <c r="G1053" t="s">
        <v>561</v>
      </c>
      <c r="H1053" t="s">
        <v>591</v>
      </c>
      <c r="I1053" t="s">
        <v>592</v>
      </c>
      <c r="J1053">
        <v>1</v>
      </c>
      <c r="K1053" t="s">
        <v>554</v>
      </c>
      <c r="L1053">
        <v>77</v>
      </c>
      <c r="M1053">
        <f t="shared" si="16"/>
        <v>77</v>
      </c>
    </row>
    <row r="1054" spans="3:13">
      <c r="C1054" t="s">
        <v>266</v>
      </c>
      <c r="D1054" t="s">
        <v>268</v>
      </c>
      <c r="E1054" t="s">
        <v>524</v>
      </c>
      <c r="F1054" t="s">
        <v>557</v>
      </c>
      <c r="G1054" t="s">
        <v>544</v>
      </c>
      <c r="H1054" t="s">
        <v>593</v>
      </c>
      <c r="I1054" t="s">
        <v>594</v>
      </c>
      <c r="J1054">
        <v>2</v>
      </c>
      <c r="K1054" t="s">
        <v>595</v>
      </c>
      <c r="L1054">
        <v>415</v>
      </c>
      <c r="M1054">
        <f t="shared" si="16"/>
        <v>830</v>
      </c>
    </row>
    <row r="1055" spans="3:13">
      <c r="C1055" t="s">
        <v>266</v>
      </c>
      <c r="D1055" t="s">
        <v>268</v>
      </c>
      <c r="E1055" t="s">
        <v>524</v>
      </c>
      <c r="F1055" t="s">
        <v>557</v>
      </c>
      <c r="G1055" t="s">
        <v>596</v>
      </c>
      <c r="H1055" t="s">
        <v>597</v>
      </c>
      <c r="I1055" t="s">
        <v>640</v>
      </c>
      <c r="J1055">
        <v>2</v>
      </c>
      <c r="K1055" t="s">
        <v>641</v>
      </c>
      <c r="L1055">
        <v>77</v>
      </c>
      <c r="M1055">
        <f t="shared" si="16"/>
        <v>154</v>
      </c>
    </row>
    <row r="1056" spans="3:13">
      <c r="C1056" t="s">
        <v>266</v>
      </c>
      <c r="D1056" t="s">
        <v>268</v>
      </c>
      <c r="E1056" t="s">
        <v>524</v>
      </c>
      <c r="F1056" t="s">
        <v>557</v>
      </c>
      <c r="G1056" t="s">
        <v>561</v>
      </c>
      <c r="H1056" t="s">
        <v>481</v>
      </c>
      <c r="I1056" t="s">
        <v>600</v>
      </c>
      <c r="J1056">
        <v>1</v>
      </c>
      <c r="K1056" t="s">
        <v>601</v>
      </c>
      <c r="L1056">
        <v>44.38</v>
      </c>
      <c r="M1056">
        <f t="shared" si="16"/>
        <v>44.38</v>
      </c>
    </row>
    <row r="1057" spans="3:13">
      <c r="C1057" t="s">
        <v>266</v>
      </c>
      <c r="D1057" t="s">
        <v>268</v>
      </c>
      <c r="E1057" t="s">
        <v>524</v>
      </c>
      <c r="F1057" t="s">
        <v>557</v>
      </c>
      <c r="G1057" t="s">
        <v>571</v>
      </c>
      <c r="H1057" t="s">
        <v>602</v>
      </c>
      <c r="I1057" t="s">
        <v>603</v>
      </c>
      <c r="J1057">
        <v>1</v>
      </c>
      <c r="K1057" t="s">
        <v>604</v>
      </c>
      <c r="L1057">
        <v>48.27</v>
      </c>
      <c r="M1057">
        <f t="shared" si="16"/>
        <v>48.27</v>
      </c>
    </row>
    <row r="1058" spans="3:13">
      <c r="C1058" t="s">
        <v>266</v>
      </c>
      <c r="D1058" t="s">
        <v>268</v>
      </c>
      <c r="E1058" t="s">
        <v>524</v>
      </c>
      <c r="F1058" t="s">
        <v>557</v>
      </c>
      <c r="G1058" t="s">
        <v>561</v>
      </c>
      <c r="H1058" t="s">
        <v>482</v>
      </c>
      <c r="I1058" t="s">
        <v>605</v>
      </c>
      <c r="J1058">
        <v>1</v>
      </c>
      <c r="K1058" t="s">
        <v>566</v>
      </c>
      <c r="L1058">
        <v>15.82</v>
      </c>
      <c r="M1058">
        <f t="shared" si="16"/>
        <v>15.82</v>
      </c>
    </row>
    <row r="1059" spans="3:13">
      <c r="C1059" t="s">
        <v>266</v>
      </c>
      <c r="D1059" t="s">
        <v>268</v>
      </c>
      <c r="E1059" t="s">
        <v>524</v>
      </c>
      <c r="F1059" t="s">
        <v>557</v>
      </c>
      <c r="G1059" t="s">
        <v>561</v>
      </c>
      <c r="H1059" t="s">
        <v>606</v>
      </c>
      <c r="I1059" t="s">
        <v>607</v>
      </c>
      <c r="J1059">
        <v>1</v>
      </c>
      <c r="K1059" t="s">
        <v>550</v>
      </c>
      <c r="L1059">
        <v>4.29</v>
      </c>
      <c r="M1059">
        <f t="shared" si="16"/>
        <v>4.29</v>
      </c>
    </row>
    <row r="1060" spans="3:13">
      <c r="C1060" t="s">
        <v>266</v>
      </c>
      <c r="D1060" t="s">
        <v>268</v>
      </c>
      <c r="E1060" t="s">
        <v>524</v>
      </c>
      <c r="F1060" t="s">
        <v>557</v>
      </c>
      <c r="G1060" t="s">
        <v>561</v>
      </c>
      <c r="H1060" t="s">
        <v>608</v>
      </c>
      <c r="I1060" t="s">
        <v>609</v>
      </c>
      <c r="J1060">
        <v>1</v>
      </c>
      <c r="K1060" t="s">
        <v>610</v>
      </c>
      <c r="L1060">
        <v>58</v>
      </c>
      <c r="M1060">
        <f t="shared" si="16"/>
        <v>58</v>
      </c>
    </row>
    <row r="1061" spans="3:13">
      <c r="C1061" t="s">
        <v>266</v>
      </c>
      <c r="D1061" t="s">
        <v>268</v>
      </c>
      <c r="E1061" t="s">
        <v>524</v>
      </c>
      <c r="F1061" t="s">
        <v>611</v>
      </c>
      <c r="G1061" t="s">
        <v>544</v>
      </c>
      <c r="H1061" t="s">
        <v>612</v>
      </c>
      <c r="I1061" t="s">
        <v>613</v>
      </c>
      <c r="J1061">
        <v>1</v>
      </c>
      <c r="K1061" t="s">
        <v>595</v>
      </c>
      <c r="L1061">
        <v>290</v>
      </c>
      <c r="M1061">
        <f t="shared" si="16"/>
        <v>290</v>
      </c>
    </row>
    <row r="1062" spans="3:13">
      <c r="C1062" t="s">
        <v>266</v>
      </c>
      <c r="D1062" t="s">
        <v>268</v>
      </c>
      <c r="E1062" t="s">
        <v>524</v>
      </c>
      <c r="F1062" t="s">
        <v>611</v>
      </c>
      <c r="G1062" t="s">
        <v>571</v>
      </c>
      <c r="H1062" t="s">
        <v>614</v>
      </c>
      <c r="I1062" t="s">
        <v>615</v>
      </c>
      <c r="J1062">
        <v>1</v>
      </c>
      <c r="K1062" t="s">
        <v>554</v>
      </c>
      <c r="L1062">
        <v>100</v>
      </c>
      <c r="M1062">
        <f t="shared" si="16"/>
        <v>100</v>
      </c>
    </row>
    <row r="1063" spans="3:13">
      <c r="C1063" t="s">
        <v>266</v>
      </c>
      <c r="D1063" t="s">
        <v>268</v>
      </c>
      <c r="E1063" t="s">
        <v>524</v>
      </c>
      <c r="F1063" t="s">
        <v>611</v>
      </c>
      <c r="G1063" t="s">
        <v>561</v>
      </c>
      <c r="H1063" t="s">
        <v>616</v>
      </c>
      <c r="I1063" t="s">
        <v>617</v>
      </c>
      <c r="J1063">
        <v>1</v>
      </c>
      <c r="K1063" t="s">
        <v>618</v>
      </c>
      <c r="L1063">
        <v>55</v>
      </c>
      <c r="M1063">
        <f t="shared" si="16"/>
        <v>55</v>
      </c>
    </row>
    <row r="1064" spans="3:13">
      <c r="C1064" t="s">
        <v>266</v>
      </c>
      <c r="D1064" t="s">
        <v>268</v>
      </c>
      <c r="E1064" t="s">
        <v>524</v>
      </c>
      <c r="F1064" t="s">
        <v>611</v>
      </c>
      <c r="G1064" t="s">
        <v>576</v>
      </c>
      <c r="H1064" t="s">
        <v>619</v>
      </c>
      <c r="I1064" t="s">
        <v>620</v>
      </c>
      <c r="J1064">
        <v>1</v>
      </c>
      <c r="K1064" t="s">
        <v>554</v>
      </c>
      <c r="L1064">
        <v>66.26</v>
      </c>
      <c r="M1064">
        <f t="shared" si="16"/>
        <v>66.26</v>
      </c>
    </row>
    <row r="1065" spans="3:13">
      <c r="C1065" t="s">
        <v>266</v>
      </c>
      <c r="D1065" t="s">
        <v>268</v>
      </c>
      <c r="E1065" t="s">
        <v>524</v>
      </c>
      <c r="F1065" t="s">
        <v>611</v>
      </c>
      <c r="G1065" t="s">
        <v>621</v>
      </c>
      <c r="H1065" t="s">
        <v>622</v>
      </c>
      <c r="I1065" t="s">
        <v>623</v>
      </c>
      <c r="J1065">
        <v>1</v>
      </c>
      <c r="K1065" t="s">
        <v>554</v>
      </c>
      <c r="L1065">
        <v>101</v>
      </c>
      <c r="M1065">
        <f t="shared" si="16"/>
        <v>101</v>
      </c>
    </row>
    <row r="1066" spans="3:13">
      <c r="C1066" t="s">
        <v>266</v>
      </c>
      <c r="D1066" t="s">
        <v>268</v>
      </c>
      <c r="E1066" t="s">
        <v>524</v>
      </c>
      <c r="F1066" t="s">
        <v>611</v>
      </c>
      <c r="G1066" t="s">
        <v>621</v>
      </c>
      <c r="H1066" t="s">
        <v>624</v>
      </c>
      <c r="I1066" t="s">
        <v>625</v>
      </c>
      <c r="J1066">
        <v>1</v>
      </c>
      <c r="K1066" t="s">
        <v>554</v>
      </c>
      <c r="L1066">
        <v>418</v>
      </c>
      <c r="M1066">
        <f t="shared" si="16"/>
        <v>418</v>
      </c>
    </row>
    <row r="1067" spans="3:13">
      <c r="C1067" t="s">
        <v>266</v>
      </c>
      <c r="D1067" t="s">
        <v>268</v>
      </c>
      <c r="E1067" t="s">
        <v>524</v>
      </c>
      <c r="F1067" t="s">
        <v>611</v>
      </c>
      <c r="G1067" t="s">
        <v>621</v>
      </c>
      <c r="H1067" t="s">
        <v>626</v>
      </c>
      <c r="I1067" t="s">
        <v>627</v>
      </c>
      <c r="J1067">
        <v>1</v>
      </c>
      <c r="K1067" t="s">
        <v>554</v>
      </c>
      <c r="L1067">
        <v>37</v>
      </c>
      <c r="M1067">
        <f t="shared" si="16"/>
        <v>37</v>
      </c>
    </row>
    <row r="1068" spans="3:13">
      <c r="C1068" t="s">
        <v>266</v>
      </c>
      <c r="D1068" t="s">
        <v>268</v>
      </c>
      <c r="E1068" t="s">
        <v>524</v>
      </c>
      <c r="F1068" t="s">
        <v>611</v>
      </c>
      <c r="G1068" t="s">
        <v>571</v>
      </c>
      <c r="H1068" t="s">
        <v>628</v>
      </c>
      <c r="I1068" t="s">
        <v>629</v>
      </c>
      <c r="J1068">
        <v>1</v>
      </c>
      <c r="K1068" t="s">
        <v>604</v>
      </c>
      <c r="L1068">
        <v>370</v>
      </c>
      <c r="M1068">
        <f t="shared" si="16"/>
        <v>370</v>
      </c>
    </row>
    <row r="1069" spans="3:13">
      <c r="C1069" t="s">
        <v>266</v>
      </c>
      <c r="D1069" t="s">
        <v>268</v>
      </c>
      <c r="E1069" t="s">
        <v>524</v>
      </c>
      <c r="F1069" t="s">
        <v>611</v>
      </c>
      <c r="G1069" t="s">
        <v>551</v>
      </c>
      <c r="H1069" t="s">
        <v>630</v>
      </c>
      <c r="I1069" t="s">
        <v>631</v>
      </c>
      <c r="J1069">
        <v>1</v>
      </c>
      <c r="K1069" t="s">
        <v>566</v>
      </c>
      <c r="L1069">
        <v>4.7</v>
      </c>
      <c r="M1069">
        <f t="shared" si="16"/>
        <v>4.7</v>
      </c>
    </row>
    <row r="1070" spans="3:13">
      <c r="C1070" t="s">
        <v>266</v>
      </c>
      <c r="D1070" t="s">
        <v>268</v>
      </c>
      <c r="E1070" t="s">
        <v>524</v>
      </c>
      <c r="F1070" t="s">
        <v>611</v>
      </c>
      <c r="G1070" t="s">
        <v>621</v>
      </c>
      <c r="H1070" t="s">
        <v>632</v>
      </c>
      <c r="I1070" t="s">
        <v>633</v>
      </c>
      <c r="J1070">
        <v>1</v>
      </c>
      <c r="K1070" t="s">
        <v>601</v>
      </c>
      <c r="L1070">
        <v>370</v>
      </c>
      <c r="M1070">
        <f t="shared" si="16"/>
        <v>370</v>
      </c>
    </row>
    <row r="1071" spans="3:13">
      <c r="C1071" t="s">
        <v>266</v>
      </c>
      <c r="D1071" t="s">
        <v>268</v>
      </c>
      <c r="E1071" t="s">
        <v>524</v>
      </c>
      <c r="F1071" t="s">
        <v>611</v>
      </c>
      <c r="G1071" t="s">
        <v>621</v>
      </c>
      <c r="H1071" t="s">
        <v>634</v>
      </c>
      <c r="I1071" t="s">
        <v>635</v>
      </c>
      <c r="J1071">
        <v>1</v>
      </c>
      <c r="K1071" t="s">
        <v>554</v>
      </c>
      <c r="L1071">
        <v>39.5</v>
      </c>
      <c r="M1071">
        <f t="shared" si="16"/>
        <v>39.5</v>
      </c>
    </row>
    <row r="1072" spans="3:13">
      <c r="C1072" t="s">
        <v>266</v>
      </c>
      <c r="D1072" t="s">
        <v>268</v>
      </c>
      <c r="E1072" t="s">
        <v>524</v>
      </c>
      <c r="F1072" t="s">
        <v>611</v>
      </c>
      <c r="G1072" t="s">
        <v>583</v>
      </c>
      <c r="H1072" t="s">
        <v>636</v>
      </c>
      <c r="I1072" t="s">
        <v>637</v>
      </c>
      <c r="J1072">
        <v>1</v>
      </c>
      <c r="K1072" t="s">
        <v>554</v>
      </c>
      <c r="L1072">
        <v>41</v>
      </c>
      <c r="M1072">
        <f t="shared" si="16"/>
        <v>41</v>
      </c>
    </row>
    <row r="1073" spans="3:13">
      <c r="C1073" t="s">
        <v>266</v>
      </c>
      <c r="D1073" t="s">
        <v>268</v>
      </c>
      <c r="E1073" t="s">
        <v>524</v>
      </c>
      <c r="F1073" t="s">
        <v>611</v>
      </c>
      <c r="G1073" t="s">
        <v>621</v>
      </c>
      <c r="H1073" t="s">
        <v>638</v>
      </c>
      <c r="I1073" t="s">
        <v>639</v>
      </c>
      <c r="J1073">
        <v>1</v>
      </c>
      <c r="K1073" t="s">
        <v>554</v>
      </c>
      <c r="L1073">
        <v>17.2</v>
      </c>
      <c r="M1073">
        <f t="shared" si="16"/>
        <v>17.2</v>
      </c>
    </row>
    <row r="1074" spans="3:13">
      <c r="C1074" t="s">
        <v>266</v>
      </c>
      <c r="D1074" t="s">
        <v>268</v>
      </c>
      <c r="E1074" t="s">
        <v>525</v>
      </c>
      <c r="F1074" t="s">
        <v>543</v>
      </c>
      <c r="G1074" t="s">
        <v>544</v>
      </c>
      <c r="H1074" t="s">
        <v>545</v>
      </c>
      <c r="I1074" t="s">
        <v>546</v>
      </c>
      <c r="J1074">
        <v>1</v>
      </c>
      <c r="K1074" t="s">
        <v>547</v>
      </c>
      <c r="L1074">
        <v>920</v>
      </c>
      <c r="M1074">
        <f t="shared" si="16"/>
        <v>920</v>
      </c>
    </row>
    <row r="1075" spans="3:13">
      <c r="C1075" t="s">
        <v>266</v>
      </c>
      <c r="D1075" t="s">
        <v>268</v>
      </c>
      <c r="E1075" t="s">
        <v>525</v>
      </c>
      <c r="F1075" t="s">
        <v>543</v>
      </c>
      <c r="G1075" t="s">
        <v>544</v>
      </c>
      <c r="H1075" t="s">
        <v>548</v>
      </c>
      <c r="I1075" t="s">
        <v>549</v>
      </c>
      <c r="J1075">
        <v>1</v>
      </c>
      <c r="K1075" t="s">
        <v>550</v>
      </c>
      <c r="L1075">
        <v>380</v>
      </c>
      <c r="M1075">
        <f t="shared" si="16"/>
        <v>380</v>
      </c>
    </row>
    <row r="1076" spans="3:13">
      <c r="C1076" t="s">
        <v>266</v>
      </c>
      <c r="D1076" t="s">
        <v>268</v>
      </c>
      <c r="E1076" t="s">
        <v>525</v>
      </c>
      <c r="F1076" t="s">
        <v>543</v>
      </c>
      <c r="G1076" t="s">
        <v>551</v>
      </c>
      <c r="H1076" t="s">
        <v>552</v>
      </c>
      <c r="I1076" t="s">
        <v>553</v>
      </c>
      <c r="J1076">
        <v>1</v>
      </c>
      <c r="K1076" t="s">
        <v>554</v>
      </c>
      <c r="L1076">
        <v>14</v>
      </c>
      <c r="M1076">
        <f t="shared" si="16"/>
        <v>14</v>
      </c>
    </row>
    <row r="1077" spans="3:13">
      <c r="C1077" t="s">
        <v>266</v>
      </c>
      <c r="D1077" t="s">
        <v>268</v>
      </c>
      <c r="E1077" t="s">
        <v>525</v>
      </c>
      <c r="F1077" t="s">
        <v>543</v>
      </c>
      <c r="G1077" t="s">
        <v>551</v>
      </c>
      <c r="H1077" t="s">
        <v>555</v>
      </c>
      <c r="I1077" t="s">
        <v>556</v>
      </c>
      <c r="J1077">
        <v>1</v>
      </c>
      <c r="K1077" t="s">
        <v>554</v>
      </c>
      <c r="L1077">
        <v>33</v>
      </c>
      <c r="M1077">
        <f t="shared" si="16"/>
        <v>33</v>
      </c>
    </row>
    <row r="1078" spans="3:13">
      <c r="C1078" t="s">
        <v>266</v>
      </c>
      <c r="D1078" t="s">
        <v>268</v>
      </c>
      <c r="E1078" t="s">
        <v>525</v>
      </c>
      <c r="F1078" t="s">
        <v>557</v>
      </c>
      <c r="G1078" t="s">
        <v>558</v>
      </c>
      <c r="H1078" t="s">
        <v>559</v>
      </c>
      <c r="I1078" t="s">
        <v>560</v>
      </c>
      <c r="J1078">
        <v>1</v>
      </c>
      <c r="K1078" t="s">
        <v>554</v>
      </c>
      <c r="L1078">
        <v>0</v>
      </c>
      <c r="M1078">
        <f t="shared" si="16"/>
        <v>0</v>
      </c>
    </row>
    <row r="1079" spans="3:13">
      <c r="C1079" t="s">
        <v>266</v>
      </c>
      <c r="D1079" t="s">
        <v>268</v>
      </c>
      <c r="E1079" t="s">
        <v>525</v>
      </c>
      <c r="F1079" t="s">
        <v>557</v>
      </c>
      <c r="G1079" t="s">
        <v>561</v>
      </c>
      <c r="H1079" t="s">
        <v>562</v>
      </c>
      <c r="I1079" t="s">
        <v>563</v>
      </c>
      <c r="J1079">
        <v>1</v>
      </c>
      <c r="K1079" t="s">
        <v>554</v>
      </c>
      <c r="L1079">
        <v>13.38</v>
      </c>
      <c r="M1079">
        <f t="shared" si="16"/>
        <v>13.38</v>
      </c>
    </row>
    <row r="1080" spans="3:13">
      <c r="C1080" t="s">
        <v>266</v>
      </c>
      <c r="D1080" t="s">
        <v>268</v>
      </c>
      <c r="E1080" t="s">
        <v>525</v>
      </c>
      <c r="F1080" t="s">
        <v>557</v>
      </c>
      <c r="G1080" t="s">
        <v>561</v>
      </c>
      <c r="H1080" t="s">
        <v>564</v>
      </c>
      <c r="I1080" t="s">
        <v>565</v>
      </c>
      <c r="J1080">
        <v>1</v>
      </c>
      <c r="K1080" t="s">
        <v>566</v>
      </c>
      <c r="L1080">
        <v>26.93</v>
      </c>
      <c r="M1080">
        <f t="shared" si="16"/>
        <v>26.93</v>
      </c>
    </row>
    <row r="1081" spans="3:13">
      <c r="C1081" t="s">
        <v>266</v>
      </c>
      <c r="D1081" t="s">
        <v>268</v>
      </c>
      <c r="E1081" t="s">
        <v>525</v>
      </c>
      <c r="F1081" t="s">
        <v>557</v>
      </c>
      <c r="G1081" t="s">
        <v>561</v>
      </c>
      <c r="H1081" t="s">
        <v>567</v>
      </c>
      <c r="I1081" t="s">
        <v>568</v>
      </c>
      <c r="J1081">
        <v>1</v>
      </c>
      <c r="K1081" t="s">
        <v>566</v>
      </c>
      <c r="L1081">
        <v>23.77</v>
      </c>
      <c r="M1081">
        <f t="shared" si="16"/>
        <v>23.77</v>
      </c>
    </row>
    <row r="1082" spans="3:13">
      <c r="C1082" t="s">
        <v>266</v>
      </c>
      <c r="D1082" t="s">
        <v>268</v>
      </c>
      <c r="E1082" t="s">
        <v>525</v>
      </c>
      <c r="F1082" t="s">
        <v>557</v>
      </c>
      <c r="G1082" t="s">
        <v>561</v>
      </c>
      <c r="H1082" t="s">
        <v>569</v>
      </c>
      <c r="I1082" t="s">
        <v>570</v>
      </c>
      <c r="J1082">
        <v>1</v>
      </c>
      <c r="K1082" t="s">
        <v>554</v>
      </c>
      <c r="L1082">
        <v>47.7</v>
      </c>
      <c r="M1082">
        <f t="shared" si="16"/>
        <v>47.7</v>
      </c>
    </row>
    <row r="1083" spans="3:13">
      <c r="C1083" t="s">
        <v>266</v>
      </c>
      <c r="D1083" t="s">
        <v>268</v>
      </c>
      <c r="E1083" t="s">
        <v>525</v>
      </c>
      <c r="F1083" t="s">
        <v>557</v>
      </c>
      <c r="G1083" t="s">
        <v>571</v>
      </c>
      <c r="H1083" t="s">
        <v>572</v>
      </c>
      <c r="I1083" t="s">
        <v>573</v>
      </c>
      <c r="J1083">
        <v>1</v>
      </c>
      <c r="K1083" t="s">
        <v>554</v>
      </c>
      <c r="L1083">
        <v>1680</v>
      </c>
      <c r="M1083">
        <f t="shared" si="16"/>
        <v>1680</v>
      </c>
    </row>
    <row r="1084" spans="3:13">
      <c r="C1084" t="s">
        <v>266</v>
      </c>
      <c r="D1084" t="s">
        <v>268</v>
      </c>
      <c r="E1084" t="s">
        <v>525</v>
      </c>
      <c r="F1084" t="s">
        <v>557</v>
      </c>
      <c r="G1084" t="s">
        <v>571</v>
      </c>
      <c r="H1084" t="s">
        <v>574</v>
      </c>
      <c r="I1084" t="s">
        <v>575</v>
      </c>
      <c r="J1084">
        <v>1</v>
      </c>
      <c r="K1084" t="s">
        <v>554</v>
      </c>
      <c r="L1084">
        <v>10</v>
      </c>
      <c r="M1084">
        <f t="shared" si="16"/>
        <v>10</v>
      </c>
    </row>
    <row r="1085" spans="3:13">
      <c r="C1085" t="s">
        <v>266</v>
      </c>
      <c r="D1085" t="s">
        <v>268</v>
      </c>
      <c r="E1085" t="s">
        <v>525</v>
      </c>
      <c r="F1085" t="s">
        <v>557</v>
      </c>
      <c r="G1085" t="s">
        <v>576</v>
      </c>
      <c r="H1085" t="s">
        <v>577</v>
      </c>
      <c r="I1085" t="s">
        <v>578</v>
      </c>
      <c r="J1085">
        <v>1</v>
      </c>
      <c r="K1085" t="s">
        <v>554</v>
      </c>
      <c r="L1085">
        <v>93</v>
      </c>
      <c r="M1085">
        <f t="shared" si="16"/>
        <v>93</v>
      </c>
    </row>
    <row r="1086" spans="3:13">
      <c r="C1086" t="s">
        <v>266</v>
      </c>
      <c r="D1086" t="s">
        <v>268</v>
      </c>
      <c r="E1086" t="s">
        <v>525</v>
      </c>
      <c r="F1086" t="s">
        <v>557</v>
      </c>
      <c r="G1086" t="s">
        <v>558</v>
      </c>
      <c r="H1086" t="s">
        <v>581</v>
      </c>
      <c r="I1086" t="s">
        <v>582</v>
      </c>
      <c r="J1086">
        <v>1</v>
      </c>
      <c r="K1086" t="s">
        <v>554</v>
      </c>
      <c r="L1086">
        <v>84</v>
      </c>
      <c r="M1086">
        <f t="shared" si="16"/>
        <v>84</v>
      </c>
    </row>
    <row r="1087" spans="3:13">
      <c r="C1087" t="s">
        <v>266</v>
      </c>
      <c r="D1087" t="s">
        <v>268</v>
      </c>
      <c r="E1087" t="s">
        <v>525</v>
      </c>
      <c r="F1087" t="s">
        <v>557</v>
      </c>
      <c r="G1087" t="s">
        <v>583</v>
      </c>
      <c r="H1087" t="s">
        <v>584</v>
      </c>
      <c r="I1087" t="s">
        <v>585</v>
      </c>
      <c r="J1087">
        <v>1</v>
      </c>
      <c r="K1087" t="s">
        <v>554</v>
      </c>
      <c r="L1087">
        <v>165</v>
      </c>
      <c r="M1087">
        <f t="shared" si="16"/>
        <v>165</v>
      </c>
    </row>
    <row r="1088" spans="3:13">
      <c r="C1088" t="s">
        <v>266</v>
      </c>
      <c r="D1088" t="s">
        <v>268</v>
      </c>
      <c r="E1088" t="s">
        <v>525</v>
      </c>
      <c r="F1088" t="s">
        <v>557</v>
      </c>
      <c r="G1088" t="s">
        <v>561</v>
      </c>
      <c r="H1088" t="s">
        <v>586</v>
      </c>
      <c r="I1088" t="s">
        <v>587</v>
      </c>
      <c r="J1088">
        <v>1</v>
      </c>
      <c r="K1088" t="s">
        <v>554</v>
      </c>
      <c r="L1088">
        <v>43</v>
      </c>
      <c r="M1088">
        <f t="shared" si="16"/>
        <v>43</v>
      </c>
    </row>
    <row r="1089" spans="3:13">
      <c r="C1089" t="s">
        <v>266</v>
      </c>
      <c r="D1089" t="s">
        <v>268</v>
      </c>
      <c r="E1089" t="s">
        <v>525</v>
      </c>
      <c r="F1089" t="s">
        <v>557</v>
      </c>
      <c r="G1089" t="s">
        <v>588</v>
      </c>
      <c r="H1089" t="s">
        <v>589</v>
      </c>
      <c r="I1089" t="s">
        <v>590</v>
      </c>
      <c r="J1089">
        <v>1</v>
      </c>
      <c r="K1089" t="s">
        <v>554</v>
      </c>
      <c r="L1089">
        <v>425</v>
      </c>
      <c r="M1089">
        <f t="shared" si="16"/>
        <v>425</v>
      </c>
    </row>
    <row r="1090" spans="3:13">
      <c r="C1090" t="s">
        <v>266</v>
      </c>
      <c r="D1090" t="s">
        <v>268</v>
      </c>
      <c r="E1090" t="s">
        <v>525</v>
      </c>
      <c r="F1090" t="s">
        <v>557</v>
      </c>
      <c r="G1090" t="s">
        <v>561</v>
      </c>
      <c r="H1090" t="s">
        <v>591</v>
      </c>
      <c r="I1090" t="s">
        <v>592</v>
      </c>
      <c r="J1090">
        <v>1</v>
      </c>
      <c r="K1090" t="s">
        <v>554</v>
      </c>
      <c r="L1090">
        <v>77</v>
      </c>
      <c r="M1090">
        <f t="shared" si="16"/>
        <v>77</v>
      </c>
    </row>
    <row r="1091" spans="3:13">
      <c r="C1091" t="s">
        <v>266</v>
      </c>
      <c r="D1091" t="s">
        <v>268</v>
      </c>
      <c r="E1091" t="s">
        <v>525</v>
      </c>
      <c r="F1091" t="s">
        <v>557</v>
      </c>
      <c r="G1091" t="s">
        <v>544</v>
      </c>
      <c r="H1091" t="s">
        <v>593</v>
      </c>
      <c r="I1091" t="s">
        <v>594</v>
      </c>
      <c r="J1091">
        <v>1</v>
      </c>
      <c r="K1091" t="s">
        <v>595</v>
      </c>
      <c r="L1091">
        <v>415</v>
      </c>
      <c r="M1091">
        <f t="shared" si="16"/>
        <v>415</v>
      </c>
    </row>
    <row r="1092" spans="3:13">
      <c r="C1092" t="s">
        <v>266</v>
      </c>
      <c r="D1092" t="s">
        <v>268</v>
      </c>
      <c r="E1092" t="s">
        <v>525</v>
      </c>
      <c r="F1092" t="s">
        <v>557</v>
      </c>
      <c r="G1092" t="s">
        <v>596</v>
      </c>
      <c r="H1092" t="s">
        <v>597</v>
      </c>
      <c r="I1092" t="s">
        <v>598</v>
      </c>
      <c r="J1092">
        <v>1</v>
      </c>
      <c r="K1092" t="s">
        <v>599</v>
      </c>
      <c r="L1092">
        <v>53</v>
      </c>
      <c r="M1092">
        <f t="shared" si="16"/>
        <v>53</v>
      </c>
    </row>
    <row r="1093" spans="3:13">
      <c r="C1093" t="s">
        <v>266</v>
      </c>
      <c r="D1093" t="s">
        <v>268</v>
      </c>
      <c r="E1093" t="s">
        <v>525</v>
      </c>
      <c r="F1093" t="s">
        <v>557</v>
      </c>
      <c r="G1093" t="s">
        <v>561</v>
      </c>
      <c r="H1093" t="s">
        <v>481</v>
      </c>
      <c r="I1093" t="s">
        <v>600</v>
      </c>
      <c r="J1093">
        <v>1</v>
      </c>
      <c r="K1093" t="s">
        <v>601</v>
      </c>
      <c r="L1093">
        <v>44.38</v>
      </c>
      <c r="M1093">
        <f t="shared" si="16"/>
        <v>44.38</v>
      </c>
    </row>
    <row r="1094" spans="3:13">
      <c r="C1094" t="s">
        <v>266</v>
      </c>
      <c r="D1094" t="s">
        <v>268</v>
      </c>
      <c r="E1094" t="s">
        <v>525</v>
      </c>
      <c r="F1094" t="s">
        <v>557</v>
      </c>
      <c r="G1094" t="s">
        <v>571</v>
      </c>
      <c r="H1094" t="s">
        <v>602</v>
      </c>
      <c r="I1094" t="s">
        <v>603</v>
      </c>
      <c r="J1094">
        <v>1</v>
      </c>
      <c r="K1094" t="s">
        <v>604</v>
      </c>
      <c r="L1094">
        <v>48.27</v>
      </c>
      <c r="M1094">
        <f t="shared" si="16"/>
        <v>48.27</v>
      </c>
    </row>
    <row r="1095" spans="3:13">
      <c r="C1095" t="s">
        <v>266</v>
      </c>
      <c r="D1095" t="s">
        <v>268</v>
      </c>
      <c r="E1095" t="s">
        <v>525</v>
      </c>
      <c r="F1095" t="s">
        <v>557</v>
      </c>
      <c r="G1095" t="s">
        <v>561</v>
      </c>
      <c r="H1095" t="s">
        <v>482</v>
      </c>
      <c r="I1095" t="s">
        <v>605</v>
      </c>
      <c r="J1095">
        <v>1</v>
      </c>
      <c r="K1095" t="s">
        <v>566</v>
      </c>
      <c r="L1095">
        <v>15.82</v>
      </c>
      <c r="M1095">
        <f t="shared" si="16"/>
        <v>15.82</v>
      </c>
    </row>
    <row r="1096" spans="3:13">
      <c r="C1096" t="s">
        <v>266</v>
      </c>
      <c r="D1096" t="s">
        <v>268</v>
      </c>
      <c r="E1096" t="s">
        <v>525</v>
      </c>
      <c r="F1096" t="s">
        <v>557</v>
      </c>
      <c r="G1096" t="s">
        <v>561</v>
      </c>
      <c r="H1096" t="s">
        <v>606</v>
      </c>
      <c r="I1096" t="s">
        <v>607</v>
      </c>
      <c r="J1096">
        <v>1</v>
      </c>
      <c r="K1096" t="s">
        <v>550</v>
      </c>
      <c r="L1096">
        <v>4.29</v>
      </c>
      <c r="M1096">
        <f t="shared" si="16"/>
        <v>4.29</v>
      </c>
    </row>
    <row r="1097" spans="3:13">
      <c r="C1097" t="s">
        <v>266</v>
      </c>
      <c r="D1097" t="s">
        <v>268</v>
      </c>
      <c r="E1097" t="s">
        <v>525</v>
      </c>
      <c r="F1097" t="s">
        <v>557</v>
      </c>
      <c r="G1097" t="s">
        <v>561</v>
      </c>
      <c r="H1097" t="s">
        <v>608</v>
      </c>
      <c r="I1097" t="s">
        <v>609</v>
      </c>
      <c r="J1097">
        <v>1</v>
      </c>
      <c r="K1097" t="s">
        <v>610</v>
      </c>
      <c r="L1097">
        <v>58</v>
      </c>
      <c r="M1097">
        <f t="shared" si="16"/>
        <v>58</v>
      </c>
    </row>
    <row r="1098" spans="3:13">
      <c r="C1098" t="s">
        <v>266</v>
      </c>
      <c r="D1098" t="s">
        <v>268</v>
      </c>
      <c r="E1098" t="s">
        <v>525</v>
      </c>
      <c r="F1098" t="s">
        <v>611</v>
      </c>
      <c r="G1098" t="s">
        <v>544</v>
      </c>
      <c r="H1098" t="s">
        <v>612</v>
      </c>
      <c r="I1098" t="s">
        <v>613</v>
      </c>
      <c r="J1098">
        <v>1</v>
      </c>
      <c r="K1098" t="s">
        <v>595</v>
      </c>
      <c r="L1098">
        <v>290</v>
      </c>
      <c r="M1098">
        <f t="shared" ref="M1098:M1112" si="17">J1098*L1098</f>
        <v>290</v>
      </c>
    </row>
    <row r="1099" spans="3:13">
      <c r="C1099" t="s">
        <v>266</v>
      </c>
      <c r="D1099" t="s">
        <v>268</v>
      </c>
      <c r="E1099" t="s">
        <v>525</v>
      </c>
      <c r="F1099" t="s">
        <v>611</v>
      </c>
      <c r="G1099" t="s">
        <v>571</v>
      </c>
      <c r="H1099" t="s">
        <v>614</v>
      </c>
      <c r="I1099" t="s">
        <v>615</v>
      </c>
      <c r="J1099">
        <v>1</v>
      </c>
      <c r="K1099" t="s">
        <v>554</v>
      </c>
      <c r="L1099">
        <v>100</v>
      </c>
      <c r="M1099">
        <f t="shared" si="17"/>
        <v>100</v>
      </c>
    </row>
    <row r="1100" spans="3:13">
      <c r="C1100" t="s">
        <v>266</v>
      </c>
      <c r="D1100" t="s">
        <v>268</v>
      </c>
      <c r="E1100" t="s">
        <v>525</v>
      </c>
      <c r="F1100" t="s">
        <v>611</v>
      </c>
      <c r="G1100" t="s">
        <v>561</v>
      </c>
      <c r="H1100" t="s">
        <v>616</v>
      </c>
      <c r="I1100" t="s">
        <v>617</v>
      </c>
      <c r="J1100">
        <v>1</v>
      </c>
      <c r="K1100" t="s">
        <v>618</v>
      </c>
      <c r="L1100">
        <v>55</v>
      </c>
      <c r="M1100">
        <f t="shared" si="17"/>
        <v>55</v>
      </c>
    </row>
    <row r="1101" spans="3:13">
      <c r="C1101" t="s">
        <v>266</v>
      </c>
      <c r="D1101" t="s">
        <v>268</v>
      </c>
      <c r="E1101" t="s">
        <v>525</v>
      </c>
      <c r="F1101" t="s">
        <v>611</v>
      </c>
      <c r="G1101" t="s">
        <v>576</v>
      </c>
      <c r="H1101" t="s">
        <v>619</v>
      </c>
      <c r="I1101" t="s">
        <v>620</v>
      </c>
      <c r="J1101">
        <v>1</v>
      </c>
      <c r="K1101" t="s">
        <v>554</v>
      </c>
      <c r="L1101">
        <v>66.26</v>
      </c>
      <c r="M1101">
        <f t="shared" si="17"/>
        <v>66.26</v>
      </c>
    </row>
    <row r="1102" spans="3:13">
      <c r="C1102" t="s">
        <v>266</v>
      </c>
      <c r="D1102" t="s">
        <v>268</v>
      </c>
      <c r="E1102" t="s">
        <v>525</v>
      </c>
      <c r="F1102" t="s">
        <v>611</v>
      </c>
      <c r="G1102" t="s">
        <v>621</v>
      </c>
      <c r="H1102" t="s">
        <v>622</v>
      </c>
      <c r="I1102" t="s">
        <v>623</v>
      </c>
      <c r="J1102">
        <v>1</v>
      </c>
      <c r="K1102" t="s">
        <v>554</v>
      </c>
      <c r="L1102">
        <v>101</v>
      </c>
      <c r="M1102">
        <f t="shared" si="17"/>
        <v>101</v>
      </c>
    </row>
    <row r="1103" spans="3:13">
      <c r="C1103" t="s">
        <v>266</v>
      </c>
      <c r="D1103" t="s">
        <v>268</v>
      </c>
      <c r="E1103" t="s">
        <v>525</v>
      </c>
      <c r="F1103" t="s">
        <v>611</v>
      </c>
      <c r="G1103" t="s">
        <v>621</v>
      </c>
      <c r="H1103" t="s">
        <v>624</v>
      </c>
      <c r="I1103" t="s">
        <v>625</v>
      </c>
      <c r="J1103">
        <v>1</v>
      </c>
      <c r="K1103" t="s">
        <v>554</v>
      </c>
      <c r="L1103">
        <v>418</v>
      </c>
      <c r="M1103">
        <f t="shared" si="17"/>
        <v>418</v>
      </c>
    </row>
    <row r="1104" spans="3:13">
      <c r="C1104" t="s">
        <v>266</v>
      </c>
      <c r="D1104" t="s">
        <v>268</v>
      </c>
      <c r="E1104" t="s">
        <v>525</v>
      </c>
      <c r="F1104" t="s">
        <v>611</v>
      </c>
      <c r="G1104" t="s">
        <v>621</v>
      </c>
      <c r="H1104" t="s">
        <v>626</v>
      </c>
      <c r="I1104" t="s">
        <v>627</v>
      </c>
      <c r="J1104">
        <v>1</v>
      </c>
      <c r="K1104" t="s">
        <v>554</v>
      </c>
      <c r="L1104">
        <v>37</v>
      </c>
      <c r="M1104">
        <f t="shared" si="17"/>
        <v>37</v>
      </c>
    </row>
    <row r="1105" spans="3:13">
      <c r="C1105" t="s">
        <v>266</v>
      </c>
      <c r="D1105" t="s">
        <v>268</v>
      </c>
      <c r="E1105" t="s">
        <v>525</v>
      </c>
      <c r="F1105" t="s">
        <v>611</v>
      </c>
      <c r="G1105" t="s">
        <v>571</v>
      </c>
      <c r="H1105" t="s">
        <v>628</v>
      </c>
      <c r="I1105" t="s">
        <v>629</v>
      </c>
      <c r="J1105">
        <v>1</v>
      </c>
      <c r="K1105" t="s">
        <v>604</v>
      </c>
      <c r="L1105">
        <v>370</v>
      </c>
      <c r="M1105">
        <f t="shared" si="17"/>
        <v>370</v>
      </c>
    </row>
    <row r="1106" spans="3:13">
      <c r="C1106" t="s">
        <v>266</v>
      </c>
      <c r="D1106" t="s">
        <v>268</v>
      </c>
      <c r="E1106" t="s">
        <v>525</v>
      </c>
      <c r="F1106" t="s">
        <v>611</v>
      </c>
      <c r="G1106" t="s">
        <v>551</v>
      </c>
      <c r="H1106" t="s">
        <v>630</v>
      </c>
      <c r="I1106" t="s">
        <v>631</v>
      </c>
      <c r="J1106">
        <v>1</v>
      </c>
      <c r="K1106" t="s">
        <v>566</v>
      </c>
      <c r="L1106">
        <v>4.7</v>
      </c>
      <c r="M1106">
        <f t="shared" si="17"/>
        <v>4.7</v>
      </c>
    </row>
    <row r="1107" spans="3:13">
      <c r="C1107" t="s">
        <v>266</v>
      </c>
      <c r="D1107" t="s">
        <v>268</v>
      </c>
      <c r="E1107" t="s">
        <v>525</v>
      </c>
      <c r="F1107" t="s">
        <v>611</v>
      </c>
      <c r="G1107" t="s">
        <v>621</v>
      </c>
      <c r="H1107" t="s">
        <v>632</v>
      </c>
      <c r="I1107" t="s">
        <v>633</v>
      </c>
      <c r="J1107">
        <v>1</v>
      </c>
      <c r="K1107" t="s">
        <v>601</v>
      </c>
      <c r="L1107">
        <v>370</v>
      </c>
      <c r="M1107">
        <f t="shared" si="17"/>
        <v>370</v>
      </c>
    </row>
    <row r="1108" spans="3:13">
      <c r="C1108" t="s">
        <v>266</v>
      </c>
      <c r="D1108" t="s">
        <v>268</v>
      </c>
      <c r="E1108" t="s">
        <v>525</v>
      </c>
      <c r="F1108" t="s">
        <v>611</v>
      </c>
      <c r="G1108" t="s">
        <v>621</v>
      </c>
      <c r="H1108" t="s">
        <v>634</v>
      </c>
      <c r="I1108" t="s">
        <v>635</v>
      </c>
      <c r="J1108">
        <v>1</v>
      </c>
      <c r="K1108" t="s">
        <v>554</v>
      </c>
      <c r="L1108">
        <v>39.5</v>
      </c>
      <c r="M1108">
        <f t="shared" si="17"/>
        <v>39.5</v>
      </c>
    </row>
    <row r="1109" spans="3:13">
      <c r="C1109" t="s">
        <v>266</v>
      </c>
      <c r="D1109" t="s">
        <v>268</v>
      </c>
      <c r="E1109" t="s">
        <v>525</v>
      </c>
      <c r="F1109" t="s">
        <v>611</v>
      </c>
      <c r="G1109" t="s">
        <v>583</v>
      </c>
      <c r="H1109" t="s">
        <v>636</v>
      </c>
      <c r="I1109" t="s">
        <v>637</v>
      </c>
      <c r="J1109">
        <v>1</v>
      </c>
      <c r="K1109" t="s">
        <v>554</v>
      </c>
      <c r="L1109">
        <v>41</v>
      </c>
      <c r="M1109">
        <f t="shared" si="17"/>
        <v>41</v>
      </c>
    </row>
    <row r="1110" spans="3:13">
      <c r="C1110" t="s">
        <v>266</v>
      </c>
      <c r="D1110" t="s">
        <v>268</v>
      </c>
      <c r="E1110" t="s">
        <v>525</v>
      </c>
      <c r="F1110" t="s">
        <v>611</v>
      </c>
      <c r="G1110" t="s">
        <v>621</v>
      </c>
      <c r="H1110" t="s">
        <v>638</v>
      </c>
      <c r="I1110" t="s">
        <v>639</v>
      </c>
      <c r="J1110">
        <v>1</v>
      </c>
      <c r="K1110" t="s">
        <v>554</v>
      </c>
      <c r="L1110">
        <v>17.2</v>
      </c>
      <c r="M1110">
        <f t="shared" si="17"/>
        <v>17.2</v>
      </c>
    </row>
    <row r="1111" spans="3:13">
      <c r="C1111" t="s">
        <v>266</v>
      </c>
      <c r="D1111" t="s">
        <v>268</v>
      </c>
      <c r="E1111" t="s">
        <v>526</v>
      </c>
      <c r="F1111" t="s">
        <v>543</v>
      </c>
      <c r="G1111" t="s">
        <v>544</v>
      </c>
      <c r="H1111" t="s">
        <v>545</v>
      </c>
      <c r="I1111" t="s">
        <v>546</v>
      </c>
      <c r="J1111">
        <v>1</v>
      </c>
      <c r="K1111" t="s">
        <v>547</v>
      </c>
      <c r="L1111">
        <v>920</v>
      </c>
      <c r="M1111">
        <f t="shared" si="17"/>
        <v>920</v>
      </c>
    </row>
    <row r="1112" spans="3:13">
      <c r="C1112" t="s">
        <v>266</v>
      </c>
      <c r="D1112" t="s">
        <v>268</v>
      </c>
      <c r="E1112" t="s">
        <v>526</v>
      </c>
      <c r="F1112" t="s">
        <v>543</v>
      </c>
      <c r="G1112" t="s">
        <v>544</v>
      </c>
      <c r="H1112" t="s">
        <v>548</v>
      </c>
      <c r="I1112" t="s">
        <v>549</v>
      </c>
      <c r="J1112">
        <v>1</v>
      </c>
      <c r="K1112" t="s">
        <v>550</v>
      </c>
      <c r="L1112">
        <v>380</v>
      </c>
      <c r="M1112">
        <f t="shared" si="17"/>
        <v>380</v>
      </c>
    </row>
    <row r="1113" spans="3:13">
      <c r="C1113" t="s">
        <v>266</v>
      </c>
      <c r="D1113" t="s">
        <v>268</v>
      </c>
      <c r="E1113" t="s">
        <v>526</v>
      </c>
      <c r="F1113" t="s">
        <v>543</v>
      </c>
      <c r="G1113" t="s">
        <v>551</v>
      </c>
      <c r="H1113" t="s">
        <v>552</v>
      </c>
      <c r="I1113" t="s">
        <v>553</v>
      </c>
      <c r="J1113">
        <v>1</v>
      </c>
      <c r="K1113" t="s">
        <v>554</v>
      </c>
      <c r="L1113">
        <v>14</v>
      </c>
      <c r="M1113">
        <f t="shared" ref="M1113:M1144" si="18">J1113*L1113</f>
        <v>14</v>
      </c>
    </row>
    <row r="1114" spans="3:13">
      <c r="C1114" t="s">
        <v>266</v>
      </c>
      <c r="D1114" t="s">
        <v>268</v>
      </c>
      <c r="E1114" t="s">
        <v>526</v>
      </c>
      <c r="F1114" t="s">
        <v>543</v>
      </c>
      <c r="G1114" t="s">
        <v>551</v>
      </c>
      <c r="H1114" t="s">
        <v>555</v>
      </c>
      <c r="I1114" t="s">
        <v>556</v>
      </c>
      <c r="J1114">
        <v>1</v>
      </c>
      <c r="K1114" t="s">
        <v>554</v>
      </c>
      <c r="L1114">
        <v>33</v>
      </c>
      <c r="M1114">
        <f t="shared" si="18"/>
        <v>33</v>
      </c>
    </row>
    <row r="1115" spans="3:13">
      <c r="C1115" t="s">
        <v>266</v>
      </c>
      <c r="D1115" t="s">
        <v>268</v>
      </c>
      <c r="E1115" t="s">
        <v>526</v>
      </c>
      <c r="F1115" t="s">
        <v>557</v>
      </c>
      <c r="G1115" t="s">
        <v>558</v>
      </c>
      <c r="H1115" t="s">
        <v>559</v>
      </c>
      <c r="I1115" t="s">
        <v>560</v>
      </c>
      <c r="J1115">
        <v>1</v>
      </c>
      <c r="K1115" t="s">
        <v>554</v>
      </c>
      <c r="L1115">
        <v>0</v>
      </c>
      <c r="M1115">
        <f t="shared" si="18"/>
        <v>0</v>
      </c>
    </row>
    <row r="1116" spans="3:13">
      <c r="C1116" t="s">
        <v>266</v>
      </c>
      <c r="D1116" t="s">
        <v>268</v>
      </c>
      <c r="E1116" t="s">
        <v>526</v>
      </c>
      <c r="F1116" t="s">
        <v>557</v>
      </c>
      <c r="G1116" t="s">
        <v>561</v>
      </c>
      <c r="H1116" t="s">
        <v>562</v>
      </c>
      <c r="I1116" t="s">
        <v>563</v>
      </c>
      <c r="J1116">
        <v>1</v>
      </c>
      <c r="K1116" t="s">
        <v>554</v>
      </c>
      <c r="L1116">
        <v>13.38</v>
      </c>
      <c r="M1116">
        <f t="shared" si="18"/>
        <v>13.38</v>
      </c>
    </row>
    <row r="1117" spans="3:13">
      <c r="C1117" t="s">
        <v>266</v>
      </c>
      <c r="D1117" t="s">
        <v>268</v>
      </c>
      <c r="E1117" t="s">
        <v>526</v>
      </c>
      <c r="F1117" t="s">
        <v>557</v>
      </c>
      <c r="G1117" t="s">
        <v>561</v>
      </c>
      <c r="H1117" t="s">
        <v>564</v>
      </c>
      <c r="I1117" t="s">
        <v>565</v>
      </c>
      <c r="J1117">
        <v>1</v>
      </c>
      <c r="K1117" t="s">
        <v>566</v>
      </c>
      <c r="L1117">
        <v>26.93</v>
      </c>
      <c r="M1117">
        <f t="shared" si="18"/>
        <v>26.93</v>
      </c>
    </row>
    <row r="1118" spans="3:13">
      <c r="C1118" t="s">
        <v>266</v>
      </c>
      <c r="D1118" t="s">
        <v>268</v>
      </c>
      <c r="E1118" t="s">
        <v>526</v>
      </c>
      <c r="F1118" t="s">
        <v>557</v>
      </c>
      <c r="G1118" t="s">
        <v>561</v>
      </c>
      <c r="H1118" t="s">
        <v>567</v>
      </c>
      <c r="I1118" t="s">
        <v>568</v>
      </c>
      <c r="J1118">
        <v>1</v>
      </c>
      <c r="K1118" t="s">
        <v>566</v>
      </c>
      <c r="L1118">
        <v>23.77</v>
      </c>
      <c r="M1118">
        <f t="shared" si="18"/>
        <v>23.77</v>
      </c>
    </row>
    <row r="1119" spans="3:13">
      <c r="C1119" t="s">
        <v>266</v>
      </c>
      <c r="D1119" t="s">
        <v>268</v>
      </c>
      <c r="E1119" t="s">
        <v>526</v>
      </c>
      <c r="F1119" t="s">
        <v>557</v>
      </c>
      <c r="G1119" t="s">
        <v>561</v>
      </c>
      <c r="H1119" t="s">
        <v>569</v>
      </c>
      <c r="I1119" t="s">
        <v>570</v>
      </c>
      <c r="J1119">
        <v>1</v>
      </c>
      <c r="K1119" t="s">
        <v>554</v>
      </c>
      <c r="L1119">
        <v>47.7</v>
      </c>
      <c r="M1119">
        <f t="shared" si="18"/>
        <v>47.7</v>
      </c>
    </row>
    <row r="1120" spans="3:13">
      <c r="C1120" t="s">
        <v>266</v>
      </c>
      <c r="D1120" t="s">
        <v>268</v>
      </c>
      <c r="E1120" t="s">
        <v>526</v>
      </c>
      <c r="F1120" t="s">
        <v>557</v>
      </c>
      <c r="G1120" t="s">
        <v>571</v>
      </c>
      <c r="H1120" t="s">
        <v>572</v>
      </c>
      <c r="I1120" t="s">
        <v>573</v>
      </c>
      <c r="J1120">
        <v>1</v>
      </c>
      <c r="K1120" t="s">
        <v>554</v>
      </c>
      <c r="L1120">
        <v>1680</v>
      </c>
      <c r="M1120">
        <f t="shared" si="18"/>
        <v>1680</v>
      </c>
    </row>
    <row r="1121" spans="3:13">
      <c r="C1121" t="s">
        <v>266</v>
      </c>
      <c r="D1121" t="s">
        <v>268</v>
      </c>
      <c r="E1121" t="s">
        <v>526</v>
      </c>
      <c r="F1121" t="s">
        <v>557</v>
      </c>
      <c r="G1121" t="s">
        <v>571</v>
      </c>
      <c r="H1121" t="s">
        <v>574</v>
      </c>
      <c r="I1121" t="s">
        <v>575</v>
      </c>
      <c r="J1121">
        <v>1</v>
      </c>
      <c r="K1121" t="s">
        <v>554</v>
      </c>
      <c r="L1121">
        <v>10</v>
      </c>
      <c r="M1121">
        <f t="shared" si="18"/>
        <v>10</v>
      </c>
    </row>
    <row r="1122" spans="3:13">
      <c r="C1122" t="s">
        <v>266</v>
      </c>
      <c r="D1122" t="s">
        <v>268</v>
      </c>
      <c r="E1122" t="s">
        <v>526</v>
      </c>
      <c r="F1122" t="s">
        <v>557</v>
      </c>
      <c r="G1122" t="s">
        <v>576</v>
      </c>
      <c r="H1122" t="s">
        <v>577</v>
      </c>
      <c r="I1122" t="s">
        <v>578</v>
      </c>
      <c r="J1122">
        <v>1</v>
      </c>
      <c r="K1122" t="s">
        <v>554</v>
      </c>
      <c r="L1122">
        <v>93</v>
      </c>
      <c r="M1122">
        <f t="shared" si="18"/>
        <v>93</v>
      </c>
    </row>
    <row r="1123" spans="3:13">
      <c r="C1123" t="s">
        <v>266</v>
      </c>
      <c r="D1123" t="s">
        <v>268</v>
      </c>
      <c r="E1123" t="s">
        <v>526</v>
      </c>
      <c r="F1123" t="s">
        <v>557</v>
      </c>
      <c r="G1123" t="s">
        <v>576</v>
      </c>
      <c r="H1123" t="s">
        <v>579</v>
      </c>
      <c r="I1123" t="s">
        <v>580</v>
      </c>
      <c r="J1123">
        <v>1</v>
      </c>
      <c r="K1123" t="s">
        <v>554</v>
      </c>
      <c r="L1123">
        <v>56</v>
      </c>
      <c r="M1123">
        <f t="shared" si="18"/>
        <v>56</v>
      </c>
    </row>
    <row r="1124" spans="3:13">
      <c r="C1124" t="s">
        <v>266</v>
      </c>
      <c r="D1124" t="s">
        <v>268</v>
      </c>
      <c r="E1124" t="s">
        <v>526</v>
      </c>
      <c r="F1124" t="s">
        <v>557</v>
      </c>
      <c r="G1124" t="s">
        <v>558</v>
      </c>
      <c r="H1124" t="s">
        <v>581</v>
      </c>
      <c r="I1124" t="s">
        <v>582</v>
      </c>
      <c r="J1124">
        <v>1</v>
      </c>
      <c r="K1124" t="s">
        <v>554</v>
      </c>
      <c r="L1124">
        <v>84</v>
      </c>
      <c r="M1124">
        <f t="shared" si="18"/>
        <v>84</v>
      </c>
    </row>
    <row r="1125" spans="3:13">
      <c r="C1125" t="s">
        <v>266</v>
      </c>
      <c r="D1125" t="s">
        <v>268</v>
      </c>
      <c r="E1125" t="s">
        <v>526</v>
      </c>
      <c r="F1125" t="s">
        <v>557</v>
      </c>
      <c r="G1125" t="s">
        <v>583</v>
      </c>
      <c r="H1125" t="s">
        <v>584</v>
      </c>
      <c r="I1125" t="s">
        <v>585</v>
      </c>
      <c r="J1125">
        <v>1</v>
      </c>
      <c r="K1125" t="s">
        <v>554</v>
      </c>
      <c r="L1125">
        <v>165</v>
      </c>
      <c r="M1125">
        <f t="shared" si="18"/>
        <v>165</v>
      </c>
    </row>
    <row r="1126" spans="3:13">
      <c r="C1126" t="s">
        <v>266</v>
      </c>
      <c r="D1126" t="s">
        <v>268</v>
      </c>
      <c r="E1126" t="s">
        <v>526</v>
      </c>
      <c r="F1126" t="s">
        <v>557</v>
      </c>
      <c r="G1126" t="s">
        <v>561</v>
      </c>
      <c r="H1126" t="s">
        <v>586</v>
      </c>
      <c r="I1126" t="s">
        <v>587</v>
      </c>
      <c r="J1126">
        <v>1</v>
      </c>
      <c r="K1126" t="s">
        <v>554</v>
      </c>
      <c r="L1126">
        <v>43</v>
      </c>
      <c r="M1126">
        <f t="shared" si="18"/>
        <v>43</v>
      </c>
    </row>
    <row r="1127" spans="3:13">
      <c r="C1127" t="s">
        <v>266</v>
      </c>
      <c r="D1127" t="s">
        <v>268</v>
      </c>
      <c r="E1127" t="s">
        <v>526</v>
      </c>
      <c r="F1127" t="s">
        <v>557</v>
      </c>
      <c r="G1127" t="s">
        <v>588</v>
      </c>
      <c r="H1127" t="s">
        <v>589</v>
      </c>
      <c r="I1127" t="s">
        <v>590</v>
      </c>
      <c r="J1127">
        <v>1</v>
      </c>
      <c r="K1127" t="s">
        <v>554</v>
      </c>
      <c r="L1127">
        <v>425</v>
      </c>
      <c r="M1127">
        <f t="shared" si="18"/>
        <v>425</v>
      </c>
    </row>
    <row r="1128" spans="3:13">
      <c r="C1128" t="s">
        <v>266</v>
      </c>
      <c r="D1128" t="s">
        <v>268</v>
      </c>
      <c r="E1128" t="s">
        <v>526</v>
      </c>
      <c r="F1128" t="s">
        <v>557</v>
      </c>
      <c r="G1128" t="s">
        <v>561</v>
      </c>
      <c r="H1128" t="s">
        <v>591</v>
      </c>
      <c r="I1128" t="s">
        <v>592</v>
      </c>
      <c r="J1128">
        <v>1</v>
      </c>
      <c r="K1128" t="s">
        <v>554</v>
      </c>
      <c r="L1128">
        <v>77</v>
      </c>
      <c r="M1128">
        <f t="shared" si="18"/>
        <v>77</v>
      </c>
    </row>
    <row r="1129" spans="3:13">
      <c r="C1129" t="s">
        <v>266</v>
      </c>
      <c r="D1129" t="s">
        <v>268</v>
      </c>
      <c r="E1129" t="s">
        <v>526</v>
      </c>
      <c r="F1129" t="s">
        <v>557</v>
      </c>
      <c r="G1129" t="s">
        <v>544</v>
      </c>
      <c r="H1129" t="s">
        <v>593</v>
      </c>
      <c r="I1129" t="s">
        <v>594</v>
      </c>
      <c r="J1129">
        <v>1</v>
      </c>
      <c r="K1129" t="s">
        <v>595</v>
      </c>
      <c r="L1129">
        <v>415</v>
      </c>
      <c r="M1129">
        <f t="shared" si="18"/>
        <v>415</v>
      </c>
    </row>
    <row r="1130" spans="3:13">
      <c r="C1130" t="s">
        <v>266</v>
      </c>
      <c r="D1130" t="s">
        <v>268</v>
      </c>
      <c r="E1130" t="s">
        <v>526</v>
      </c>
      <c r="F1130" t="s">
        <v>557</v>
      </c>
      <c r="G1130" t="s">
        <v>596</v>
      </c>
      <c r="H1130" t="s">
        <v>597</v>
      </c>
      <c r="I1130" t="s">
        <v>640</v>
      </c>
      <c r="J1130">
        <v>1</v>
      </c>
      <c r="K1130" t="s">
        <v>641</v>
      </c>
      <c r="L1130">
        <v>77</v>
      </c>
      <c r="M1130">
        <f t="shared" si="18"/>
        <v>77</v>
      </c>
    </row>
    <row r="1131" spans="3:13">
      <c r="C1131" t="s">
        <v>266</v>
      </c>
      <c r="D1131" t="s">
        <v>268</v>
      </c>
      <c r="E1131" t="s">
        <v>526</v>
      </c>
      <c r="F1131" t="s">
        <v>557</v>
      </c>
      <c r="G1131" t="s">
        <v>561</v>
      </c>
      <c r="H1131" t="s">
        <v>481</v>
      </c>
      <c r="I1131" t="s">
        <v>600</v>
      </c>
      <c r="J1131">
        <v>1</v>
      </c>
      <c r="K1131" t="s">
        <v>601</v>
      </c>
      <c r="L1131">
        <v>44.38</v>
      </c>
      <c r="M1131">
        <f t="shared" si="18"/>
        <v>44.38</v>
      </c>
    </row>
    <row r="1132" spans="3:13">
      <c r="C1132" t="s">
        <v>266</v>
      </c>
      <c r="D1132" t="s">
        <v>268</v>
      </c>
      <c r="E1132" t="s">
        <v>526</v>
      </c>
      <c r="F1132" t="s">
        <v>557</v>
      </c>
      <c r="G1132" t="s">
        <v>571</v>
      </c>
      <c r="H1132" t="s">
        <v>602</v>
      </c>
      <c r="I1132" t="s">
        <v>603</v>
      </c>
      <c r="J1132">
        <v>1</v>
      </c>
      <c r="K1132" t="s">
        <v>604</v>
      </c>
      <c r="L1132">
        <v>48.27</v>
      </c>
      <c r="M1132">
        <f t="shared" si="18"/>
        <v>48.27</v>
      </c>
    </row>
    <row r="1133" spans="3:13">
      <c r="C1133" t="s">
        <v>266</v>
      </c>
      <c r="D1133" t="s">
        <v>268</v>
      </c>
      <c r="E1133" t="s">
        <v>526</v>
      </c>
      <c r="F1133" t="s">
        <v>557</v>
      </c>
      <c r="G1133" t="s">
        <v>561</v>
      </c>
      <c r="H1133" t="s">
        <v>482</v>
      </c>
      <c r="I1133" t="s">
        <v>605</v>
      </c>
      <c r="J1133">
        <v>1</v>
      </c>
      <c r="K1133" t="s">
        <v>566</v>
      </c>
      <c r="L1133">
        <v>15.82</v>
      </c>
      <c r="M1133">
        <f t="shared" si="18"/>
        <v>15.82</v>
      </c>
    </row>
    <row r="1134" spans="3:13">
      <c r="C1134" t="s">
        <v>266</v>
      </c>
      <c r="D1134" t="s">
        <v>268</v>
      </c>
      <c r="E1134" t="s">
        <v>526</v>
      </c>
      <c r="F1134" t="s">
        <v>557</v>
      </c>
      <c r="G1134" t="s">
        <v>561</v>
      </c>
      <c r="H1134" t="s">
        <v>606</v>
      </c>
      <c r="I1134" t="s">
        <v>607</v>
      </c>
      <c r="J1134">
        <v>1</v>
      </c>
      <c r="K1134" t="s">
        <v>550</v>
      </c>
      <c r="L1134">
        <v>4.29</v>
      </c>
      <c r="M1134">
        <f t="shared" si="18"/>
        <v>4.29</v>
      </c>
    </row>
    <row r="1135" spans="3:13">
      <c r="C1135" t="s">
        <v>266</v>
      </c>
      <c r="D1135" t="s">
        <v>268</v>
      </c>
      <c r="E1135" t="s">
        <v>526</v>
      </c>
      <c r="F1135" t="s">
        <v>557</v>
      </c>
      <c r="G1135" t="s">
        <v>561</v>
      </c>
      <c r="H1135" t="s">
        <v>608</v>
      </c>
      <c r="I1135" t="s">
        <v>609</v>
      </c>
      <c r="J1135">
        <v>1</v>
      </c>
      <c r="K1135" t="s">
        <v>610</v>
      </c>
      <c r="L1135">
        <v>58</v>
      </c>
      <c r="M1135">
        <f t="shared" si="18"/>
        <v>58</v>
      </c>
    </row>
    <row r="1136" spans="3:13">
      <c r="C1136" t="s">
        <v>266</v>
      </c>
      <c r="D1136" t="s">
        <v>268</v>
      </c>
      <c r="E1136" t="s">
        <v>526</v>
      </c>
      <c r="F1136" t="s">
        <v>611</v>
      </c>
      <c r="G1136" t="s">
        <v>544</v>
      </c>
      <c r="H1136" t="s">
        <v>612</v>
      </c>
      <c r="I1136" t="s">
        <v>613</v>
      </c>
      <c r="J1136">
        <v>1</v>
      </c>
      <c r="K1136" t="s">
        <v>595</v>
      </c>
      <c r="L1136">
        <v>290</v>
      </c>
      <c r="M1136">
        <f t="shared" si="18"/>
        <v>290</v>
      </c>
    </row>
    <row r="1137" spans="3:13">
      <c r="C1137" t="s">
        <v>266</v>
      </c>
      <c r="D1137" t="s">
        <v>268</v>
      </c>
      <c r="E1137" t="s">
        <v>526</v>
      </c>
      <c r="F1137" t="s">
        <v>611</v>
      </c>
      <c r="G1137" t="s">
        <v>571</v>
      </c>
      <c r="H1137" t="s">
        <v>614</v>
      </c>
      <c r="I1137" t="s">
        <v>615</v>
      </c>
      <c r="J1137">
        <v>1</v>
      </c>
      <c r="K1137" t="s">
        <v>554</v>
      </c>
      <c r="L1137">
        <v>100</v>
      </c>
      <c r="M1137">
        <f t="shared" si="18"/>
        <v>100</v>
      </c>
    </row>
    <row r="1138" spans="3:13">
      <c r="C1138" t="s">
        <v>266</v>
      </c>
      <c r="D1138" t="s">
        <v>268</v>
      </c>
      <c r="E1138" t="s">
        <v>526</v>
      </c>
      <c r="F1138" t="s">
        <v>611</v>
      </c>
      <c r="G1138" t="s">
        <v>561</v>
      </c>
      <c r="H1138" t="s">
        <v>616</v>
      </c>
      <c r="I1138" t="s">
        <v>617</v>
      </c>
      <c r="J1138">
        <v>1</v>
      </c>
      <c r="K1138" t="s">
        <v>618</v>
      </c>
      <c r="L1138">
        <v>55</v>
      </c>
      <c r="M1138">
        <f t="shared" si="18"/>
        <v>55</v>
      </c>
    </row>
    <row r="1139" spans="3:13">
      <c r="C1139" t="s">
        <v>266</v>
      </c>
      <c r="D1139" t="s">
        <v>268</v>
      </c>
      <c r="E1139" t="s">
        <v>526</v>
      </c>
      <c r="F1139" t="s">
        <v>611</v>
      </c>
      <c r="G1139" t="s">
        <v>576</v>
      </c>
      <c r="H1139" t="s">
        <v>619</v>
      </c>
      <c r="I1139" t="s">
        <v>620</v>
      </c>
      <c r="J1139">
        <v>1</v>
      </c>
      <c r="K1139" t="s">
        <v>554</v>
      </c>
      <c r="L1139">
        <v>66.26</v>
      </c>
      <c r="M1139">
        <f t="shared" si="18"/>
        <v>66.26</v>
      </c>
    </row>
    <row r="1140" spans="3:13">
      <c r="C1140" t="s">
        <v>266</v>
      </c>
      <c r="D1140" t="s">
        <v>268</v>
      </c>
      <c r="E1140" t="s">
        <v>526</v>
      </c>
      <c r="F1140" t="s">
        <v>611</v>
      </c>
      <c r="G1140" t="s">
        <v>621</v>
      </c>
      <c r="H1140" t="s">
        <v>622</v>
      </c>
      <c r="I1140" t="s">
        <v>623</v>
      </c>
      <c r="J1140">
        <v>1</v>
      </c>
      <c r="K1140" t="s">
        <v>554</v>
      </c>
      <c r="L1140">
        <v>101</v>
      </c>
      <c r="M1140">
        <f t="shared" si="18"/>
        <v>101</v>
      </c>
    </row>
    <row r="1141" spans="3:13">
      <c r="C1141" t="s">
        <v>266</v>
      </c>
      <c r="D1141" t="s">
        <v>268</v>
      </c>
      <c r="E1141" t="s">
        <v>526</v>
      </c>
      <c r="F1141" t="s">
        <v>611</v>
      </c>
      <c r="G1141" t="s">
        <v>621</v>
      </c>
      <c r="H1141" t="s">
        <v>624</v>
      </c>
      <c r="I1141" t="s">
        <v>625</v>
      </c>
      <c r="J1141">
        <v>1</v>
      </c>
      <c r="K1141" t="s">
        <v>554</v>
      </c>
      <c r="L1141">
        <v>418</v>
      </c>
      <c r="M1141">
        <f t="shared" si="18"/>
        <v>418</v>
      </c>
    </row>
    <row r="1142" spans="3:13">
      <c r="C1142" t="s">
        <v>266</v>
      </c>
      <c r="D1142" t="s">
        <v>268</v>
      </c>
      <c r="E1142" t="s">
        <v>526</v>
      </c>
      <c r="F1142" t="s">
        <v>611</v>
      </c>
      <c r="G1142" t="s">
        <v>621</v>
      </c>
      <c r="H1142" t="s">
        <v>626</v>
      </c>
      <c r="I1142" t="s">
        <v>627</v>
      </c>
      <c r="J1142">
        <v>1</v>
      </c>
      <c r="K1142" t="s">
        <v>554</v>
      </c>
      <c r="L1142">
        <v>37</v>
      </c>
      <c r="M1142">
        <f t="shared" si="18"/>
        <v>37</v>
      </c>
    </row>
    <row r="1143" spans="3:13">
      <c r="C1143" t="s">
        <v>266</v>
      </c>
      <c r="D1143" t="s">
        <v>268</v>
      </c>
      <c r="E1143" t="s">
        <v>526</v>
      </c>
      <c r="F1143" t="s">
        <v>611</v>
      </c>
      <c r="G1143" t="s">
        <v>571</v>
      </c>
      <c r="H1143" t="s">
        <v>628</v>
      </c>
      <c r="I1143" t="s">
        <v>629</v>
      </c>
      <c r="J1143">
        <v>1</v>
      </c>
      <c r="K1143" t="s">
        <v>604</v>
      </c>
      <c r="L1143">
        <v>370</v>
      </c>
      <c r="M1143">
        <f t="shared" si="18"/>
        <v>370</v>
      </c>
    </row>
    <row r="1144" spans="3:13">
      <c r="C1144" t="s">
        <v>266</v>
      </c>
      <c r="D1144" t="s">
        <v>268</v>
      </c>
      <c r="E1144" t="s">
        <v>526</v>
      </c>
      <c r="F1144" t="s">
        <v>611</v>
      </c>
      <c r="G1144" t="s">
        <v>551</v>
      </c>
      <c r="H1144" t="s">
        <v>630</v>
      </c>
      <c r="I1144" t="s">
        <v>631</v>
      </c>
      <c r="J1144">
        <v>1</v>
      </c>
      <c r="K1144" t="s">
        <v>566</v>
      </c>
      <c r="L1144">
        <v>4.7</v>
      </c>
      <c r="M1144">
        <f t="shared" si="18"/>
        <v>4.7</v>
      </c>
    </row>
    <row r="1145" spans="3:13">
      <c r="C1145" t="s">
        <v>266</v>
      </c>
      <c r="D1145" t="s">
        <v>268</v>
      </c>
      <c r="E1145" t="s">
        <v>526</v>
      </c>
      <c r="F1145" t="s">
        <v>611</v>
      </c>
      <c r="G1145" t="s">
        <v>621</v>
      </c>
      <c r="H1145" t="s">
        <v>632</v>
      </c>
      <c r="I1145" t="s">
        <v>633</v>
      </c>
      <c r="J1145">
        <v>1</v>
      </c>
      <c r="K1145" t="s">
        <v>601</v>
      </c>
      <c r="L1145">
        <v>370</v>
      </c>
      <c r="M1145">
        <f t="shared" ref="M1145:M1188" si="19">J1145*L1145</f>
        <v>370</v>
      </c>
    </row>
    <row r="1146" spans="3:13">
      <c r="C1146" t="s">
        <v>266</v>
      </c>
      <c r="D1146" t="s">
        <v>268</v>
      </c>
      <c r="E1146" t="s">
        <v>526</v>
      </c>
      <c r="F1146" t="s">
        <v>611</v>
      </c>
      <c r="G1146" t="s">
        <v>621</v>
      </c>
      <c r="H1146" t="s">
        <v>634</v>
      </c>
      <c r="I1146" t="s">
        <v>635</v>
      </c>
      <c r="J1146">
        <v>1</v>
      </c>
      <c r="K1146" t="s">
        <v>554</v>
      </c>
      <c r="L1146">
        <v>39.5</v>
      </c>
      <c r="M1146">
        <f t="shared" si="19"/>
        <v>39.5</v>
      </c>
    </row>
    <row r="1147" spans="3:13">
      <c r="C1147" t="s">
        <v>266</v>
      </c>
      <c r="D1147" t="s">
        <v>268</v>
      </c>
      <c r="E1147" t="s">
        <v>526</v>
      </c>
      <c r="F1147" t="s">
        <v>611</v>
      </c>
      <c r="G1147" t="s">
        <v>583</v>
      </c>
      <c r="H1147" t="s">
        <v>636</v>
      </c>
      <c r="I1147" t="s">
        <v>637</v>
      </c>
      <c r="J1147">
        <v>1</v>
      </c>
      <c r="K1147" t="s">
        <v>554</v>
      </c>
      <c r="L1147">
        <v>41</v>
      </c>
      <c r="M1147">
        <f t="shared" si="19"/>
        <v>41</v>
      </c>
    </row>
    <row r="1148" spans="3:13">
      <c r="C1148" t="s">
        <v>266</v>
      </c>
      <c r="D1148" t="s">
        <v>268</v>
      </c>
      <c r="E1148" t="s">
        <v>526</v>
      </c>
      <c r="F1148" t="s">
        <v>611</v>
      </c>
      <c r="G1148" t="s">
        <v>621</v>
      </c>
      <c r="H1148" t="s">
        <v>638</v>
      </c>
      <c r="I1148" t="s">
        <v>639</v>
      </c>
      <c r="J1148">
        <v>1</v>
      </c>
      <c r="K1148" t="s">
        <v>554</v>
      </c>
      <c r="L1148">
        <v>17.2</v>
      </c>
      <c r="M1148">
        <f t="shared" si="19"/>
        <v>17.2</v>
      </c>
    </row>
    <row r="1149" spans="3:13">
      <c r="C1149" t="s">
        <v>266</v>
      </c>
      <c r="D1149" t="s">
        <v>268</v>
      </c>
      <c r="E1149" t="s">
        <v>527</v>
      </c>
      <c r="F1149" t="s">
        <v>543</v>
      </c>
      <c r="G1149" t="s">
        <v>544</v>
      </c>
      <c r="H1149" t="s">
        <v>545</v>
      </c>
      <c r="I1149" t="s">
        <v>546</v>
      </c>
      <c r="J1149">
        <v>1</v>
      </c>
      <c r="K1149" t="s">
        <v>547</v>
      </c>
      <c r="L1149">
        <v>920</v>
      </c>
      <c r="M1149">
        <f t="shared" si="19"/>
        <v>920</v>
      </c>
    </row>
    <row r="1150" spans="3:13">
      <c r="C1150" t="s">
        <v>266</v>
      </c>
      <c r="D1150" t="s">
        <v>268</v>
      </c>
      <c r="E1150" t="s">
        <v>527</v>
      </c>
      <c r="F1150" t="s">
        <v>543</v>
      </c>
      <c r="G1150" t="s">
        <v>544</v>
      </c>
      <c r="H1150" t="s">
        <v>548</v>
      </c>
      <c r="I1150" t="s">
        <v>549</v>
      </c>
      <c r="J1150">
        <v>1</v>
      </c>
      <c r="K1150" t="s">
        <v>550</v>
      </c>
      <c r="L1150">
        <v>380</v>
      </c>
      <c r="M1150">
        <f t="shared" si="19"/>
        <v>380</v>
      </c>
    </row>
    <row r="1151" spans="3:13">
      <c r="C1151" t="s">
        <v>266</v>
      </c>
      <c r="D1151" t="s">
        <v>268</v>
      </c>
      <c r="E1151" t="s">
        <v>527</v>
      </c>
      <c r="F1151" t="s">
        <v>543</v>
      </c>
      <c r="G1151" t="s">
        <v>551</v>
      </c>
      <c r="H1151" t="s">
        <v>552</v>
      </c>
      <c r="I1151" t="s">
        <v>553</v>
      </c>
      <c r="J1151">
        <v>1</v>
      </c>
      <c r="K1151" t="s">
        <v>554</v>
      </c>
      <c r="L1151">
        <v>14</v>
      </c>
      <c r="M1151">
        <f t="shared" si="19"/>
        <v>14</v>
      </c>
    </row>
    <row r="1152" spans="3:13">
      <c r="C1152" t="s">
        <v>266</v>
      </c>
      <c r="D1152" t="s">
        <v>268</v>
      </c>
      <c r="E1152" t="s">
        <v>527</v>
      </c>
      <c r="F1152" t="s">
        <v>543</v>
      </c>
      <c r="G1152" t="s">
        <v>551</v>
      </c>
      <c r="H1152" t="s">
        <v>555</v>
      </c>
      <c r="I1152" t="s">
        <v>556</v>
      </c>
      <c r="J1152">
        <v>1</v>
      </c>
      <c r="K1152" t="s">
        <v>554</v>
      </c>
      <c r="L1152">
        <v>33</v>
      </c>
      <c r="M1152">
        <f t="shared" si="19"/>
        <v>33</v>
      </c>
    </row>
    <row r="1153" spans="3:13">
      <c r="C1153" t="s">
        <v>266</v>
      </c>
      <c r="D1153" t="s">
        <v>268</v>
      </c>
      <c r="E1153" t="s">
        <v>527</v>
      </c>
      <c r="F1153" t="s">
        <v>557</v>
      </c>
      <c r="G1153" t="s">
        <v>558</v>
      </c>
      <c r="H1153" t="s">
        <v>559</v>
      </c>
      <c r="I1153" t="s">
        <v>560</v>
      </c>
      <c r="J1153">
        <v>1</v>
      </c>
      <c r="K1153" t="s">
        <v>554</v>
      </c>
      <c r="L1153">
        <v>0</v>
      </c>
      <c r="M1153">
        <f t="shared" si="19"/>
        <v>0</v>
      </c>
    </row>
    <row r="1154" spans="3:13">
      <c r="C1154" t="s">
        <v>266</v>
      </c>
      <c r="D1154" t="s">
        <v>268</v>
      </c>
      <c r="E1154" t="s">
        <v>527</v>
      </c>
      <c r="F1154" t="s">
        <v>557</v>
      </c>
      <c r="G1154" t="s">
        <v>561</v>
      </c>
      <c r="H1154" t="s">
        <v>562</v>
      </c>
      <c r="I1154" t="s">
        <v>563</v>
      </c>
      <c r="J1154">
        <v>1</v>
      </c>
      <c r="K1154" t="s">
        <v>554</v>
      </c>
      <c r="L1154">
        <v>13.38</v>
      </c>
      <c r="M1154">
        <f t="shared" si="19"/>
        <v>13.38</v>
      </c>
    </row>
    <row r="1155" spans="3:13">
      <c r="C1155" t="s">
        <v>266</v>
      </c>
      <c r="D1155" t="s">
        <v>268</v>
      </c>
      <c r="E1155" t="s">
        <v>527</v>
      </c>
      <c r="F1155" t="s">
        <v>557</v>
      </c>
      <c r="G1155" t="s">
        <v>561</v>
      </c>
      <c r="H1155" t="s">
        <v>564</v>
      </c>
      <c r="I1155" t="s">
        <v>565</v>
      </c>
      <c r="J1155">
        <v>1</v>
      </c>
      <c r="K1155" t="s">
        <v>566</v>
      </c>
      <c r="L1155">
        <v>26.93</v>
      </c>
      <c r="M1155">
        <f t="shared" si="19"/>
        <v>26.93</v>
      </c>
    </row>
    <row r="1156" spans="3:13">
      <c r="C1156" t="s">
        <v>266</v>
      </c>
      <c r="D1156" t="s">
        <v>268</v>
      </c>
      <c r="E1156" t="s">
        <v>527</v>
      </c>
      <c r="F1156" t="s">
        <v>557</v>
      </c>
      <c r="G1156" t="s">
        <v>561</v>
      </c>
      <c r="H1156" t="s">
        <v>567</v>
      </c>
      <c r="I1156" t="s">
        <v>568</v>
      </c>
      <c r="J1156">
        <v>1</v>
      </c>
      <c r="K1156" t="s">
        <v>566</v>
      </c>
      <c r="L1156">
        <v>23.77</v>
      </c>
      <c r="M1156">
        <f t="shared" si="19"/>
        <v>23.77</v>
      </c>
    </row>
    <row r="1157" spans="3:13">
      <c r="C1157" t="s">
        <v>266</v>
      </c>
      <c r="D1157" t="s">
        <v>268</v>
      </c>
      <c r="E1157" t="s">
        <v>527</v>
      </c>
      <c r="F1157" t="s">
        <v>557</v>
      </c>
      <c r="G1157" t="s">
        <v>561</v>
      </c>
      <c r="H1157" t="s">
        <v>655</v>
      </c>
      <c r="I1157" t="s">
        <v>656</v>
      </c>
      <c r="J1157">
        <v>1</v>
      </c>
      <c r="K1157" t="s">
        <v>554</v>
      </c>
      <c r="L1157">
        <v>7.85</v>
      </c>
      <c r="M1157">
        <f t="shared" si="19"/>
        <v>7.85</v>
      </c>
    </row>
    <row r="1158" spans="3:13">
      <c r="C1158" t="s">
        <v>266</v>
      </c>
      <c r="D1158" t="s">
        <v>268</v>
      </c>
      <c r="E1158" t="s">
        <v>527</v>
      </c>
      <c r="F1158" t="s">
        <v>557</v>
      </c>
      <c r="G1158" t="s">
        <v>561</v>
      </c>
      <c r="H1158" t="s">
        <v>569</v>
      </c>
      <c r="I1158" t="s">
        <v>570</v>
      </c>
      <c r="J1158">
        <v>1</v>
      </c>
      <c r="K1158" t="s">
        <v>554</v>
      </c>
      <c r="L1158">
        <v>47.7</v>
      </c>
      <c r="M1158">
        <f t="shared" si="19"/>
        <v>47.7</v>
      </c>
    </row>
    <row r="1159" spans="3:13">
      <c r="C1159" t="s">
        <v>266</v>
      </c>
      <c r="D1159" t="s">
        <v>268</v>
      </c>
      <c r="E1159" t="s">
        <v>527</v>
      </c>
      <c r="F1159" t="s">
        <v>557</v>
      </c>
      <c r="G1159" t="s">
        <v>571</v>
      </c>
      <c r="H1159" t="s">
        <v>572</v>
      </c>
      <c r="I1159" t="s">
        <v>573</v>
      </c>
      <c r="J1159">
        <v>1</v>
      </c>
      <c r="K1159" t="s">
        <v>554</v>
      </c>
      <c r="L1159">
        <v>1680</v>
      </c>
      <c r="M1159">
        <f t="shared" si="19"/>
        <v>1680</v>
      </c>
    </row>
    <row r="1160" spans="3:13">
      <c r="C1160" t="s">
        <v>266</v>
      </c>
      <c r="D1160" t="s">
        <v>268</v>
      </c>
      <c r="E1160" t="s">
        <v>527</v>
      </c>
      <c r="F1160" t="s">
        <v>557</v>
      </c>
      <c r="G1160" t="s">
        <v>571</v>
      </c>
      <c r="H1160" t="s">
        <v>574</v>
      </c>
      <c r="I1160" t="s">
        <v>575</v>
      </c>
      <c r="J1160">
        <v>1</v>
      </c>
      <c r="K1160" t="s">
        <v>554</v>
      </c>
      <c r="L1160">
        <v>10</v>
      </c>
      <c r="M1160">
        <f t="shared" si="19"/>
        <v>10</v>
      </c>
    </row>
    <row r="1161" spans="3:13">
      <c r="C1161" t="s">
        <v>266</v>
      </c>
      <c r="D1161" t="s">
        <v>268</v>
      </c>
      <c r="E1161" t="s">
        <v>527</v>
      </c>
      <c r="F1161" t="s">
        <v>557</v>
      </c>
      <c r="G1161" t="s">
        <v>576</v>
      </c>
      <c r="H1161" t="s">
        <v>577</v>
      </c>
      <c r="I1161" t="s">
        <v>578</v>
      </c>
      <c r="J1161">
        <v>1</v>
      </c>
      <c r="K1161" t="s">
        <v>554</v>
      </c>
      <c r="L1161">
        <v>93</v>
      </c>
      <c r="M1161">
        <f t="shared" si="19"/>
        <v>93</v>
      </c>
    </row>
    <row r="1162" spans="3:13">
      <c r="C1162" t="s">
        <v>266</v>
      </c>
      <c r="D1162" t="s">
        <v>268</v>
      </c>
      <c r="E1162" t="s">
        <v>527</v>
      </c>
      <c r="F1162" t="s">
        <v>557</v>
      </c>
      <c r="G1162" t="s">
        <v>558</v>
      </c>
      <c r="H1162" t="s">
        <v>581</v>
      </c>
      <c r="I1162" t="s">
        <v>582</v>
      </c>
      <c r="J1162">
        <v>1</v>
      </c>
      <c r="K1162" t="s">
        <v>554</v>
      </c>
      <c r="L1162">
        <v>84</v>
      </c>
      <c r="M1162">
        <f t="shared" si="19"/>
        <v>84</v>
      </c>
    </row>
    <row r="1163" spans="3:13">
      <c r="C1163" t="s">
        <v>266</v>
      </c>
      <c r="D1163" t="s">
        <v>268</v>
      </c>
      <c r="E1163" t="s">
        <v>527</v>
      </c>
      <c r="F1163" t="s">
        <v>557</v>
      </c>
      <c r="G1163" t="s">
        <v>583</v>
      </c>
      <c r="H1163" t="s">
        <v>584</v>
      </c>
      <c r="I1163" t="s">
        <v>585</v>
      </c>
      <c r="J1163">
        <v>1</v>
      </c>
      <c r="K1163" t="s">
        <v>554</v>
      </c>
      <c r="L1163">
        <v>165</v>
      </c>
      <c r="M1163">
        <f t="shared" si="19"/>
        <v>165</v>
      </c>
    </row>
    <row r="1164" spans="3:13">
      <c r="C1164" t="s">
        <v>266</v>
      </c>
      <c r="D1164" t="s">
        <v>268</v>
      </c>
      <c r="E1164" t="s">
        <v>527</v>
      </c>
      <c r="F1164" t="s">
        <v>557</v>
      </c>
      <c r="G1164" t="s">
        <v>561</v>
      </c>
      <c r="H1164" t="s">
        <v>586</v>
      </c>
      <c r="I1164" t="s">
        <v>587</v>
      </c>
      <c r="J1164">
        <v>1</v>
      </c>
      <c r="K1164" t="s">
        <v>554</v>
      </c>
      <c r="L1164">
        <v>43</v>
      </c>
      <c r="M1164">
        <f t="shared" si="19"/>
        <v>43</v>
      </c>
    </row>
    <row r="1165" spans="3:13">
      <c r="C1165" t="s">
        <v>266</v>
      </c>
      <c r="D1165" t="s">
        <v>268</v>
      </c>
      <c r="E1165" t="s">
        <v>527</v>
      </c>
      <c r="F1165" t="s">
        <v>557</v>
      </c>
      <c r="G1165" t="s">
        <v>588</v>
      </c>
      <c r="H1165" t="s">
        <v>589</v>
      </c>
      <c r="I1165" t="s">
        <v>590</v>
      </c>
      <c r="J1165">
        <v>1</v>
      </c>
      <c r="K1165" t="s">
        <v>554</v>
      </c>
      <c r="L1165">
        <v>425</v>
      </c>
      <c r="M1165">
        <f t="shared" si="19"/>
        <v>425</v>
      </c>
    </row>
    <row r="1166" spans="3:13">
      <c r="C1166" t="s">
        <v>266</v>
      </c>
      <c r="D1166" t="s">
        <v>268</v>
      </c>
      <c r="E1166" t="s">
        <v>527</v>
      </c>
      <c r="F1166" t="s">
        <v>557</v>
      </c>
      <c r="G1166" t="s">
        <v>561</v>
      </c>
      <c r="H1166" t="s">
        <v>591</v>
      </c>
      <c r="I1166" t="s">
        <v>592</v>
      </c>
      <c r="J1166">
        <v>1</v>
      </c>
      <c r="K1166" t="s">
        <v>554</v>
      </c>
      <c r="L1166">
        <v>77</v>
      </c>
      <c r="M1166">
        <f t="shared" si="19"/>
        <v>77</v>
      </c>
    </row>
    <row r="1167" spans="3:13">
      <c r="C1167" t="s">
        <v>266</v>
      </c>
      <c r="D1167" t="s">
        <v>268</v>
      </c>
      <c r="E1167" t="s">
        <v>527</v>
      </c>
      <c r="F1167" t="s">
        <v>557</v>
      </c>
      <c r="G1167" t="s">
        <v>544</v>
      </c>
      <c r="H1167" t="s">
        <v>657</v>
      </c>
      <c r="I1167" t="s">
        <v>658</v>
      </c>
      <c r="J1167">
        <v>1</v>
      </c>
      <c r="K1167" t="s">
        <v>641</v>
      </c>
      <c r="L1167">
        <v>414</v>
      </c>
      <c r="M1167">
        <f t="shared" si="19"/>
        <v>414</v>
      </c>
    </row>
    <row r="1168" spans="3:13">
      <c r="C1168" t="s">
        <v>266</v>
      </c>
      <c r="D1168" t="s">
        <v>268</v>
      </c>
      <c r="E1168" t="s">
        <v>527</v>
      </c>
      <c r="F1168" t="s">
        <v>557</v>
      </c>
      <c r="G1168" t="s">
        <v>596</v>
      </c>
      <c r="H1168" t="s">
        <v>597</v>
      </c>
      <c r="I1168" t="s">
        <v>640</v>
      </c>
      <c r="J1168">
        <v>1</v>
      </c>
      <c r="K1168" t="s">
        <v>641</v>
      </c>
      <c r="L1168">
        <v>77</v>
      </c>
      <c r="M1168">
        <f t="shared" si="19"/>
        <v>77</v>
      </c>
    </row>
    <row r="1169" spans="3:13">
      <c r="C1169" t="s">
        <v>266</v>
      </c>
      <c r="D1169" t="s">
        <v>268</v>
      </c>
      <c r="E1169" t="s">
        <v>527</v>
      </c>
      <c r="F1169" t="s">
        <v>557</v>
      </c>
      <c r="G1169" t="s">
        <v>561</v>
      </c>
      <c r="H1169" t="s">
        <v>481</v>
      </c>
      <c r="I1169" t="s">
        <v>666</v>
      </c>
      <c r="J1169">
        <v>1</v>
      </c>
      <c r="K1169" t="s">
        <v>601</v>
      </c>
      <c r="L1169">
        <v>52.85</v>
      </c>
      <c r="M1169">
        <f t="shared" si="19"/>
        <v>52.85</v>
      </c>
    </row>
    <row r="1170" spans="3:13">
      <c r="C1170" t="s">
        <v>266</v>
      </c>
      <c r="D1170" t="s">
        <v>268</v>
      </c>
      <c r="E1170" t="s">
        <v>527</v>
      </c>
      <c r="F1170" t="s">
        <v>557</v>
      </c>
      <c r="G1170" t="s">
        <v>561</v>
      </c>
      <c r="H1170" t="s">
        <v>482</v>
      </c>
      <c r="I1170" t="s">
        <v>605</v>
      </c>
      <c r="J1170">
        <v>1</v>
      </c>
      <c r="K1170" t="s">
        <v>566</v>
      </c>
      <c r="L1170">
        <v>15.82</v>
      </c>
      <c r="M1170">
        <f t="shared" si="19"/>
        <v>15.82</v>
      </c>
    </row>
    <row r="1171" spans="3:13">
      <c r="C1171" t="s">
        <v>266</v>
      </c>
      <c r="D1171" t="s">
        <v>268</v>
      </c>
      <c r="E1171" t="s">
        <v>527</v>
      </c>
      <c r="F1171" t="s">
        <v>557</v>
      </c>
      <c r="G1171" t="s">
        <v>561</v>
      </c>
      <c r="H1171" t="s">
        <v>606</v>
      </c>
      <c r="I1171" t="s">
        <v>607</v>
      </c>
      <c r="J1171">
        <v>1</v>
      </c>
      <c r="K1171" t="s">
        <v>550</v>
      </c>
      <c r="L1171">
        <v>4.29</v>
      </c>
      <c r="M1171">
        <f t="shared" si="19"/>
        <v>4.29</v>
      </c>
    </row>
    <row r="1172" spans="3:13">
      <c r="C1172" t="s">
        <v>266</v>
      </c>
      <c r="D1172" t="s">
        <v>268</v>
      </c>
      <c r="E1172" t="s">
        <v>527</v>
      </c>
      <c r="F1172" t="s">
        <v>67</v>
      </c>
      <c r="G1172" t="s">
        <v>561</v>
      </c>
      <c r="H1172" t="s">
        <v>608</v>
      </c>
      <c r="I1172" t="s">
        <v>609</v>
      </c>
      <c r="J1172">
        <v>1</v>
      </c>
      <c r="K1172" t="s">
        <v>610</v>
      </c>
      <c r="L1172">
        <v>58</v>
      </c>
      <c r="M1172">
        <f t="shared" si="19"/>
        <v>58</v>
      </c>
    </row>
    <row r="1173" spans="3:13">
      <c r="C1173" t="s">
        <v>266</v>
      </c>
      <c r="D1173" t="s">
        <v>268</v>
      </c>
      <c r="E1173" t="s">
        <v>527</v>
      </c>
      <c r="F1173" t="s">
        <v>67</v>
      </c>
      <c r="G1173" t="s">
        <v>571</v>
      </c>
      <c r="H1173" t="s">
        <v>602</v>
      </c>
      <c r="I1173" t="s">
        <v>667</v>
      </c>
      <c r="J1173">
        <v>1</v>
      </c>
      <c r="K1173" t="s">
        <v>604</v>
      </c>
      <c r="L1173">
        <v>30.1</v>
      </c>
      <c r="M1173">
        <f t="shared" si="19"/>
        <v>30.1</v>
      </c>
    </row>
    <row r="1174" spans="3:13">
      <c r="C1174" t="s">
        <v>266</v>
      </c>
      <c r="D1174" t="s">
        <v>268</v>
      </c>
      <c r="E1174" t="s">
        <v>527</v>
      </c>
      <c r="F1174" t="s">
        <v>67</v>
      </c>
      <c r="G1174" t="s">
        <v>576</v>
      </c>
      <c r="H1174" t="s">
        <v>660</v>
      </c>
      <c r="I1174" t="s">
        <v>661</v>
      </c>
      <c r="J1174">
        <v>1</v>
      </c>
      <c r="K1174" t="s">
        <v>554</v>
      </c>
      <c r="L1174">
        <v>48</v>
      </c>
      <c r="M1174">
        <f t="shared" si="19"/>
        <v>48</v>
      </c>
    </row>
    <row r="1175" spans="3:13">
      <c r="C1175" t="s">
        <v>266</v>
      </c>
      <c r="D1175" t="s">
        <v>268</v>
      </c>
      <c r="E1175" t="s">
        <v>527</v>
      </c>
      <c r="F1175" t="s">
        <v>67</v>
      </c>
      <c r="G1175" t="s">
        <v>662</v>
      </c>
      <c r="H1175" t="s">
        <v>663</v>
      </c>
      <c r="I1175" t="s">
        <v>664</v>
      </c>
      <c r="J1175">
        <v>1</v>
      </c>
      <c r="K1175" t="s">
        <v>641</v>
      </c>
      <c r="L1175">
        <v>288</v>
      </c>
      <c r="M1175">
        <f t="shared" si="19"/>
        <v>288</v>
      </c>
    </row>
    <row r="1176" spans="3:13">
      <c r="C1176" t="s">
        <v>266</v>
      </c>
      <c r="D1176" t="s">
        <v>268</v>
      </c>
      <c r="E1176" t="s">
        <v>527</v>
      </c>
      <c r="F1176" t="s">
        <v>611</v>
      </c>
      <c r="G1176" t="s">
        <v>544</v>
      </c>
      <c r="H1176" t="s">
        <v>612</v>
      </c>
      <c r="I1176" t="s">
        <v>613</v>
      </c>
      <c r="J1176">
        <v>1</v>
      </c>
      <c r="K1176" t="s">
        <v>595</v>
      </c>
      <c r="L1176">
        <v>290</v>
      </c>
      <c r="M1176">
        <f t="shared" si="19"/>
        <v>290</v>
      </c>
    </row>
    <row r="1177" spans="3:13">
      <c r="C1177" t="s">
        <v>266</v>
      </c>
      <c r="D1177" t="s">
        <v>268</v>
      </c>
      <c r="E1177" t="s">
        <v>527</v>
      </c>
      <c r="F1177" t="s">
        <v>611</v>
      </c>
      <c r="G1177" t="s">
        <v>571</v>
      </c>
      <c r="H1177" t="s">
        <v>614</v>
      </c>
      <c r="I1177" t="s">
        <v>615</v>
      </c>
      <c r="J1177">
        <v>1</v>
      </c>
      <c r="K1177" t="s">
        <v>554</v>
      </c>
      <c r="L1177">
        <v>100</v>
      </c>
      <c r="M1177">
        <f t="shared" si="19"/>
        <v>100</v>
      </c>
    </row>
    <row r="1178" spans="3:13">
      <c r="C1178" t="s">
        <v>266</v>
      </c>
      <c r="D1178" t="s">
        <v>268</v>
      </c>
      <c r="E1178" t="s">
        <v>527</v>
      </c>
      <c r="F1178" t="s">
        <v>611</v>
      </c>
      <c r="G1178" t="s">
        <v>561</v>
      </c>
      <c r="H1178" t="s">
        <v>616</v>
      </c>
      <c r="I1178" t="s">
        <v>617</v>
      </c>
      <c r="J1178">
        <v>1</v>
      </c>
      <c r="K1178" t="s">
        <v>618</v>
      </c>
      <c r="L1178">
        <v>55</v>
      </c>
      <c r="M1178">
        <f t="shared" si="19"/>
        <v>55</v>
      </c>
    </row>
    <row r="1179" spans="3:13">
      <c r="C1179" t="s">
        <v>266</v>
      </c>
      <c r="D1179" t="s">
        <v>268</v>
      </c>
      <c r="E1179" t="s">
        <v>527</v>
      </c>
      <c r="F1179" t="s">
        <v>611</v>
      </c>
      <c r="G1179" t="s">
        <v>576</v>
      </c>
      <c r="H1179" t="s">
        <v>619</v>
      </c>
      <c r="I1179" t="s">
        <v>620</v>
      </c>
      <c r="J1179">
        <v>1</v>
      </c>
      <c r="K1179" t="s">
        <v>554</v>
      </c>
      <c r="L1179">
        <v>66.26</v>
      </c>
      <c r="M1179">
        <f t="shared" si="19"/>
        <v>66.26</v>
      </c>
    </row>
    <row r="1180" spans="3:13">
      <c r="C1180" t="s">
        <v>266</v>
      </c>
      <c r="D1180" t="s">
        <v>268</v>
      </c>
      <c r="E1180" t="s">
        <v>527</v>
      </c>
      <c r="F1180" t="s">
        <v>611</v>
      </c>
      <c r="G1180" t="s">
        <v>621</v>
      </c>
      <c r="H1180" t="s">
        <v>622</v>
      </c>
      <c r="I1180" t="s">
        <v>623</v>
      </c>
      <c r="J1180">
        <v>1</v>
      </c>
      <c r="K1180" t="s">
        <v>554</v>
      </c>
      <c r="L1180">
        <v>101</v>
      </c>
      <c r="M1180">
        <f t="shared" si="19"/>
        <v>101</v>
      </c>
    </row>
    <row r="1181" spans="3:13">
      <c r="C1181" t="s">
        <v>266</v>
      </c>
      <c r="D1181" t="s">
        <v>268</v>
      </c>
      <c r="E1181" t="s">
        <v>527</v>
      </c>
      <c r="F1181" t="s">
        <v>611</v>
      </c>
      <c r="G1181" t="s">
        <v>621</v>
      </c>
      <c r="H1181" t="s">
        <v>624</v>
      </c>
      <c r="I1181" t="s">
        <v>625</v>
      </c>
      <c r="J1181">
        <v>1</v>
      </c>
      <c r="K1181" t="s">
        <v>554</v>
      </c>
      <c r="L1181">
        <v>418</v>
      </c>
      <c r="M1181">
        <f t="shared" si="19"/>
        <v>418</v>
      </c>
    </row>
    <row r="1182" spans="3:13">
      <c r="C1182" t="s">
        <v>266</v>
      </c>
      <c r="D1182" t="s">
        <v>268</v>
      </c>
      <c r="E1182" t="s">
        <v>527</v>
      </c>
      <c r="F1182" t="s">
        <v>611</v>
      </c>
      <c r="G1182" t="s">
        <v>621</v>
      </c>
      <c r="H1182" t="s">
        <v>626</v>
      </c>
      <c r="I1182" t="s">
        <v>627</v>
      </c>
      <c r="J1182">
        <v>1</v>
      </c>
      <c r="K1182" t="s">
        <v>554</v>
      </c>
      <c r="L1182">
        <v>37</v>
      </c>
      <c r="M1182">
        <f t="shared" si="19"/>
        <v>37</v>
      </c>
    </row>
    <row r="1183" spans="3:13">
      <c r="C1183" t="s">
        <v>266</v>
      </c>
      <c r="D1183" t="s">
        <v>268</v>
      </c>
      <c r="E1183" t="s">
        <v>527</v>
      </c>
      <c r="F1183" t="s">
        <v>611</v>
      </c>
      <c r="G1183" t="s">
        <v>571</v>
      </c>
      <c r="H1183" t="s">
        <v>628</v>
      </c>
      <c r="I1183" t="s">
        <v>629</v>
      </c>
      <c r="J1183">
        <v>1</v>
      </c>
      <c r="K1183" t="s">
        <v>604</v>
      </c>
      <c r="L1183">
        <v>370</v>
      </c>
      <c r="M1183">
        <f t="shared" si="19"/>
        <v>370</v>
      </c>
    </row>
    <row r="1184" spans="3:13">
      <c r="C1184" t="s">
        <v>266</v>
      </c>
      <c r="D1184" t="s">
        <v>268</v>
      </c>
      <c r="E1184" t="s">
        <v>527</v>
      </c>
      <c r="F1184" t="s">
        <v>611</v>
      </c>
      <c r="G1184" t="s">
        <v>551</v>
      </c>
      <c r="H1184" t="s">
        <v>630</v>
      </c>
      <c r="I1184" t="s">
        <v>631</v>
      </c>
      <c r="J1184">
        <v>1</v>
      </c>
      <c r="K1184" t="s">
        <v>566</v>
      </c>
      <c r="L1184">
        <v>4.7</v>
      </c>
      <c r="M1184">
        <f t="shared" si="19"/>
        <v>4.7</v>
      </c>
    </row>
    <row r="1185" spans="3:13">
      <c r="C1185" t="s">
        <v>266</v>
      </c>
      <c r="D1185" t="s">
        <v>268</v>
      </c>
      <c r="E1185" t="s">
        <v>527</v>
      </c>
      <c r="F1185" t="s">
        <v>611</v>
      </c>
      <c r="G1185" t="s">
        <v>621</v>
      </c>
      <c r="H1185" t="s">
        <v>632</v>
      </c>
      <c r="I1185" t="s">
        <v>633</v>
      </c>
      <c r="J1185">
        <v>1</v>
      </c>
      <c r="K1185" t="s">
        <v>601</v>
      </c>
      <c r="L1185">
        <v>370</v>
      </c>
      <c r="M1185">
        <f t="shared" si="19"/>
        <v>370</v>
      </c>
    </row>
    <row r="1186" spans="3:13">
      <c r="C1186" t="s">
        <v>266</v>
      </c>
      <c r="D1186" t="s">
        <v>268</v>
      </c>
      <c r="E1186" t="s">
        <v>527</v>
      </c>
      <c r="F1186" t="s">
        <v>611</v>
      </c>
      <c r="G1186" t="s">
        <v>621</v>
      </c>
      <c r="H1186" t="s">
        <v>634</v>
      </c>
      <c r="I1186" t="s">
        <v>635</v>
      </c>
      <c r="J1186">
        <v>1</v>
      </c>
      <c r="K1186" t="s">
        <v>554</v>
      </c>
      <c r="L1186">
        <v>39.5</v>
      </c>
      <c r="M1186">
        <f t="shared" si="19"/>
        <v>39.5</v>
      </c>
    </row>
    <row r="1187" spans="3:13">
      <c r="C1187" t="s">
        <v>266</v>
      </c>
      <c r="D1187" t="s">
        <v>268</v>
      </c>
      <c r="E1187" t="s">
        <v>527</v>
      </c>
      <c r="F1187" t="s">
        <v>611</v>
      </c>
      <c r="G1187" t="s">
        <v>583</v>
      </c>
      <c r="H1187" t="s">
        <v>636</v>
      </c>
      <c r="I1187" t="s">
        <v>637</v>
      </c>
      <c r="J1187">
        <v>1</v>
      </c>
      <c r="K1187" t="s">
        <v>554</v>
      </c>
      <c r="L1187">
        <v>41</v>
      </c>
      <c r="M1187">
        <f t="shared" si="19"/>
        <v>41</v>
      </c>
    </row>
    <row r="1188" spans="3:13">
      <c r="C1188" t="s">
        <v>266</v>
      </c>
      <c r="D1188" t="s">
        <v>268</v>
      </c>
      <c r="E1188" t="s">
        <v>527</v>
      </c>
      <c r="F1188" t="s">
        <v>611</v>
      </c>
      <c r="G1188" t="s">
        <v>621</v>
      </c>
      <c r="H1188" t="s">
        <v>638</v>
      </c>
      <c r="I1188" t="s">
        <v>639</v>
      </c>
      <c r="J1188">
        <v>1</v>
      </c>
      <c r="K1188" t="s">
        <v>554</v>
      </c>
      <c r="L1188">
        <v>17.2</v>
      </c>
      <c r="M1188">
        <f t="shared" si="19"/>
        <v>17.2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S22"/>
  <sheetViews>
    <sheetView zoomScale="84" zoomScaleNormal="84" topLeftCell="D1" workbookViewId="0">
      <selection activeCell="L25" sqref="L25"/>
    </sheetView>
  </sheetViews>
  <sheetFormatPr defaultColWidth="12.25" defaultRowHeight="14.1"/>
  <cols>
    <col min="1" max="6" width="10.75" customWidth="1"/>
  </cols>
  <sheetData>
    <row r="1" ht="14.25" customHeight="1" spans="1:19">
      <c r="A1" s="16" t="str">
        <f>"安居乐寓"&amp;'【2】运营中心填-基本信息&amp;审核标准'!C2&amp;'【2】运营中心填-基本信息&amp;审核标准'!E2&amp;"公寓定价"</f>
        <v>安居乐寓福围村东福围西街30栋公寓定价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ht="14.25" customHeight="1" spans="1:19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ht="15.4" spans="1:19">
      <c r="A3" s="18" t="s">
        <v>668</v>
      </c>
      <c r="B3" s="19" t="s">
        <v>669</v>
      </c>
      <c r="C3" s="20">
        <v>301</v>
      </c>
      <c r="D3" s="20">
        <v>302</v>
      </c>
      <c r="E3" s="20">
        <v>303</v>
      </c>
      <c r="F3" s="20">
        <v>304</v>
      </c>
      <c r="G3" s="20">
        <v>305</v>
      </c>
      <c r="H3" s="20">
        <v>306</v>
      </c>
      <c r="I3" s="20">
        <v>307</v>
      </c>
      <c r="J3" s="20">
        <v>308</v>
      </c>
      <c r="K3" s="20">
        <v>309</v>
      </c>
      <c r="L3" s="20">
        <v>310</v>
      </c>
      <c r="M3" s="20">
        <v>311</v>
      </c>
      <c r="N3" s="20">
        <v>312</v>
      </c>
      <c r="O3" s="20">
        <v>313</v>
      </c>
      <c r="P3" s="20">
        <v>314</v>
      </c>
      <c r="Q3" s="20">
        <v>315</v>
      </c>
      <c r="R3" s="20">
        <v>316</v>
      </c>
      <c r="S3" s="20">
        <v>317</v>
      </c>
    </row>
    <row r="4" ht="16.25" spans="1:19">
      <c r="A4" s="21"/>
      <c r="B4" s="22" t="s">
        <v>361</v>
      </c>
      <c r="C4" s="4" t="str">
        <f>VLOOKUP(C3,'【3-2】大区&amp;运营中心填-房间模型价'!$H:$AM,2,0)</f>
        <v>A</v>
      </c>
      <c r="D4" s="4" t="str">
        <f>VLOOKUP(D3,'【3-2】大区&amp;运营中心填-房间模型价'!$H:$AM,2,0)</f>
        <v>B</v>
      </c>
      <c r="E4" s="4" t="str">
        <f>VLOOKUP(E3,'【3-2】大区&amp;运营中心填-房间模型价'!$H:$AM,2,0)</f>
        <v>C</v>
      </c>
      <c r="F4" s="4" t="str">
        <f>VLOOKUP(F3,'【3-2】大区&amp;运营中心填-房间模型价'!$H:$AM,2,0)</f>
        <v>D</v>
      </c>
      <c r="G4" s="4" t="str">
        <f>VLOOKUP(G3,'【3-2】大区&amp;运营中心填-房间模型价'!$H:$AM,2,0)</f>
        <v>E</v>
      </c>
      <c r="H4" s="4" t="str">
        <f>VLOOKUP(H3,'【3-2】大区&amp;运营中心填-房间模型价'!$H:$AM,2,0)</f>
        <v>F</v>
      </c>
      <c r="I4" s="4" t="str">
        <f>VLOOKUP(I3,'【3-2】大区&amp;运营中心填-房间模型价'!$H:$AM,2,0)</f>
        <v>G</v>
      </c>
      <c r="J4" s="4" t="str">
        <f>VLOOKUP(J3,'【3-2】大区&amp;运营中心填-房间模型价'!$H:$AM,2,0)</f>
        <v>H</v>
      </c>
      <c r="K4" s="4" t="str">
        <f>VLOOKUP(K3,'【3-2】大区&amp;运营中心填-房间模型价'!$H:$AM,2,0)</f>
        <v>I</v>
      </c>
      <c r="L4" s="4" t="str">
        <f>VLOOKUP(L3,'【3-2】大区&amp;运营中心填-房间模型价'!$H:$AM,2,0)</f>
        <v>I</v>
      </c>
      <c r="M4" s="4" t="str">
        <f>VLOOKUP(M3,'【3-2】大区&amp;运营中心填-房间模型价'!$H:$AM,2,0)</f>
        <v>J</v>
      </c>
      <c r="N4" s="4" t="str">
        <f>VLOOKUP(N3,'【3-2】大区&amp;运营中心填-房间模型价'!$H:$AM,2,0)</f>
        <v>K</v>
      </c>
      <c r="O4" s="4" t="str">
        <f>VLOOKUP(O3,'【3-2】大区&amp;运营中心填-房间模型价'!$H:$AM,2,0)</f>
        <v>L</v>
      </c>
      <c r="P4" s="4" t="str">
        <f>VLOOKUP(P3,'【3-2】大区&amp;运营中心填-房间模型价'!$H:$AM,2,0)</f>
        <v>M</v>
      </c>
      <c r="Q4" s="4" t="str">
        <f>VLOOKUP(Q3,'【3-2】大区&amp;运营中心填-房间模型价'!$H:$AM,2,0)</f>
        <v>N</v>
      </c>
      <c r="R4" s="4" t="str">
        <f>VLOOKUP(R3,'【3-2】大区&amp;运营中心填-房间模型价'!$H:$AM,2,0)</f>
        <v>O</v>
      </c>
      <c r="S4" s="4" t="str">
        <f>VLOOKUP(S3,'【3-2】大区&amp;运营中心填-房间模型价'!$H:$AM,2,0)</f>
        <v>P</v>
      </c>
    </row>
    <row r="5" ht="16.25" spans="1:19">
      <c r="A5" s="23"/>
      <c r="B5" s="24" t="s">
        <v>670</v>
      </c>
      <c r="C5" s="25">
        <f>VLOOKUP(C3,'【3-2】大区&amp;运营中心填-房间模型价'!$H:$AM,32,0)</f>
        <v>1010</v>
      </c>
      <c r="D5" s="25">
        <f>VLOOKUP(D3,'【3-2】大区&amp;运营中心填-房间模型价'!$H:$AM,32,0)</f>
        <v>1210</v>
      </c>
      <c r="E5" s="25">
        <f>VLOOKUP(E3,'【3-2】大区&amp;运营中心填-房间模型价'!$H:$AM,32,0)</f>
        <v>1010</v>
      </c>
      <c r="F5" s="25">
        <f>VLOOKUP(F3,'【3-2】大区&amp;运营中心填-房间模型价'!$H:$AM,32,0)</f>
        <v>1010</v>
      </c>
      <c r="G5" s="25">
        <f>VLOOKUP(G3,'【3-2】大区&amp;运营中心填-房间模型价'!$H:$AM,32,0)</f>
        <v>1400</v>
      </c>
      <c r="H5" s="25">
        <f>VLOOKUP(H3,'【3-2】大区&amp;运营中心填-房间模型价'!$H:$AM,32,0)</f>
        <v>1530</v>
      </c>
      <c r="I5" s="25">
        <f>VLOOKUP(I3,'【3-2】大区&amp;运营中心填-房间模型价'!$H:$AM,32,0)</f>
        <v>1250</v>
      </c>
      <c r="J5" s="25">
        <f>VLOOKUP(J3,'【3-2】大区&amp;运营中心填-房间模型价'!$H:$AM,32,0)</f>
        <v>1470</v>
      </c>
      <c r="K5" s="25">
        <f>VLOOKUP(K3,'【3-2】大区&amp;运营中心填-房间模型价'!$H:$AM,32,0)</f>
        <v>1800</v>
      </c>
      <c r="L5" s="25">
        <f>VLOOKUP(L3,'【3-2】大区&amp;运营中心填-房间模型价'!$H:$AM,32,0)</f>
        <v>2050</v>
      </c>
      <c r="M5" s="25">
        <f>VLOOKUP(M3,'【3-2】大区&amp;运营中心填-房间模型价'!$H:$AM,32,0)</f>
        <v>1050</v>
      </c>
      <c r="N5" s="25">
        <f>VLOOKUP(N3,'【3-2】大区&amp;运营中心填-房间模型价'!$H:$AM,32,0)</f>
        <v>1800</v>
      </c>
      <c r="O5" s="25">
        <f>VLOOKUP(O3,'【3-2】大区&amp;运营中心填-房间模型价'!$H:$AM,32,0)</f>
        <v>1500</v>
      </c>
      <c r="P5" s="25">
        <f>VLOOKUP(P3,'【3-2】大区&amp;运营中心填-房间模型价'!$H:$AM,32,0)</f>
        <v>1010</v>
      </c>
      <c r="Q5" s="25">
        <f>VLOOKUP(Q3,'【3-2】大区&amp;运营中心填-房间模型价'!$H:$AM,32,0)</f>
        <v>1400</v>
      </c>
      <c r="R5" s="25">
        <f>VLOOKUP(R3,'【3-2】大区&amp;运营中心填-房间模型价'!$H:$AM,32,0)</f>
        <v>1200</v>
      </c>
      <c r="S5" s="25">
        <f>VLOOKUP(S3,'【3-2】大区&amp;运营中心填-房间模型价'!$H:$AM,32,0)</f>
        <v>1010</v>
      </c>
    </row>
    <row r="6" ht="18" spans="1:19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ht="15.4" spans="1:19">
      <c r="A7" s="21" t="s">
        <v>671</v>
      </c>
      <c r="B7" s="22" t="s">
        <v>669</v>
      </c>
      <c r="C7" s="29">
        <v>401</v>
      </c>
      <c r="D7" s="29">
        <v>402</v>
      </c>
      <c r="E7" s="29">
        <v>403</v>
      </c>
      <c r="F7" s="29">
        <v>404</v>
      </c>
      <c r="G7" s="29">
        <v>405</v>
      </c>
      <c r="H7" s="29">
        <v>406</v>
      </c>
      <c r="I7" s="29">
        <v>407</v>
      </c>
      <c r="J7" s="29">
        <v>408</v>
      </c>
      <c r="K7" s="29">
        <v>409</v>
      </c>
      <c r="L7" s="29">
        <v>410</v>
      </c>
      <c r="M7" s="29">
        <v>411</v>
      </c>
      <c r="N7" s="29">
        <v>412</v>
      </c>
      <c r="O7" s="29">
        <v>413</v>
      </c>
      <c r="P7" s="29">
        <v>414</v>
      </c>
      <c r="Q7" s="29"/>
      <c r="R7" s="29"/>
      <c r="S7" s="29"/>
    </row>
    <row r="8" ht="16.25" spans="1:19">
      <c r="A8" s="21"/>
      <c r="B8" s="22" t="s">
        <v>361</v>
      </c>
      <c r="C8" s="4" t="str">
        <f>VLOOKUP(C7,'【3-2】大区&amp;运营中心填-房间模型价'!$H:$AM,2,0)</f>
        <v>Q</v>
      </c>
      <c r="D8" s="4" t="str">
        <f>VLOOKUP(D7,'【3-2】大区&amp;运营中心填-房间模型价'!$H:$AM,2,0)</f>
        <v>R</v>
      </c>
      <c r="E8" s="4" t="str">
        <f>VLOOKUP(E7,'【3-2】大区&amp;运营中心填-房间模型价'!$H:$AM,2,0)</f>
        <v>S</v>
      </c>
      <c r="F8" s="4" t="str">
        <f>VLOOKUP(F7,'【3-2】大区&amp;运营中心填-房间模型价'!$H:$AM,2,0)</f>
        <v>T</v>
      </c>
      <c r="G8" s="4" t="str">
        <f>VLOOKUP(G7,'【3-2】大区&amp;运营中心填-房间模型价'!$H:$AM,2,0)</f>
        <v>U</v>
      </c>
      <c r="H8" s="4" t="str">
        <f>VLOOKUP(H7,'【3-2】大区&amp;运营中心填-房间模型价'!$H:$AM,2,0)</f>
        <v>V</v>
      </c>
      <c r="I8" s="4" t="str">
        <f>VLOOKUP(I7,'【3-2】大区&amp;运营中心填-房间模型价'!$H:$AM,2,0)</f>
        <v>W</v>
      </c>
      <c r="J8" s="4" t="str">
        <f>VLOOKUP(J7,'【3-2】大区&amp;运营中心填-房间模型价'!$H:$AM,2,0)</f>
        <v>W</v>
      </c>
      <c r="K8" s="4" t="str">
        <f>VLOOKUP(K7,'【3-2】大区&amp;运营中心填-房间模型价'!$H:$AM,2,0)</f>
        <v>V</v>
      </c>
      <c r="L8" s="4" t="str">
        <f>VLOOKUP(L7,'【3-2】大区&amp;运营中心填-房间模型价'!$H:$AM,2,0)</f>
        <v>X</v>
      </c>
      <c r="M8" s="4" t="str">
        <f>VLOOKUP(M7,'【3-2】大区&amp;运营中心填-房间模型价'!$H:$AM,2,0)</f>
        <v>Y</v>
      </c>
      <c r="N8" s="4" t="str">
        <f>VLOOKUP(N7,'【3-2】大区&amp;运营中心填-房间模型价'!$H:$AM,2,0)</f>
        <v>Z</v>
      </c>
      <c r="O8" s="4" t="str">
        <f>VLOOKUP(O7,'【3-2】大区&amp;运营中心填-房间模型价'!$H:$AM,2,0)</f>
        <v>R</v>
      </c>
      <c r="P8" s="4" t="str">
        <f>VLOOKUP(P7,'【3-2】大区&amp;运营中心填-房间模型价'!$H:$AM,2,0)</f>
        <v>Q</v>
      </c>
      <c r="Q8" s="4"/>
      <c r="R8" s="4"/>
      <c r="S8" s="4"/>
    </row>
    <row r="9" ht="16.25" spans="1:19">
      <c r="A9" s="23"/>
      <c r="B9" s="24" t="s">
        <v>670</v>
      </c>
      <c r="C9" s="25">
        <f>VLOOKUP(C7,'【3-2】大区&amp;运营中心填-房间模型价'!$H:$AM,32,0)</f>
        <v>1730</v>
      </c>
      <c r="D9" s="25">
        <f>VLOOKUP(D7,'【3-2】大区&amp;运营中心填-房间模型价'!$H:$AM,32,0)</f>
        <v>2160</v>
      </c>
      <c r="E9" s="25">
        <f>VLOOKUP(E7,'【3-2】大区&amp;运营中心填-房间模型价'!$H:$AM,32,0)</f>
        <v>1390</v>
      </c>
      <c r="F9" s="25">
        <f>VLOOKUP(F7,'【3-2】大区&amp;运营中心填-房间模型价'!$H:$AM,32,0)</f>
        <v>1480</v>
      </c>
      <c r="G9" s="25">
        <f>VLOOKUP(G7,'【3-2】大区&amp;运营中心填-房间模型价'!$H:$AM,32,0)</f>
        <v>2080</v>
      </c>
      <c r="H9" s="25">
        <f>VLOOKUP(H7,'【3-2】大区&amp;运营中心填-房间模型价'!$H:$AM,32,0)</f>
        <v>1770</v>
      </c>
      <c r="I9" s="25">
        <f>VLOOKUP(I7,'【3-2】大区&amp;运营中心填-房间模型价'!$H:$AM,32,0)</f>
        <v>2070</v>
      </c>
      <c r="J9" s="25">
        <f>VLOOKUP(J7,'【3-2】大区&amp;运营中心填-房间模型价'!$H:$AM,32,0)</f>
        <v>2170</v>
      </c>
      <c r="K9" s="25">
        <f>VLOOKUP(K7,'【3-2】大区&amp;运营中心填-房间模型价'!$H:$AM,32,0)</f>
        <v>1770</v>
      </c>
      <c r="L9" s="25">
        <f>VLOOKUP(L7,'【3-2】大区&amp;运营中心填-房间模型价'!$H:$AM,32,0)</f>
        <v>2280</v>
      </c>
      <c r="M9" s="25">
        <f>VLOOKUP(M7,'【3-2】大区&amp;运营中心填-房间模型价'!$H:$AM,32,0)</f>
        <v>1480</v>
      </c>
      <c r="N9" s="25">
        <f>VLOOKUP(N7,'【3-2】大区&amp;运营中心填-房间模型价'!$H:$AM,32,0)</f>
        <v>1390</v>
      </c>
      <c r="O9" s="25">
        <f>VLOOKUP(O7,'【3-2】大区&amp;运营中心填-房间模型价'!$H:$AM,32,0)</f>
        <v>2280</v>
      </c>
      <c r="P9" s="25">
        <f>VLOOKUP(P7,'【3-2】大区&amp;运营中心填-房间模型价'!$H:$AM,32,0)</f>
        <v>1830</v>
      </c>
      <c r="Q9" s="25"/>
      <c r="R9" s="25"/>
      <c r="S9" s="25"/>
    </row>
    <row r="10" ht="18" spans="1:19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ht="15.4" spans="1:19">
      <c r="A11" s="21" t="s">
        <v>672</v>
      </c>
      <c r="B11" s="22" t="s">
        <v>669</v>
      </c>
      <c r="C11" s="29">
        <v>501</v>
      </c>
      <c r="D11" s="29">
        <v>502</v>
      </c>
      <c r="E11" s="29">
        <v>503</v>
      </c>
      <c r="F11" s="29">
        <v>504</v>
      </c>
      <c r="G11" s="29">
        <v>505</v>
      </c>
      <c r="H11" s="29">
        <v>506</v>
      </c>
      <c r="I11" s="29">
        <v>507</v>
      </c>
      <c r="J11" s="29">
        <v>508</v>
      </c>
      <c r="K11" s="29">
        <v>509</v>
      </c>
      <c r="L11" s="29">
        <v>510</v>
      </c>
      <c r="M11" s="29">
        <v>511</v>
      </c>
      <c r="N11" s="29">
        <v>512</v>
      </c>
      <c r="O11" s="29">
        <v>513</v>
      </c>
      <c r="P11" s="29">
        <v>514</v>
      </c>
      <c r="Q11" s="29"/>
      <c r="R11" s="29"/>
      <c r="S11" s="29"/>
    </row>
    <row r="12" ht="16.25" spans="1:19">
      <c r="A12" s="21"/>
      <c r="B12" s="22" t="s">
        <v>361</v>
      </c>
      <c r="C12" s="4" t="str">
        <f>VLOOKUP(C11,'【3-2】大区&amp;运营中心填-房间模型价'!$H:$AM,2,0)</f>
        <v>Q</v>
      </c>
      <c r="D12" s="4" t="str">
        <f>VLOOKUP(D11,'【3-2】大区&amp;运营中心填-房间模型价'!$H:$AM,2,0)</f>
        <v>R</v>
      </c>
      <c r="E12" s="4" t="str">
        <f>VLOOKUP(E11,'【3-2】大区&amp;运营中心填-房间模型价'!$H:$AM,2,0)</f>
        <v>S</v>
      </c>
      <c r="F12" s="4" t="str">
        <f>VLOOKUP(F11,'【3-2】大区&amp;运营中心填-房间模型价'!$H:$AM,2,0)</f>
        <v>T</v>
      </c>
      <c r="G12" s="4" t="str">
        <f>VLOOKUP(G11,'【3-2】大区&amp;运营中心填-房间模型价'!$H:$AM,2,0)</f>
        <v>U</v>
      </c>
      <c r="H12" s="4" t="str">
        <f>VLOOKUP(H11,'【3-2】大区&amp;运营中心填-房间模型价'!$H:$AM,2,0)</f>
        <v>V</v>
      </c>
      <c r="I12" s="4" t="str">
        <f>VLOOKUP(I11,'【3-2】大区&amp;运营中心填-房间模型价'!$H:$AM,2,0)</f>
        <v>W</v>
      </c>
      <c r="J12" s="4" t="str">
        <f>VLOOKUP(J11,'【3-2】大区&amp;运营中心填-房间模型价'!$H:$AM,2,0)</f>
        <v>W</v>
      </c>
      <c r="K12" s="4" t="str">
        <f>VLOOKUP(K11,'【3-2】大区&amp;运营中心填-房间模型价'!$H:$AM,2,0)</f>
        <v>V</v>
      </c>
      <c r="L12" s="4" t="str">
        <f>VLOOKUP(L11,'【3-2】大区&amp;运营中心填-房间模型价'!$H:$AM,2,0)</f>
        <v>X</v>
      </c>
      <c r="M12" s="4" t="str">
        <f>VLOOKUP(M11,'【3-2】大区&amp;运营中心填-房间模型价'!$H:$AM,2,0)</f>
        <v>Y</v>
      </c>
      <c r="N12" s="4" t="str">
        <f>VLOOKUP(N11,'【3-2】大区&amp;运营中心填-房间模型价'!$H:$AM,2,0)</f>
        <v>Z</v>
      </c>
      <c r="O12" s="4" t="str">
        <f>VLOOKUP(O11,'【3-2】大区&amp;运营中心填-房间模型价'!$H:$AM,2,0)</f>
        <v>R</v>
      </c>
      <c r="P12" s="4" t="str">
        <f>VLOOKUP(P11,'【3-2】大区&amp;运营中心填-房间模型价'!$H:$AM,2,0)</f>
        <v>Q</v>
      </c>
      <c r="Q12" s="4"/>
      <c r="R12" s="4"/>
      <c r="S12" s="4"/>
    </row>
    <row r="13" ht="16.25" spans="1:19">
      <c r="A13" s="23"/>
      <c r="B13" s="24" t="s">
        <v>670</v>
      </c>
      <c r="C13" s="25">
        <f>VLOOKUP(C11,'【3-2】大区&amp;运营中心填-房间模型价'!$H:$AM,32,0)</f>
        <v>1710</v>
      </c>
      <c r="D13" s="25">
        <f>VLOOKUP(D11,'【3-2】大区&amp;运营中心填-房间模型价'!$H:$AM,32,0)</f>
        <v>2140</v>
      </c>
      <c r="E13" s="25">
        <f>VLOOKUP(E11,'【3-2】大区&amp;运营中心填-房间模型价'!$H:$AM,32,0)</f>
        <v>1370</v>
      </c>
      <c r="F13" s="25">
        <f>VLOOKUP(F11,'【3-2】大区&amp;运营中心填-房间模型价'!$H:$AM,32,0)</f>
        <v>1460</v>
      </c>
      <c r="G13" s="25">
        <f>VLOOKUP(G11,'【3-2】大区&amp;运营中心填-房间模型价'!$H:$AM,32,0)</f>
        <v>2060</v>
      </c>
      <c r="H13" s="25">
        <f>VLOOKUP(H11,'【3-2】大区&amp;运营中心填-房间模型价'!$H:$AM,32,0)</f>
        <v>1750</v>
      </c>
      <c r="I13" s="25">
        <f>VLOOKUP(I11,'【3-2】大区&amp;运营中心填-房间模型价'!$H:$AM,32,0)</f>
        <v>2070</v>
      </c>
      <c r="J13" s="25">
        <f>VLOOKUP(J11,'【3-2】大区&amp;运营中心填-房间模型价'!$H:$AM,32,0)</f>
        <v>2070</v>
      </c>
      <c r="K13" s="25">
        <f>VLOOKUP(K11,'【3-2】大区&amp;运营中心填-房间模型价'!$H:$AM,32,0)</f>
        <v>1750</v>
      </c>
      <c r="L13" s="25">
        <f>VLOOKUP(L11,'【3-2】大区&amp;运营中心填-房间模型价'!$H:$AM,32,0)</f>
        <v>2380</v>
      </c>
      <c r="M13" s="25">
        <f>VLOOKUP(M11,'【3-2】大区&amp;运营中心填-房间模型价'!$H:$AM,32,0)</f>
        <v>1460</v>
      </c>
      <c r="N13" s="25">
        <f>VLOOKUP(N11,'【3-2】大区&amp;运营中心填-房间模型价'!$H:$AM,32,0)</f>
        <v>1370</v>
      </c>
      <c r="O13" s="25">
        <f>VLOOKUP(O11,'【3-2】大区&amp;运营中心填-房间模型价'!$H:$AM,32,0)</f>
        <v>2040</v>
      </c>
      <c r="P13" s="25">
        <f>VLOOKUP(P11,'【3-2】大区&amp;运营中心填-房间模型价'!$H:$AM,32,0)</f>
        <v>1710</v>
      </c>
      <c r="Q13" s="25"/>
      <c r="R13" s="25"/>
      <c r="S13" s="25"/>
    </row>
    <row r="14" ht="18" spans="1:19">
      <c r="A14" s="26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ht="15.4" spans="1:19">
      <c r="A15" s="21" t="s">
        <v>673</v>
      </c>
      <c r="B15" s="22" t="s">
        <v>669</v>
      </c>
      <c r="C15" s="29">
        <v>601</v>
      </c>
      <c r="D15" s="29">
        <v>602</v>
      </c>
      <c r="E15" s="29">
        <v>603</v>
      </c>
      <c r="F15" s="29">
        <v>604</v>
      </c>
      <c r="G15" s="29">
        <v>605</v>
      </c>
      <c r="H15" s="29">
        <v>606</v>
      </c>
      <c r="I15" s="29">
        <v>607</v>
      </c>
      <c r="J15" s="29">
        <v>608</v>
      </c>
      <c r="K15" s="29">
        <v>609</v>
      </c>
      <c r="L15" s="29">
        <v>610</v>
      </c>
      <c r="M15" s="29">
        <v>611</v>
      </c>
      <c r="N15" s="29">
        <v>612</v>
      </c>
      <c r="O15" s="29">
        <v>613</v>
      </c>
      <c r="P15" s="29">
        <v>614</v>
      </c>
      <c r="Q15" s="29"/>
      <c r="R15" s="29"/>
      <c r="S15" s="29"/>
    </row>
    <row r="16" ht="16.25" spans="1:19">
      <c r="A16" s="21"/>
      <c r="B16" s="22" t="s">
        <v>361</v>
      </c>
      <c r="C16" s="4" t="str">
        <f>VLOOKUP(C15,'【3-2】大区&amp;运营中心填-房间模型价'!$H:$AM,2,0)</f>
        <v>Q</v>
      </c>
      <c r="D16" s="4" t="str">
        <f>VLOOKUP(D15,'【3-2】大区&amp;运营中心填-房间模型价'!$H:$AM,2,0)</f>
        <v>R</v>
      </c>
      <c r="E16" s="4" t="str">
        <f>VLOOKUP(E15,'【3-2】大区&amp;运营中心填-房间模型价'!$H:$AM,2,0)</f>
        <v>S</v>
      </c>
      <c r="F16" s="4" t="str">
        <f>VLOOKUP(F15,'【3-2】大区&amp;运营中心填-房间模型价'!$H:$AM,2,0)</f>
        <v>T</v>
      </c>
      <c r="G16" s="4" t="str">
        <f>VLOOKUP(G15,'【3-2】大区&amp;运营中心填-房间模型价'!$H:$AM,2,0)</f>
        <v>U</v>
      </c>
      <c r="H16" s="4" t="str">
        <f>VLOOKUP(H15,'【3-2】大区&amp;运营中心填-房间模型价'!$H:$AM,2,0)</f>
        <v>V</v>
      </c>
      <c r="I16" s="4" t="str">
        <f>VLOOKUP(I15,'【3-2】大区&amp;运营中心填-房间模型价'!$H:$AM,2,0)</f>
        <v>W</v>
      </c>
      <c r="J16" s="4" t="str">
        <f>VLOOKUP(J15,'【3-2】大区&amp;运营中心填-房间模型价'!$H:$AM,2,0)</f>
        <v>W</v>
      </c>
      <c r="K16" s="4" t="str">
        <f>VLOOKUP(K15,'【3-2】大区&amp;运营中心填-房间模型价'!$H:$AM,2,0)</f>
        <v>V</v>
      </c>
      <c r="L16" s="4" t="str">
        <f>VLOOKUP(L15,'【3-2】大区&amp;运营中心填-房间模型价'!$H:$AM,2,0)</f>
        <v>X</v>
      </c>
      <c r="M16" s="4" t="str">
        <f>VLOOKUP(M15,'【3-2】大区&amp;运营中心填-房间模型价'!$H:$AM,2,0)</f>
        <v>Y</v>
      </c>
      <c r="N16" s="4" t="str">
        <f>VLOOKUP(N15,'【3-2】大区&amp;运营中心填-房间模型价'!$H:$AM,2,0)</f>
        <v>Z</v>
      </c>
      <c r="O16" s="4" t="str">
        <f>VLOOKUP(O15,'【3-2】大区&amp;运营中心填-房间模型价'!$H:$AM,2,0)</f>
        <v>R</v>
      </c>
      <c r="P16" s="4" t="str">
        <f>VLOOKUP(P15,'【3-2】大区&amp;运营中心填-房间模型价'!$H:$AM,2,0)</f>
        <v>Q</v>
      </c>
      <c r="Q16" s="4"/>
      <c r="R16" s="4"/>
      <c r="S16" s="4"/>
    </row>
    <row r="17" ht="16.25" spans="1:19">
      <c r="A17" s="23"/>
      <c r="B17" s="24" t="s">
        <v>670</v>
      </c>
      <c r="C17" s="25">
        <f>VLOOKUP(C15,'【3-2】大区&amp;运营中心填-房间模型价'!$H:$AM,32,0)</f>
        <v>1700</v>
      </c>
      <c r="D17" s="25">
        <f>VLOOKUP(D15,'【3-2】大区&amp;运营中心填-房间模型价'!$H:$AM,32,0)</f>
        <v>2000</v>
      </c>
      <c r="E17" s="25">
        <f>VLOOKUP(E15,'【3-2】大区&amp;运营中心填-房间模型价'!$H:$AM,32,0)</f>
        <v>1360</v>
      </c>
      <c r="F17" s="25">
        <f>VLOOKUP(F15,'【3-2】大区&amp;运营中心填-房间模型价'!$H:$AM,32,0)</f>
        <v>1450</v>
      </c>
      <c r="G17" s="25">
        <f>VLOOKUP(G15,'【3-2】大区&amp;运营中心填-房间模型价'!$H:$AM,32,0)</f>
        <v>2020</v>
      </c>
      <c r="H17" s="25">
        <f>VLOOKUP(H15,'【3-2】大区&amp;运营中心填-房间模型价'!$H:$AM,32,0)</f>
        <v>1730</v>
      </c>
      <c r="I17" s="25">
        <f>VLOOKUP(I15,'【3-2】大区&amp;运营中心填-房间模型价'!$H:$AM,32,0)</f>
        <v>2030</v>
      </c>
      <c r="J17" s="25">
        <f>VLOOKUP(J15,'【3-2】大区&amp;运营中心填-房间模型价'!$H:$AM,32,0)</f>
        <v>2030</v>
      </c>
      <c r="K17" s="25">
        <f>VLOOKUP(K15,'【3-2】大区&amp;运营中心填-房间模型价'!$H:$AM,32,0)</f>
        <v>1730</v>
      </c>
      <c r="L17" s="25">
        <f>VLOOKUP(L15,'【3-2】大区&amp;运营中心填-房间模型价'!$H:$AM,32,0)</f>
        <v>2020</v>
      </c>
      <c r="M17" s="25">
        <f>VLOOKUP(M15,'【3-2】大区&amp;运营中心填-房间模型价'!$H:$AM,32,0)</f>
        <v>1450</v>
      </c>
      <c r="N17" s="25">
        <f>VLOOKUP(N15,'【3-2】大区&amp;运营中心填-房间模型价'!$H:$AM,32,0)</f>
        <v>1360</v>
      </c>
      <c r="O17" s="25">
        <f>VLOOKUP(O15,'【3-2】大区&amp;运营中心填-房间模型价'!$H:$AM,32,0)</f>
        <v>2000</v>
      </c>
      <c r="P17" s="25">
        <f>VLOOKUP(P15,'【3-2】大区&amp;运营中心填-房间模型价'!$H:$AM,32,0)</f>
        <v>1700</v>
      </c>
      <c r="Q17" s="25"/>
      <c r="R17" s="25"/>
      <c r="S17" s="25"/>
    </row>
    <row r="18" ht="18" spans="1:19">
      <c r="A18" s="26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ht="15.4" spans="1:19">
      <c r="A19" s="21" t="s">
        <v>674</v>
      </c>
      <c r="B19" s="22" t="s">
        <v>669</v>
      </c>
      <c r="C19" s="29">
        <v>701</v>
      </c>
      <c r="D19" s="29">
        <v>702</v>
      </c>
      <c r="E19" s="29">
        <v>703</v>
      </c>
      <c r="F19" s="29">
        <v>704</v>
      </c>
      <c r="G19" s="29">
        <v>705</v>
      </c>
      <c r="H19" s="29">
        <v>706</v>
      </c>
      <c r="I19" s="29">
        <v>707</v>
      </c>
      <c r="J19" s="29">
        <v>708</v>
      </c>
      <c r="K19" s="29">
        <v>709</v>
      </c>
      <c r="L19" s="29">
        <v>710</v>
      </c>
      <c r="M19" s="29">
        <v>711</v>
      </c>
      <c r="N19" s="29">
        <v>712</v>
      </c>
      <c r="O19" s="29">
        <v>713</v>
      </c>
      <c r="P19" s="29">
        <v>714</v>
      </c>
      <c r="Q19" s="29">
        <v>715</v>
      </c>
      <c r="R19" s="29"/>
      <c r="S19" s="29"/>
    </row>
    <row r="20" ht="16.25" spans="1:19">
      <c r="A20" s="21"/>
      <c r="B20" s="22" t="s">
        <v>361</v>
      </c>
      <c r="C20" s="4" t="str">
        <f>VLOOKUP(C19,'【3-2】大区&amp;运营中心填-房间模型价'!$H:$AM,2,0)</f>
        <v>Q</v>
      </c>
      <c r="D20" s="4" t="str">
        <f>VLOOKUP(D19,'【3-2】大区&amp;运营中心填-房间模型价'!$H:$AM,2,0)</f>
        <v>R</v>
      </c>
      <c r="E20" s="4" t="str">
        <f>VLOOKUP(E19,'【3-2】大区&amp;运营中心填-房间模型价'!$H:$AM,2,0)</f>
        <v>S</v>
      </c>
      <c r="F20" s="4" t="str">
        <f>VLOOKUP(F19,'【3-2】大区&amp;运营中心填-房间模型价'!$H:$AM,2,0)</f>
        <v>AA</v>
      </c>
      <c r="G20" s="4" t="str">
        <f>VLOOKUP(G19,'【3-2】大区&amp;运营中心填-房间模型价'!$H:$AM,2,0)</f>
        <v>AA</v>
      </c>
      <c r="H20" s="4" t="str">
        <f>VLOOKUP(H19,'【3-2】大区&amp;运营中心填-房间模型价'!$H:$AM,2,0)</f>
        <v>BB</v>
      </c>
      <c r="I20" s="4" t="str">
        <f>VLOOKUP(I19,'【3-2】大区&amp;运营中心填-房间模型价'!$H:$AM,2,0)</f>
        <v>CC</v>
      </c>
      <c r="J20" s="4" t="str">
        <f>VLOOKUP(J19,'【3-2】大区&amp;运营中心填-房间模型价'!$H:$AM,2,0)</f>
        <v>W</v>
      </c>
      <c r="K20" s="4" t="str">
        <f>VLOOKUP(K19,'【3-2】大区&amp;运营中心填-房间模型价'!$H:$AM,2,0)</f>
        <v>W</v>
      </c>
      <c r="L20" s="4" t="str">
        <f>VLOOKUP(L19,'【3-2】大区&amp;运营中心填-房间模型价'!$H:$AM,2,0)</f>
        <v>V</v>
      </c>
      <c r="M20" s="4" t="str">
        <f>VLOOKUP(M19,'【3-2】大区&amp;运营中心填-房间模型价'!$H:$AM,2,0)</f>
        <v>X</v>
      </c>
      <c r="N20" s="4" t="str">
        <f>VLOOKUP(N19,'【3-2】大区&amp;运营中心填-房间模型价'!$H:$AM,2,0)</f>
        <v>Y</v>
      </c>
      <c r="O20" s="4" t="str">
        <f>VLOOKUP(O19,'【3-2】大区&amp;运营中心填-房间模型价'!$H:$AM,2,0)</f>
        <v>Z</v>
      </c>
      <c r="P20" s="4" t="str">
        <f>VLOOKUP(P19,'【3-2】大区&amp;运营中心填-房间模型价'!$H:$AM,2,0)</f>
        <v>R</v>
      </c>
      <c r="Q20" s="4" t="str">
        <f>VLOOKUP(Q19,'【3-2】大区&amp;运营中心填-房间模型价'!$H:$AM,2,0)</f>
        <v>Q</v>
      </c>
      <c r="R20" s="4"/>
      <c r="S20" s="4"/>
    </row>
    <row r="21" ht="16.25" spans="1:19">
      <c r="A21" s="23"/>
      <c r="B21" s="24" t="s">
        <v>670</v>
      </c>
      <c r="C21" s="25">
        <f>VLOOKUP(C19,'【3-2】大区&amp;运营中心填-房间模型价'!$H:$AM,32,0)</f>
        <v>1660</v>
      </c>
      <c r="D21" s="25">
        <f>VLOOKUP(D19,'【3-2】大区&amp;运营中心填-房间模型价'!$H:$AM,32,0)</f>
        <v>1960</v>
      </c>
      <c r="E21" s="25">
        <f>VLOOKUP(E19,'【3-2】大区&amp;运营中心填-房间模型价'!$H:$AM,32,0)</f>
        <v>1330</v>
      </c>
      <c r="F21" s="25">
        <f>VLOOKUP(F19,'【3-2】大区&amp;运营中心填-房间模型价'!$H:$AM,32,0)</f>
        <v>1330</v>
      </c>
      <c r="G21" s="25">
        <f>VLOOKUP(G19,'【3-2】大区&amp;运营中心填-房间模型价'!$H:$AM,32,0)</f>
        <v>1460</v>
      </c>
      <c r="H21" s="25">
        <f>VLOOKUP(H19,'【3-2】大区&amp;运营中心填-房间模型价'!$H:$AM,32,0)</f>
        <v>1460</v>
      </c>
      <c r="I21" s="25">
        <f>VLOOKUP(I19,'【3-2】大区&amp;运营中心填-房间模型价'!$H:$AM,32,0)</f>
        <v>1700</v>
      </c>
      <c r="J21" s="25">
        <f>VLOOKUP(J19,'【3-2】大区&amp;运营中心填-房间模型价'!$H:$AM,32,0)</f>
        <v>1990</v>
      </c>
      <c r="K21" s="25">
        <f>VLOOKUP(K19,'【3-2】大区&amp;运营中心填-房间模型价'!$H:$AM,32,0)</f>
        <v>1990</v>
      </c>
      <c r="L21" s="25">
        <f>VLOOKUP(L19,'【3-2】大区&amp;运营中心填-房间模型价'!$H:$AM,32,0)</f>
        <v>1700</v>
      </c>
      <c r="M21" s="25">
        <f>VLOOKUP(M19,'【3-2】大区&amp;运营中心填-房间模型价'!$H:$AM,32,0)</f>
        <v>1960</v>
      </c>
      <c r="N21" s="25">
        <f>VLOOKUP(N19,'【3-2】大区&amp;运营中心填-房间模型价'!$H:$AM,32,0)</f>
        <v>1550</v>
      </c>
      <c r="O21" s="25">
        <f>VLOOKUP(O19,'【3-2】大区&amp;运营中心填-房间模型价'!$H:$AM,32,0)</f>
        <v>1460</v>
      </c>
      <c r="P21" s="25">
        <f>VLOOKUP(P19,'【3-2】大区&amp;运营中心填-房间模型价'!$H:$AM,32,0)</f>
        <v>2000</v>
      </c>
      <c r="Q21" s="25">
        <f>VLOOKUP(Q19,'【3-2】大区&amp;运营中心填-房间模型价'!$H:$AM,32,0)</f>
        <v>1660</v>
      </c>
      <c r="R21" s="25"/>
      <c r="S21" s="25"/>
    </row>
    <row r="22" ht="18" spans="1:19">
      <c r="A22" s="26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</sheetData>
  <mergeCells count="6">
    <mergeCell ref="A3:A5"/>
    <mergeCell ref="A7:A9"/>
    <mergeCell ref="A11:A13"/>
    <mergeCell ref="A15:A17"/>
    <mergeCell ref="A19:A21"/>
    <mergeCell ref="A1:S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B15"/>
  <sheetViews>
    <sheetView workbookViewId="0">
      <selection activeCell="R29" sqref="R29"/>
    </sheetView>
  </sheetViews>
  <sheetFormatPr defaultColWidth="9" defaultRowHeight="14.1"/>
  <cols>
    <col min="2" max="2" width="15.4166666666667" customWidth="1"/>
    <col min="11" max="11" width="9.66666666666667" customWidth="1"/>
  </cols>
  <sheetData>
    <row r="1" ht="18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3" spans="2:28">
      <c r="B3" s="4" t="s">
        <v>675</v>
      </c>
      <c r="C3" s="5" t="s">
        <v>676</v>
      </c>
      <c r="D3" s="6" t="s">
        <v>677</v>
      </c>
      <c r="E3" s="7" t="s">
        <v>678</v>
      </c>
      <c r="F3" s="8" t="s">
        <v>132</v>
      </c>
      <c r="G3" s="9" t="s">
        <v>679</v>
      </c>
      <c r="H3" s="10" t="s">
        <v>680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25" spans="2:28">
      <c r="B4" s="11" t="s">
        <v>681</v>
      </c>
      <c r="C4" s="4" t="s">
        <v>682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6.25" spans="2:28">
      <c r="B5" s="11"/>
      <c r="C5" s="4" t="s">
        <v>683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6.25" spans="2:28">
      <c r="B7" s="4" t="s">
        <v>684</v>
      </c>
      <c r="C7" s="4"/>
      <c r="D7" s="4"/>
      <c r="E7" s="4"/>
      <c r="F7" s="4"/>
      <c r="G7" s="4"/>
      <c r="H7" s="3"/>
      <c r="I7" s="4" t="s">
        <v>684</v>
      </c>
      <c r="J7" s="4"/>
      <c r="K7" s="4"/>
      <c r="L7" s="4"/>
      <c r="M7" s="4"/>
      <c r="N7" s="4" t="s">
        <v>157</v>
      </c>
      <c r="O7" s="3"/>
      <c r="P7" s="4" t="s">
        <v>684</v>
      </c>
      <c r="Q7" s="4"/>
      <c r="R7" s="4"/>
      <c r="S7" s="4"/>
      <c r="T7" s="4"/>
      <c r="U7" s="4" t="s">
        <v>157</v>
      </c>
      <c r="V7" s="3"/>
      <c r="W7" s="4" t="s">
        <v>684</v>
      </c>
      <c r="X7" s="4"/>
      <c r="Y7" s="4"/>
      <c r="Z7" s="4"/>
      <c r="AA7" s="4"/>
      <c r="AB7" s="4" t="s">
        <v>157</v>
      </c>
    </row>
    <row r="8" ht="16.25" spans="2:28">
      <c r="B8" s="4" t="s">
        <v>685</v>
      </c>
      <c r="C8" s="4"/>
      <c r="D8" s="4"/>
      <c r="E8" s="4"/>
      <c r="F8" s="4" t="s">
        <v>157</v>
      </c>
      <c r="G8" s="4"/>
      <c r="H8" s="3"/>
      <c r="I8" s="4" t="s">
        <v>685</v>
      </c>
      <c r="J8" s="4"/>
      <c r="K8" s="4"/>
      <c r="L8" s="4"/>
      <c r="M8" s="4" t="s">
        <v>157</v>
      </c>
      <c r="N8" s="4" t="s">
        <v>157</v>
      </c>
      <c r="O8" s="3"/>
      <c r="P8" s="4" t="s">
        <v>685</v>
      </c>
      <c r="Q8" s="4"/>
      <c r="R8" s="4"/>
      <c r="S8" s="4"/>
      <c r="T8" s="4" t="s">
        <v>157</v>
      </c>
      <c r="U8" s="4" t="s">
        <v>157</v>
      </c>
      <c r="V8" s="3"/>
      <c r="W8" s="4" t="s">
        <v>685</v>
      </c>
      <c r="X8" s="4"/>
      <c r="Y8" s="4"/>
      <c r="Z8" s="4"/>
      <c r="AA8" s="4" t="s">
        <v>157</v>
      </c>
      <c r="AB8" s="4" t="s">
        <v>157</v>
      </c>
    </row>
    <row r="9" ht="16.25" spans="2:28">
      <c r="B9" s="4" t="s">
        <v>686</v>
      </c>
      <c r="C9" s="4"/>
      <c r="D9" s="4"/>
      <c r="E9" s="4" t="s">
        <v>157</v>
      </c>
      <c r="F9" s="4" t="s">
        <v>388</v>
      </c>
      <c r="G9" s="4"/>
      <c r="H9" s="3"/>
      <c r="I9" s="4" t="s">
        <v>686</v>
      </c>
      <c r="J9" s="4"/>
      <c r="K9" s="4"/>
      <c r="L9" s="4" t="s">
        <v>157</v>
      </c>
      <c r="M9" s="4" t="s">
        <v>157</v>
      </c>
      <c r="N9" s="4" t="s">
        <v>388</v>
      </c>
      <c r="O9" s="3"/>
      <c r="P9" s="4" t="s">
        <v>686</v>
      </c>
      <c r="Q9" s="4"/>
      <c r="R9" s="4"/>
      <c r="S9" s="4" t="s">
        <v>157</v>
      </c>
      <c r="T9" s="4" t="s">
        <v>157</v>
      </c>
      <c r="U9" s="4" t="s">
        <v>388</v>
      </c>
      <c r="V9" s="3"/>
      <c r="W9" s="4" t="s">
        <v>686</v>
      </c>
      <c r="X9" s="4"/>
      <c r="Y9" s="4"/>
      <c r="Z9" s="4" t="s">
        <v>157</v>
      </c>
      <c r="AA9" s="4" t="s">
        <v>157</v>
      </c>
      <c r="AB9" s="4" t="s">
        <v>388</v>
      </c>
    </row>
    <row r="10" ht="16.25" spans="2:28">
      <c r="B10" s="4" t="s">
        <v>687</v>
      </c>
      <c r="C10" s="4"/>
      <c r="D10" s="4" t="s">
        <v>157</v>
      </c>
      <c r="E10" s="4" t="s">
        <v>388</v>
      </c>
      <c r="F10" s="4" t="s">
        <v>63</v>
      </c>
      <c r="G10" s="4"/>
      <c r="H10" s="3"/>
      <c r="I10" s="4" t="s">
        <v>687</v>
      </c>
      <c r="J10" s="4"/>
      <c r="K10" s="4" t="s">
        <v>157</v>
      </c>
      <c r="L10" s="4" t="s">
        <v>157</v>
      </c>
      <c r="M10" s="4" t="s">
        <v>388</v>
      </c>
      <c r="N10" s="4" t="s">
        <v>63</v>
      </c>
      <c r="O10" s="3"/>
      <c r="P10" s="4" t="s">
        <v>687</v>
      </c>
      <c r="Q10" s="4"/>
      <c r="R10" s="4" t="s">
        <v>157</v>
      </c>
      <c r="S10" s="4" t="s">
        <v>157</v>
      </c>
      <c r="T10" s="4" t="s">
        <v>388</v>
      </c>
      <c r="U10" s="4" t="s">
        <v>63</v>
      </c>
      <c r="V10" s="3"/>
      <c r="W10" s="4" t="s">
        <v>687</v>
      </c>
      <c r="X10" s="4"/>
      <c r="Y10" s="4" t="s">
        <v>157</v>
      </c>
      <c r="Z10" s="4" t="s">
        <v>157</v>
      </c>
      <c r="AA10" s="4" t="s">
        <v>388</v>
      </c>
      <c r="AB10" s="4" t="s">
        <v>63</v>
      </c>
    </row>
    <row r="11" ht="16.25" spans="2:28">
      <c r="B11" s="4" t="s">
        <v>688</v>
      </c>
      <c r="C11" s="4" t="s">
        <v>157</v>
      </c>
      <c r="D11" s="4" t="s">
        <v>388</v>
      </c>
      <c r="E11" s="4" t="s">
        <v>63</v>
      </c>
      <c r="F11" s="4" t="s">
        <v>689</v>
      </c>
      <c r="G11" s="4"/>
      <c r="H11" s="3"/>
      <c r="I11" s="4" t="s">
        <v>688</v>
      </c>
      <c r="J11" s="4" t="s">
        <v>157</v>
      </c>
      <c r="K11" s="4" t="s">
        <v>157</v>
      </c>
      <c r="L11" s="4" t="s">
        <v>388</v>
      </c>
      <c r="M11" s="4" t="s">
        <v>63</v>
      </c>
      <c r="N11" s="4" t="s">
        <v>689</v>
      </c>
      <c r="O11" s="3"/>
      <c r="P11" s="4" t="s">
        <v>688</v>
      </c>
      <c r="Q11" s="4" t="s">
        <v>157</v>
      </c>
      <c r="R11" s="4" t="s">
        <v>157</v>
      </c>
      <c r="S11" s="4" t="s">
        <v>388</v>
      </c>
      <c r="T11" s="4" t="s">
        <v>63</v>
      </c>
      <c r="U11" s="4" t="s">
        <v>689</v>
      </c>
      <c r="V11" s="3"/>
      <c r="W11" s="4" t="s">
        <v>688</v>
      </c>
      <c r="X11" s="4" t="s">
        <v>157</v>
      </c>
      <c r="Y11" s="4" t="s">
        <v>157</v>
      </c>
      <c r="Z11" s="4" t="s">
        <v>388</v>
      </c>
      <c r="AA11" s="4" t="s">
        <v>63</v>
      </c>
      <c r="AB11" s="4" t="s">
        <v>689</v>
      </c>
    </row>
    <row r="12" ht="16.25" spans="2:28">
      <c r="B12" s="4" t="s">
        <v>690</v>
      </c>
      <c r="C12" s="4" t="s">
        <v>388</v>
      </c>
      <c r="D12" s="4" t="s">
        <v>63</v>
      </c>
      <c r="E12" s="4" t="s">
        <v>689</v>
      </c>
      <c r="F12" s="9" t="s">
        <v>379</v>
      </c>
      <c r="G12" s="4"/>
      <c r="H12" s="3"/>
      <c r="I12" s="4" t="s">
        <v>690</v>
      </c>
      <c r="J12" s="4" t="s">
        <v>157</v>
      </c>
      <c r="K12" s="4" t="s">
        <v>388</v>
      </c>
      <c r="L12" s="4" t="s">
        <v>63</v>
      </c>
      <c r="M12" s="9" t="s">
        <v>689</v>
      </c>
      <c r="N12" s="4" t="s">
        <v>379</v>
      </c>
      <c r="O12" s="3"/>
      <c r="P12" s="4" t="s">
        <v>690</v>
      </c>
      <c r="Q12" s="4" t="s">
        <v>157</v>
      </c>
      <c r="R12" s="4" t="s">
        <v>388</v>
      </c>
      <c r="S12" s="4" t="s">
        <v>63</v>
      </c>
      <c r="T12" s="9" t="s">
        <v>689</v>
      </c>
      <c r="U12" s="4" t="s">
        <v>379</v>
      </c>
      <c r="V12" s="3"/>
      <c r="W12" s="4" t="s">
        <v>690</v>
      </c>
      <c r="X12" s="4" t="s">
        <v>157</v>
      </c>
      <c r="Y12" s="4" t="s">
        <v>388</v>
      </c>
      <c r="Z12" s="4" t="s">
        <v>63</v>
      </c>
      <c r="AA12" s="9" t="s">
        <v>689</v>
      </c>
      <c r="AB12" s="4" t="s">
        <v>379</v>
      </c>
    </row>
    <row r="13" ht="16.25" spans="2:28">
      <c r="B13" s="4"/>
      <c r="C13" s="4" t="s">
        <v>691</v>
      </c>
      <c r="D13" s="4" t="s">
        <v>692</v>
      </c>
      <c r="E13" s="4" t="s">
        <v>693</v>
      </c>
      <c r="F13" s="4" t="s">
        <v>694</v>
      </c>
      <c r="G13" s="4" t="s">
        <v>695</v>
      </c>
      <c r="H13" s="2"/>
      <c r="I13" s="4"/>
      <c r="J13" s="4" t="s">
        <v>691</v>
      </c>
      <c r="K13" s="4" t="s">
        <v>692</v>
      </c>
      <c r="L13" s="4" t="s">
        <v>693</v>
      </c>
      <c r="M13" s="4" t="s">
        <v>694</v>
      </c>
      <c r="N13" s="4" t="s">
        <v>695</v>
      </c>
      <c r="O13" s="3"/>
      <c r="P13" s="4"/>
      <c r="Q13" s="4" t="s">
        <v>691</v>
      </c>
      <c r="R13" s="4" t="s">
        <v>692</v>
      </c>
      <c r="S13" s="4" t="s">
        <v>693</v>
      </c>
      <c r="T13" s="4" t="s">
        <v>694</v>
      </c>
      <c r="U13" s="4" t="s">
        <v>695</v>
      </c>
      <c r="V13" s="3"/>
      <c r="W13" s="4"/>
      <c r="X13" s="4" t="s">
        <v>691</v>
      </c>
      <c r="Y13" s="4" t="s">
        <v>692</v>
      </c>
      <c r="Z13" s="4" t="s">
        <v>693</v>
      </c>
      <c r="AA13" s="4" t="s">
        <v>694</v>
      </c>
      <c r="AB13" s="4" t="s">
        <v>695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4" spans="2:28">
      <c r="B15" s="14" t="s">
        <v>696</v>
      </c>
      <c r="C15" s="14"/>
      <c r="D15" s="14"/>
      <c r="E15" s="14"/>
      <c r="F15" s="14"/>
      <c r="G15" s="14"/>
      <c r="H15" s="3"/>
      <c r="I15" s="15" t="s">
        <v>697</v>
      </c>
      <c r="J15" s="15"/>
      <c r="K15" s="15"/>
      <c r="L15" s="15"/>
      <c r="M15" s="15"/>
      <c r="N15" s="15"/>
      <c r="O15" s="3"/>
      <c r="P15" s="3"/>
      <c r="Q15" s="3"/>
      <c r="R15" s="15" t="s">
        <v>698</v>
      </c>
      <c r="S15" s="15"/>
      <c r="T15" s="3"/>
      <c r="U15" s="3"/>
      <c r="V15" s="3"/>
      <c r="W15" s="3"/>
      <c r="X15" s="3"/>
      <c r="Y15" s="15" t="s">
        <v>699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张</cp:lastModifiedBy>
  <dcterms:created xsi:type="dcterms:W3CDTF">2015-06-14T10:17:00Z</dcterms:created>
  <dcterms:modified xsi:type="dcterms:W3CDTF">2026-02-12T06:30:23Z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99E8486A1B71449294BEAB08645AB7CC_13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CalculationRule">
    <vt:i4>0</vt:i4>
  </property>
</Properties>
</file>