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916" firstSheet="9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definedNames>
    <definedName name="_xlnm._FilterDatabase" localSheetId="2" hidden="1">各村基准价!$A$1:$C$88</definedName>
    <definedName name="_xlnm._FilterDatabase" localSheetId="11" hidden="1">'【3-2】大区&amp;运营中心填-房间模型价'!$A$1:$AN$166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<sst xmlns="http://schemas.openxmlformats.org/spreadsheetml/2006/main" count="6611" uniqueCount="795">
  <si>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</si>
  <si>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</si>
  <si>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</si>
  <si>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</si>
  <si>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</si>
  <si>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</si>
  <si>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</si>
  <si>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</si>
  <si>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</si>
  <si>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</si>
  <si>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</si>
  <si>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</si>
  <si>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</si>
  <si>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</si>
  <si>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</si>
  <si>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</si>
  <si>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</si>
  <si>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</si>
  <si>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</si>
  <si>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</si>
  <si>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</si>
  <si>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</si>
  <si>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</si>
  <si>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</si>
  <si>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</si>
  <si>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</si>
  <si>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</si>
  <si>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</si>
  <si>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</si>
  <si>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</si>
  <si>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</si>
  <si>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</si>
  <si>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</si>
  <si>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</si>
  <si>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</si>
  <si>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</si>
  <si>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</si>
  <si>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</si>
  <si>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</si>
  <si>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</si>
  <si>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</si>
  <si>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</si>
  <si>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</si>
  <si>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</si>
  <si>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</si>
  <si>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</si>
  <si>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</si>
  <si>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</si>
  <si>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</si>
  <si>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</si>
  <si>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</si>
  <si>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</si>
  <si>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</si>
  <si>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</si>
  <si>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</si>
  <si>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</si>
  <si>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</si>
  <si>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</si>
  <si>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</si>
  <si>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</si>
  <si>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</si>
  <si>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</si>
  <si>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</si>
  <si>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</si>
  <si>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</si>
  <si>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</si>
  <si>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</si>
  <si>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</si>
  <si>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</si>
  <si>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</si>
  <si>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</si>
  <si>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</si>
  <si>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</si>
  <si>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</si>
  <si>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</si>
  <si>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</si>
  <si>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</si>
  <si>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</si>
  <si>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</si>
  <si>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</si>
  <si>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</si>
  <si>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</si>
  <si>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</si>
  <si>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</si>
  <si>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</si>
  <si>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</si>
  <si>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</si>
  <si>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</si>
  <si>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</si>
  <si>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</si>
  <si>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</si>
  <si>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</si>
  <si>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</si>
  <si>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</si>
  <si>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</si>
  <si>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</si>
  <si>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</si>
  <si>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</si>
  <si>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</si>
  <si>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</si>
  <si>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</si>
  <si>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</si>
  <si>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</si>
  <si>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</si>
  <si>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</si>
  <si>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</si>
  <si>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</si>
  <si>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</si>
  <si>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</si>
  <si>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</si>
  <si>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</si>
  <si>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</si>
  <si>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</si>
  <si>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</si>
  <si>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</si>
  <si>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</si>
  <si>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</si>
  <si>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</si>
  <si>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</si>
  <si>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</si>
  <si>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</si>
  <si>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</si>
  <si>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</si>
  <si>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</si>
  <si>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</si>
  <si>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</si>
  <si>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</si>
  <si>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</si>
  <si>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</si>
  <si>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</si>
  <si>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</si>
  <si>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</si>
  <si>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</si>
  <si>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</si>
  <si>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</si>
  <si>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</si>
  <si>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</si>
  <si>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</si>
  <si>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</si>
  <si>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</si>
  <si>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</si>
  <si>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</si>
  <si>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</si>
  <si>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</si>
  <si>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</si>
  <si>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</si>
  <si>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</si>
  <si>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</si>
  <si>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</si>
  <si>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</si>
  <si>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</si>
  <si>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</si>
  <si>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</si>
  <si>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</si>
  <si>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</si>
  <si>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</si>
  <si>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</si>
  <si>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</si>
  <si>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</si>
  <si>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</si>
  <si>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</si>
  <si>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</si>
  <si>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</si>
  <si>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</si>
  <si>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</si>
  <si>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</si>
  <si>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</si>
  <si>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</si>
  <si>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</si>
  <si>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</si>
  <si>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</si>
  <si>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</si>
  <si>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</si>
  <si>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</si>
  <si>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</si>
  <si>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</si>
  <si>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</si>
  <si>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</si>
  <si>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</si>
  <si>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</si>
  <si>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</si>
  <si>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</si>
  <si>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</si>
  <si>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</si>
  <si>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</si>
  <si>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</si>
  <si>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</si>
  <si>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</si>
  <si>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</si>
  <si>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</si>
  <si>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</si>
  <si>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</si>
  <si>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</si>
  <si>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</si>
  <si>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</si>
  <si>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</si>
  <si>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</si>
  <si>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</si>
  <si>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</si>
  <si>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</si>
  <si>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</si>
  <si>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</si>
  <si>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</si>
  <si>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</si>
  <si>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</si>
  <si>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</si>
  <si>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</si>
  <si>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</si>
  <si>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</si>
  <si>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</si>
  <si>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</si>
  <si>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</si>
  <si>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</si>
  <si>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</si>
  <si>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</si>
  <si>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</si>
  <si>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</si>
  <si>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</si>
  <si>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</si>
  <si>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</si>
  <si>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</si>
  <si>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</si>
  <si>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</si>
  <si>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</si>
  <si>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</si>
  <si>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</si>
  <si>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</si>
  <si>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</si>
  <si>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</si>
  <si>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</si>
  <si>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</si>
  <si>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</si>
  <si>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</si>
  <si>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</si>
  <si>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</si>
  <si>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</si>
  <si>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</si>
  <si>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</si>
  <si>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</si>
  <si>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</si>
  <si>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</si>
  <si>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</si>
  <si>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</si>
  <si>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</si>
  <si>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</si>
  <si>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</si>
  <si>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</si>
  <si>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</si>
  <si>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</si>
  <si>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</si>
  <si>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</si>
  <si>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</si>
  <si>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</si>
  <si>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</si>
  <si>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</si>
  <si>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</si>
  <si>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</si>
  <si>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</si>
  <si>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</si>
  <si>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</si>
  <si>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</si>
  <si>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</si>
  <si>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</si>
  <si>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</si>
  <si>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</si>
  <si>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</si>
  <si>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</si>
  <si>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福围广生7-16、17栋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</si>
  <si>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</si>
  <si>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</si>
  <si>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</si>
  <si>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</si>
  <si>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</si>
  <si>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</si>
  <si>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</si>
  <si>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</si>
  <si>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</si>
  <si>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</si>
  <si>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</si>
  <si>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</si>
  <si>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</si>
  <si>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</si>
  <si>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</si>
  <si>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</si>
  <si>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</si>
  <si>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</si>
  <si>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</si>
  <si>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</si>
  <si>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</si>
  <si>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</si>
  <si>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</si>
  <si>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</si>
  <si>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</si>
  <si>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</si>
  <si>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</si>
  <si>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</si>
  <si>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</si>
  <si>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</si>
  <si>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</si>
  <si>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</si>
  <si>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</si>
  <si>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</si>
  <si>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</si>
  <si>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</si>
  <si>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</si>
  <si>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</si>
  <si>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</si>
  <si>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</si>
  <si>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</si>
  <si>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</si>
  <si>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</si>
  <si>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</si>
  <si>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</si>
  <si>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</si>
  <si>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</si>
  <si>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</si>
  <si>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</si>
  <si>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</si>
  <si>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</si>
  <si>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</si>
  <si>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</si>
  <si>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</si>
  <si>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</si>
  <si>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</si>
  <si>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</si>
  <si>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</si>
  <si>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</si>
  <si>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</si>
  <si>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</si>
  <si>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</si>
  <si>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</si>
  <si>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</si>
  <si>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</si>
  <si>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</si>
  <si>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</si>
  <si>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</si>
  <si>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</si>
  <si>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</si>
  <si>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</si>
  <si>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</si>
  <si>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</si>
  <si>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</si>
  <si>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</si>
  <si>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</si>
  <si>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</si>
  <si>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</si>
  <si>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</si>
  <si>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</si>
  <si>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</si>
  <si>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</si>
  <si>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</si>
  <si>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</si>
  <si>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</si>
  <si>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</si>
  <si>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</si>
  <si>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</si>
  <si>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</si>
  <si>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</si>
  <si>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</si>
  <si>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</si>
  <si>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</si>
  <si>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</si>
  <si>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</si>
  <si>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</si>
  <si>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</si>
  <si>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</si>
  <si>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</si>
  <si>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</si>
  <si>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</si>
  <si>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</si>
  <si>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</si>
  <si>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</si>
  <si>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</si>
  <si>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</si>
  <si>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</si>
  <si>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</si>
  <si>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</si>
  <si>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</si>
  <si>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</si>
  <si>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</si>
  <si>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</si>
  <si>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</si>
  <si>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</si>
  <si>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</si>
  <si>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</si>
  <si>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</si>
  <si>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</si>
  <si>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</si>
  <si>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</si>
  <si>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</si>
  <si>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</si>
  <si>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</si>
  <si>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</si>
  <si>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</si>
  <si>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</si>
  <si>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</si>
  <si>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</si>
  <si>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</si>
  <si>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</si>
  <si>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</si>
  <si>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</si>
  <si>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</si>
  <si>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</si>
  <si>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</si>
  <si>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</si>
  <si>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</si>
  <si>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</si>
  <si>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</si>
  <si>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</si>
  <si>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</si>
  <si>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</si>
  <si>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</si>
  <si>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</si>
  <si>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</si>
  <si>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</si>
  <si>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</si>
  <si>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</si>
  <si>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</si>
  <si>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</si>
  <si>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</si>
  <si>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</si>
  <si>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</si>
  <si>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</si>
  <si>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</si>
  <si>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</si>
  <si>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</si>
  <si>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</si>
  <si>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</si>
  <si>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</si>
  <si>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</si>
  <si>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</si>
  <si>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</si>
  <si>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</si>
  <si>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</si>
  <si>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</si>
  <si>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</si>
  <si>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</si>
  <si>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</si>
  <si>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</si>
  <si>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</si>
  <si>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</si>
  <si>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</si>
  <si>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</si>
  <si>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</si>
  <si>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</si>
  <si>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</si>
  <si>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</si>
  <si>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</si>
  <si>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</si>
  <si>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</si>
  <si>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</si>
  <si>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</si>
  <si>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</si>
  <si>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</si>
  <si>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</si>
  <si>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</si>
  <si>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</si>
  <si>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</si>
  <si>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</si>
  <si>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</si>
  <si>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</si>
  <si>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</si>
  <si>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</si>
  <si>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</si>
  <si>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</si>
  <si>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</si>
  <si>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</si>
  <si>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</si>
  <si>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</si>
  <si>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</si>
  <si>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</si>
  <si>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</si>
  <si>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</si>
  <si>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</si>
  <si>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</si>
  <si>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</si>
  <si>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</si>
  <si>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</si>
  <si>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</si>
  <si>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</si>
  <si>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</si>
  <si>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</si>
  <si>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</si>
  <si>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</si>
  <si>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</si>
  <si>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</si>
  <si>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</si>
  <si>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</si>
  <si>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</si>
  <si>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</si>
  <si>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原实际定价</t>
  </si>
  <si>
    <t>B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</si>
  <si>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</si>
  <si>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</si>
  <si>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</si>
  <si>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</si>
  <si>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</si>
  <si>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</si>
  <si>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</si>
  <si>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</si>
  <si>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</si>
  <si>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</si>
  <si>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</si>
  <si>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 n</t>
  </si>
  <si>
    <t/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</si>
  <si>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</si>
  <si>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</si>
  <si>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</si>
  <si>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</si>
  <si>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</si>
  <si>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</si>
  <si>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</si>
  <si>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</si>
  <si>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</si>
  <si>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</si>
  <si>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</si>
  <si>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</si>
  <si>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</si>
  <si>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</si>
  <si>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</si>
  <si>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</si>
  <si>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</si>
  <si>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</si>
  <si>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</si>
  <si>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</si>
  <si>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</si>
  <si>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</si>
  <si>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</si>
  <si>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7-16.17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</si>
  <si>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</si>
  <si>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</si>
  <si>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</si>
  <si>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</si>
  <si>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</si>
  <si>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</si>
  <si>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</si>
  <si>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</si>
  <si>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</si>
  <si>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</si>
  <si>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</si>
  <si>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</si>
  <si>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</si>
  <si>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</si>
  <si>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</si>
  <si>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</si>
  <si>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</si>
  <si>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</si>
  <si>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</si>
  <si>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</si>
  <si>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</si>
  <si>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</si>
  <si>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</si>
  <si>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</si>
  <si>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</si>
  <si>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</si>
  <si>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</si>
  <si>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</si>
  <si>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</si>
  <si>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</si>
  <si>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</si>
  <si>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</si>
  <si>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</si>
  <si>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</si>
  <si>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</si>
  <si>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</si>
  <si>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</si>
  <si>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</si>
  <si>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</si>
  <si>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</si>
  <si>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</si>
  <si>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</si>
  <si>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衣柜01-通用无冰箱</t>
  </si>
  <si>
    <t>衣柜01-通用无冰箱_/</t>
  </si>
  <si>
    <t>1050*500*2000mm，YG_10无冰箱位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</si>
  <si>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</si>
  <si>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</si>
  <si>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</si>
  <si>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</si>
  <si>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</si>
  <si>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</si>
  <si>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</si>
  <si>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</si>
  <si>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</si>
  <si>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</si>
  <si>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</si>
  <si>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</si>
  <si>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</si>
  <si>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筒灯</t>
  </si>
  <si>
    <t>筒灯01</t>
  </si>
  <si>
    <t>烟感01_/</t>
  </si>
  <si>
    <t>-</t>
  </si>
  <si>
    <t>烟感</t>
  </si>
  <si>
    <t>烟感01</t>
  </si>
  <si>
    <t>户内配电箱01_/</t>
  </si>
  <si>
    <t>AL1</t>
  </si>
  <si>
    <t>强电</t>
  </si>
  <si>
    <t>户内箱</t>
  </si>
  <si>
    <t>户内配电箱01</t>
  </si>
  <si>
    <t>网络收纳盒01_/</t>
  </si>
  <si>
    <t>网络收纳盒</t>
  </si>
  <si>
    <t>网络收纳盒01</t>
  </si>
  <si>
    <t>光猫01_/</t>
  </si>
  <si>
    <t>网络</t>
  </si>
  <si>
    <t>光猫</t>
  </si>
  <si>
    <t>光猫01</t>
  </si>
  <si>
    <t>试衣镜01_/</t>
  </si>
  <si>
    <t>40*140cm</t>
  </si>
  <si>
    <t>试衣镜</t>
  </si>
  <si>
    <t>试衣镜01</t>
  </si>
  <si>
    <t>窗户01清玻_/</t>
  </si>
  <si>
    <t>标准窗户，带固定页</t>
  </si>
  <si>
    <t>扇</t>
  </si>
  <si>
    <t>窗</t>
  </si>
  <si>
    <t>窗户01清玻</t>
  </si>
  <si>
    <t>卷帘01_/</t>
  </si>
  <si>
    <t>尺寸根据现场定制</t>
  </si>
  <si>
    <t>平米</t>
  </si>
  <si>
    <t>软装装饰</t>
  </si>
  <si>
    <t>窗帘</t>
  </si>
  <si>
    <t>卷帘01</t>
  </si>
  <si>
    <t>布帘01_/</t>
  </si>
  <si>
    <t>件</t>
  </si>
  <si>
    <t>操作台03洗衣机1.2m</t>
  </si>
  <si>
    <t>镜子01_/</t>
  </si>
  <si>
    <t>钢化玻璃，385mm宽*600mm高，周边磨边</t>
  </si>
  <si>
    <t>面</t>
  </si>
  <si>
    <t>等电位箱</t>
  </si>
  <si>
    <t>等电位箱01</t>
  </si>
  <si>
    <t>镜前灯01_/</t>
  </si>
  <si>
    <t>长38.5*高3
.8*进深5.5cm,功率
7w,色湿4200K</t>
  </si>
  <si>
    <t>书桌02带挡板0.9m</t>
  </si>
  <si>
    <t>操作台02洗衣机1.6m_/</t>
  </si>
  <si>
    <t>套</t>
  </si>
  <si>
    <t>椅子</t>
  </si>
  <si>
    <t>椅子01配书桌</t>
  </si>
  <si>
    <t>等电位箱01_/</t>
  </si>
  <si>
    <t>晾衣架</t>
  </si>
  <si>
    <t>墙上/天花晾衣杆</t>
  </si>
  <si>
    <t>书桌02带挡板0.9m_/</t>
  </si>
  <si>
    <t>900宽1350高</t>
  </si>
  <si>
    <t>整体卫浴</t>
  </si>
  <si>
    <t>卫生间门</t>
  </si>
  <si>
    <t>整体卫浴卫生间门01</t>
  </si>
  <si>
    <t>椅子01配书桌_/</t>
  </si>
  <si>
    <t>440*430*750mm</t>
  </si>
  <si>
    <t>排风扇</t>
  </si>
  <si>
    <t>整体卫浴排风扇01</t>
  </si>
  <si>
    <t>墙上/天花晾衣杆_/</t>
  </si>
  <si>
    <t>根</t>
  </si>
  <si>
    <t>镜子</t>
  </si>
  <si>
    <t>整体卫浴镜子01</t>
  </si>
  <si>
    <t>沙发01单人_/</t>
  </si>
  <si>
    <t>厨卫灯</t>
  </si>
  <si>
    <t>整体卫浴厨卫灯01</t>
  </si>
  <si>
    <t>茶几01圆形_/</t>
  </si>
  <si>
    <t>Φ400*450（圆形）</t>
  </si>
  <si>
    <t>卫浴五金</t>
  </si>
  <si>
    <t>淋浴器</t>
  </si>
  <si>
    <t>整体卫浴淋浴手持花洒01</t>
  </si>
  <si>
    <t>卫生间门01_/</t>
  </si>
  <si>
    <t>铝镁合金门</t>
  </si>
  <si>
    <t>马桶</t>
  </si>
  <si>
    <t>整体卫浴坐便器01</t>
  </si>
  <si>
    <t>嵌入式厨卫灯01_/</t>
  </si>
  <si>
    <t>300*300mm,10W</t>
  </si>
  <si>
    <t>毛巾架</t>
  </si>
  <si>
    <t>整体卫浴毛巾架01</t>
  </si>
  <si>
    <t>淋浴手持花洒01_/</t>
  </si>
  <si>
    <t>混水器
无下出水嘴，无升降
杆，304不锈钢-</t>
  </si>
  <si>
    <t>热水器</t>
  </si>
  <si>
    <t>电热水器01-40L</t>
  </si>
  <si>
    <t>坐便器01_/</t>
  </si>
  <si>
    <t>长590mm*宽
370mm*高720mm</t>
  </si>
  <si>
    <t>功能标识</t>
  </si>
  <si>
    <t>防水贴纸</t>
  </si>
  <si>
    <t>毛巾架01_/</t>
  </si>
  <si>
    <t>80mm*600mm</t>
  </si>
  <si>
    <t>洗手盆</t>
  </si>
  <si>
    <t>整体卫浴悬挂式洗手盆01</t>
  </si>
  <si>
    <t>电热水器01-40L_/</t>
  </si>
  <si>
    <t>40L-D40-HK3</t>
  </si>
  <si>
    <t>台</t>
  </si>
  <si>
    <t>浴篮</t>
  </si>
  <si>
    <t>整体卫浴三角浴篮01</t>
  </si>
  <si>
    <t>防水贴纸_/</t>
  </si>
  <si>
    <t>100*150机房、管井、设备
、警示、热水器开关、监控区域)</t>
  </si>
  <si>
    <t>纸巾架</t>
  </si>
  <si>
    <t>整体卫浴纸巾架01</t>
  </si>
  <si>
    <t>三角浴篮01_/</t>
  </si>
  <si>
    <t>半径220mm高120mm</t>
  </si>
  <si>
    <t>纸巾架01_/</t>
  </si>
  <si>
    <t>130H*150L*130W</t>
  </si>
  <si>
    <t>窗户02磨砂_/</t>
  </si>
  <si>
    <t>磨砂窗户，用于首层公寓</t>
  </si>
  <si>
    <t>客厅1</t>
  </si>
  <si>
    <t>沙发</t>
  </si>
  <si>
    <t>沙发02两人</t>
  </si>
  <si>
    <t>茶几</t>
  </si>
  <si>
    <t>茶几01圆形</t>
  </si>
  <si>
    <t>两人餐桌01正方形</t>
  </si>
  <si>
    <t>椅子02配餐桌</t>
  </si>
  <si>
    <t>房间门</t>
  </si>
  <si>
    <t>房间门01</t>
  </si>
  <si>
    <t>布帘01</t>
  </si>
  <si>
    <t>整体卫浴卫生间门01_/</t>
  </si>
  <si>
    <t>700*2000mm，含门锁、结构胶及门套门框，铝合金门框尺寸</t>
  </si>
  <si>
    <t>整体卫浴排风扇01_/</t>
  </si>
  <si>
    <t>含排风管</t>
  </si>
  <si>
    <t>整体卫浴镜子01_/</t>
  </si>
  <si>
    <t>400*600mm,厚度5mm</t>
  </si>
  <si>
    <t>整体卫浴厨卫灯01_/</t>
  </si>
  <si>
    <t>整体卫浴淋浴手持花洒01_/</t>
  </si>
  <si>
    <t>单把挂墙 不锈钢（两个座）</t>
  </si>
  <si>
    <t>整体卫浴坐便器01_/</t>
  </si>
  <si>
    <t>连体顶按</t>
  </si>
  <si>
    <t>整体卫浴毛巾架01_/</t>
  </si>
  <si>
    <t>L=400mm,不锈钢</t>
  </si>
  <si>
    <t>整体卫浴悬挂式洗手盆01_/</t>
  </si>
  <si>
    <t>L=1000mm(SMC)</t>
  </si>
  <si>
    <t>整体卫浴三角浴篮01_/</t>
  </si>
  <si>
    <t>不锈钢</t>
  </si>
  <si>
    <t>电热水器02-60L</t>
  </si>
  <si>
    <t>整体卫浴纸巾架01_/</t>
  </si>
  <si>
    <t>筒灯01_/</t>
  </si>
  <si>
    <t>6W（直径90mm,3300K）</t>
  </si>
  <si>
    <t>操作台02洗衣机1.6m</t>
  </si>
  <si>
    <t>沙发02两人_/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</si>
  <si>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</si>
  <si>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</si>
  <si>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</si>
  <si>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</si>
  <si>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</si>
  <si>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椅子02配餐桌_/</t>
  </si>
  <si>
    <t>520*480*760</t>
  </si>
  <si>
    <t>吸油烟机01-斜板式_/</t>
  </si>
  <si>
    <t>705*440*630mm</t>
  </si>
  <si>
    <t>房间门01_/</t>
  </si>
  <si>
    <t>含门吸、门锁、钥匙、把手，尺寸根据现场</t>
  </si>
  <si>
    <t>镜子01</t>
  </si>
  <si>
    <t>镜前灯</t>
  </si>
  <si>
    <t>镜前灯01</t>
  </si>
  <si>
    <t>洗衣机</t>
  </si>
  <si>
    <t>滚筒洗衣机01</t>
  </si>
  <si>
    <t>茶几02椭圆</t>
  </si>
  <si>
    <t>沙发01单人</t>
  </si>
  <si>
    <t>传统卫生间1</t>
  </si>
  <si>
    <t>卫生间门01</t>
  </si>
  <si>
    <t>嵌入式厨卫灯01</t>
  </si>
  <si>
    <t>淋浴手持花洒01</t>
  </si>
  <si>
    <t>坐便器01</t>
  </si>
  <si>
    <t>毛巾架01</t>
  </si>
  <si>
    <t>三角浴篮01</t>
  </si>
  <si>
    <t>纸巾架01</t>
  </si>
  <si>
    <t>窗户02磨砂</t>
  </si>
  <si>
    <t>吸油烟机02-平板式</t>
  </si>
  <si>
    <t>M</t>
  </si>
  <si>
    <t>2层</t>
  </si>
  <si>
    <t>房号</t>
  </si>
  <si>
    <t>价格</t>
  </si>
  <si>
    <t>3层</t>
  </si>
  <si>
    <t>4层</t>
  </si>
  <si>
    <t>5层</t>
  </si>
  <si>
    <t>6层</t>
  </si>
  <si>
    <t>7层</t>
  </si>
  <si>
    <t>8层</t>
  </si>
  <si>
    <t>9层</t>
  </si>
  <si>
    <t>10层</t>
  </si>
  <si>
    <t>11层</t>
  </si>
  <si>
    <t>12层</t>
  </si>
  <si>
    <t>13层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</si>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</sst>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 "/>
    <numFmt numFmtId="178" formatCode="0.0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0.0_ "/>
    <numFmt numFmtId="184" formatCode="[$-F800]dddd\,\ mmmm\ dd\,\ yyyy"/>
  </numFmts>
  <fonts count="74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 Light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name val="微软雅黑 Light"/>
      <charset val="134"/>
    </font>
    <font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等线"/>
      <charset val="134"/>
    </font>
    <font>
      <b/>
      <sz val="16"/>
      <color rgb="FFFF0000"/>
      <name val="微软雅黑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0.5"/>
      <color rgb="FF606266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42" borderId="55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56" applyNumberFormat="0" applyFill="0" applyAlignment="0" applyProtection="0">
      <alignment vertical="center"/>
    </xf>
    <xf numFmtId="0" fontId="54" fillId="0" borderId="56" applyNumberFormat="0" applyFill="0" applyAlignment="0" applyProtection="0">
      <alignment vertical="center"/>
    </xf>
    <xf numFmtId="0" fontId="55" fillId="0" borderId="5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3" borderId="58" applyNumberFormat="0" applyAlignment="0" applyProtection="0">
      <alignment vertical="center"/>
    </xf>
    <xf numFmtId="0" fontId="57" fillId="44" borderId="59" applyNumberFormat="0" applyAlignment="0" applyProtection="0">
      <alignment vertical="center"/>
    </xf>
    <xf numFmtId="0" fontId="58" fillId="44" borderId="58" applyNumberFormat="0" applyAlignment="0" applyProtection="0">
      <alignment vertical="center"/>
    </xf>
    <xf numFmtId="0" fontId="59" fillId="45" borderId="60" applyNumberFormat="0" applyAlignment="0" applyProtection="0">
      <alignment vertical="center"/>
    </xf>
    <xf numFmtId="0" fontId="60" fillId="0" borderId="61" applyNumberFormat="0" applyFill="0" applyAlignment="0" applyProtection="0">
      <alignment vertical="center"/>
    </xf>
    <xf numFmtId="0" fontId="61" fillId="0" borderId="62" applyNumberFormat="0" applyFill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5" fillId="51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66" fillId="53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5" fillId="55" borderId="0" applyNumberFormat="0" applyBorder="0" applyAlignment="0" applyProtection="0">
      <alignment vertical="center"/>
    </xf>
    <xf numFmtId="0" fontId="66" fillId="56" borderId="0" applyNumberFormat="0" applyBorder="0" applyAlignment="0" applyProtection="0">
      <alignment vertical="center"/>
    </xf>
    <xf numFmtId="0" fontId="66" fillId="57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6" fillId="5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5" fillId="60" borderId="0" applyNumberFormat="0" applyBorder="0" applyAlignment="0" applyProtection="0">
      <alignment vertical="center"/>
    </xf>
    <xf numFmtId="0" fontId="65" fillId="61" borderId="0" applyNumberFormat="0" applyBorder="0" applyAlignment="0" applyProtection="0">
      <alignment vertical="center"/>
    </xf>
    <xf numFmtId="0" fontId="66" fillId="62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5" fillId="63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6" fillId="64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5" fillId="66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38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177" fontId="6" fillId="9" borderId="1" xfId="0" applyNumberFormat="1" applyFont="1" applyFill="1" applyBorder="1" applyAlignment="1">
      <alignment horizontal="center"/>
    </xf>
    <xf numFmtId="177" fontId="6" fillId="1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13" borderId="0" xfId="0" applyFill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7" fontId="0" fillId="18" borderId="6" xfId="0" applyNumberForma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177" fontId="0" fillId="17" borderId="6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0" fontId="0" fillId="0" borderId="2" xfId="3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13" borderId="1" xfId="0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77" fontId="0" fillId="13" borderId="6" xfId="0" applyNumberFormat="1" applyFill="1" applyBorder="1" applyAlignment="1">
      <alignment horizontal="center" vertical="center"/>
    </xf>
    <xf numFmtId="177" fontId="0" fillId="13" borderId="1" xfId="0" applyNumberFormat="1" applyFill="1" applyBorder="1" applyAlignment="1">
      <alignment horizontal="center" vertical="center"/>
    </xf>
    <xf numFmtId="10" fontId="0" fillId="13" borderId="2" xfId="3" applyNumberFormat="1" applyFont="1" applyFill="1" applyBorder="1" applyAlignment="1">
      <alignment horizontal="center" vertical="center"/>
    </xf>
    <xf numFmtId="177" fontId="0" fillId="13" borderId="0" xfId="0" applyNumberFormat="1" applyFill="1"/>
    <xf numFmtId="177" fontId="14" fillId="13" borderId="1" xfId="0" applyNumberFormat="1" applyFont="1" applyFill="1" applyBorder="1" applyAlignment="1">
      <alignment horizontal="center" vertical="center"/>
    </xf>
    <xf numFmtId="177" fontId="0" fillId="15" borderId="1" xfId="0" applyNumberFormat="1" applyFill="1" applyBorder="1" applyAlignment="1">
      <alignment horizontal="center" vertical="center"/>
    </xf>
    <xf numFmtId="0" fontId="15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6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ont="1" applyFill="1" applyAlignment="1">
      <alignment horizontal="center"/>
    </xf>
    <xf numFmtId="177" fontId="0" fillId="15" borderId="0" xfId="0" applyNumberFormat="1" applyFill="1" applyAlignment="1">
      <alignment horizontal="center"/>
    </xf>
    <xf numFmtId="0" fontId="0" fillId="14" borderId="1" xfId="0" applyFill="1" applyBorder="1" applyAlignment="1">
      <alignment vertical="center"/>
    </xf>
    <xf numFmtId="0" fontId="14" fillId="14" borderId="8" xfId="0" applyFont="1" applyFill="1" applyBorder="1" applyAlignment="1">
      <alignment vertical="center"/>
    </xf>
    <xf numFmtId="0" fontId="0" fillId="15" borderId="8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19" fillId="0" borderId="0" xfId="0" applyFont="1"/>
    <xf numFmtId="179" fontId="19" fillId="0" borderId="0" xfId="1" applyNumberFormat="1" applyFont="1" applyAlignment="1"/>
    <xf numFmtId="0" fontId="20" fillId="0" borderId="0" xfId="0" applyFont="1"/>
    <xf numFmtId="0" fontId="20" fillId="0" borderId="0" xfId="0" applyFont="1" applyAlignment="1">
      <alignment horizontal="center"/>
    </xf>
    <xf numFmtId="180" fontId="20" fillId="0" borderId="0" xfId="3" applyNumberFormat="1" applyFont="1" applyFill="1" applyAlignment="1"/>
    <xf numFmtId="0" fontId="21" fillId="0" borderId="1" xfId="0" applyFont="1" applyBorder="1" applyAlignment="1">
      <alignment horizontal="center"/>
    </xf>
    <xf numFmtId="0" fontId="22" fillId="26" borderId="11" xfId="0" applyFont="1" applyFill="1" applyBorder="1" applyAlignment="1">
      <alignment vertical="top" wrapText="1"/>
    </xf>
    <xf numFmtId="0" fontId="22" fillId="26" borderId="12" xfId="0" applyFont="1" applyFill="1" applyBorder="1" applyAlignment="1">
      <alignment horizontal="center" vertical="top" wrapText="1"/>
    </xf>
    <xf numFmtId="0" fontId="22" fillId="26" borderId="12" xfId="0" applyFont="1" applyFill="1" applyBorder="1" applyAlignment="1">
      <alignment vertical="top" wrapText="1"/>
    </xf>
    <xf numFmtId="180" fontId="22" fillId="0" borderId="12" xfId="3" applyNumberFormat="1" applyFont="1" applyFill="1" applyBorder="1" applyAlignment="1">
      <alignment vertical="top" wrapText="1"/>
    </xf>
    <xf numFmtId="0" fontId="23" fillId="27" borderId="12" xfId="0" applyFont="1" applyFill="1" applyBorder="1" applyAlignment="1">
      <alignment horizontal="left" vertical="center" wrapText="1" readingOrder="1"/>
    </xf>
    <xf numFmtId="0" fontId="23" fillId="26" borderId="12" xfId="0" applyFont="1" applyFill="1" applyBorder="1" applyAlignment="1">
      <alignment horizontal="left" vertical="center" wrapText="1" readingOrder="1"/>
    </xf>
    <xf numFmtId="0" fontId="24" fillId="28" borderId="1" xfId="0" applyFont="1" applyFill="1" applyBorder="1" applyAlignment="1">
      <alignment vertical="top" wrapText="1"/>
    </xf>
    <xf numFmtId="0" fontId="24" fillId="28" borderId="1" xfId="0" applyFont="1" applyFill="1" applyBorder="1" applyAlignment="1">
      <alignment horizontal="center" vertical="top" wrapText="1"/>
    </xf>
    <xf numFmtId="180" fontId="24" fillId="0" borderId="1" xfId="3" applyNumberFormat="1" applyFont="1" applyFill="1" applyBorder="1" applyAlignment="1">
      <alignment vertical="top" wrapText="1"/>
    </xf>
    <xf numFmtId="0" fontId="22" fillId="29" borderId="1" xfId="0" applyFont="1" applyFill="1" applyBorder="1" applyAlignment="1">
      <alignment vertical="center" wrapText="1" readingOrder="1"/>
    </xf>
    <xf numFmtId="0" fontId="25" fillId="29" borderId="1" xfId="0" applyFont="1" applyFill="1" applyBorder="1" applyAlignment="1">
      <alignment vertical="center" wrapText="1" readingOrder="1"/>
    </xf>
    <xf numFmtId="0" fontId="24" fillId="29" borderId="1" xfId="0" applyFont="1" applyFill="1" applyBorder="1" applyAlignment="1">
      <alignment vertical="center" wrapText="1" readingOrder="1"/>
    </xf>
    <xf numFmtId="0" fontId="24" fillId="29" borderId="1" xfId="0" applyFont="1" applyFill="1" applyBorder="1" applyAlignment="1">
      <alignment horizontal="center" vertical="center" wrapText="1" readingOrder="1"/>
    </xf>
    <xf numFmtId="180" fontId="24" fillId="0" borderId="1" xfId="3" applyNumberFormat="1" applyFont="1" applyFill="1" applyBorder="1" applyAlignment="1">
      <alignment vertical="center" wrapText="1" readingOrder="1"/>
    </xf>
    <xf numFmtId="0" fontId="24" fillId="29" borderId="0" xfId="0" applyFont="1" applyFill="1" applyAlignment="1">
      <alignment vertical="center" wrapText="1" readingOrder="1"/>
    </xf>
    <xf numFmtId="0" fontId="24" fillId="29" borderId="0" xfId="0" applyFont="1" applyFill="1" applyAlignment="1">
      <alignment horizontal="center" vertical="center" wrapText="1" readingOrder="1"/>
    </xf>
    <xf numFmtId="180" fontId="24" fillId="0" borderId="0" xfId="3" applyNumberFormat="1" applyFont="1" applyFill="1" applyBorder="1" applyAlignment="1">
      <alignment vertical="center" wrapText="1" readingOrder="1"/>
    </xf>
    <xf numFmtId="0" fontId="22" fillId="29" borderId="0" xfId="0" applyFont="1" applyFill="1" applyAlignment="1">
      <alignment vertical="center" wrapText="1" readingOrder="1"/>
    </xf>
    <xf numFmtId="181" fontId="24" fillId="29" borderId="0" xfId="1" applyNumberFormat="1" applyFont="1" applyFill="1" applyBorder="1" applyAlignment="1">
      <alignment vertical="center" wrapText="1" readingOrder="1"/>
    </xf>
    <xf numFmtId="179" fontId="24" fillId="29" borderId="0" xfId="1" applyNumberFormat="1" applyFont="1" applyFill="1" applyBorder="1" applyAlignment="1">
      <alignment vertical="center" wrapText="1" readingOrder="1"/>
    </xf>
    <xf numFmtId="179" fontId="22" fillId="29" borderId="0" xfId="1" applyNumberFormat="1" applyFont="1" applyFill="1" applyBorder="1" applyAlignment="1">
      <alignment vertical="center" wrapText="1" readingOrder="1"/>
    </xf>
    <xf numFmtId="179" fontId="25" fillId="29" borderId="1" xfId="1" applyNumberFormat="1" applyFont="1" applyFill="1" applyBorder="1" applyAlignment="1">
      <alignment vertical="center" wrapText="1" readingOrder="1"/>
    </xf>
    <xf numFmtId="179" fontId="22" fillId="29" borderId="1" xfId="1" applyNumberFormat="1" applyFont="1" applyFill="1" applyBorder="1" applyAlignment="1">
      <alignment vertical="center" wrapText="1" readingOrder="1"/>
    </xf>
    <xf numFmtId="179" fontId="25" fillId="15" borderId="1" xfId="1" applyNumberFormat="1" applyFont="1" applyFill="1" applyBorder="1" applyAlignment="1">
      <alignment vertical="center" wrapText="1" readingOrder="1"/>
    </xf>
    <xf numFmtId="0" fontId="14" fillId="28" borderId="1" xfId="0" applyFont="1" applyFill="1" applyBorder="1" applyAlignment="1">
      <alignment horizontal="center" vertical="center"/>
    </xf>
    <xf numFmtId="179" fontId="22" fillId="29" borderId="0" xfId="0" applyNumberFormat="1" applyFont="1" applyFill="1" applyAlignment="1">
      <alignment vertical="center" wrapText="1" readingOrder="1"/>
    </xf>
    <xf numFmtId="179" fontId="25" fillId="29" borderId="0" xfId="1" applyNumberFormat="1" applyFont="1" applyFill="1" applyBorder="1" applyAlignment="1">
      <alignment vertical="center" wrapText="1" readingOrder="1"/>
    </xf>
    <xf numFmtId="179" fontId="25" fillId="29" borderId="0" xfId="0" applyNumberFormat="1" applyFont="1" applyFill="1" applyAlignment="1">
      <alignment vertical="center" wrapText="1" readingOrder="1"/>
    </xf>
    <xf numFmtId="179" fontId="14" fillId="28" borderId="0" xfId="0" applyNumberFormat="1" applyFont="1" applyFill="1" applyAlignment="1">
      <alignment horizontal="center" vertical="center"/>
    </xf>
    <xf numFmtId="181" fontId="24" fillId="15" borderId="0" xfId="1" applyNumberFormat="1" applyFont="1" applyFill="1" applyBorder="1" applyAlignment="1">
      <alignment vertical="center" wrapText="1" readingOrder="1"/>
    </xf>
    <xf numFmtId="179" fontId="22" fillId="29" borderId="1" xfId="0" applyNumberFormat="1" applyFont="1" applyFill="1" applyBorder="1" applyAlignment="1">
      <alignment vertical="center" wrapText="1" readingOrder="1"/>
    </xf>
    <xf numFmtId="180" fontId="24" fillId="15" borderId="0" xfId="3" applyNumberFormat="1" applyFont="1" applyFill="1" applyBorder="1" applyAlignment="1">
      <alignment vertical="center" wrapText="1" readingOrder="1"/>
    </xf>
    <xf numFmtId="179" fontId="25" fillId="29" borderId="1" xfId="0" applyNumberFormat="1" applyFont="1" applyFill="1" applyBorder="1" applyAlignment="1">
      <alignment vertical="center" wrapText="1" readingOrder="1"/>
    </xf>
    <xf numFmtId="0" fontId="24" fillId="15" borderId="0" xfId="0" applyFont="1" applyFill="1" applyAlignment="1">
      <alignment vertical="center" wrapText="1" readingOrder="1"/>
    </xf>
    <xf numFmtId="0" fontId="14" fillId="15" borderId="1" xfId="0" applyFont="1" applyFill="1" applyBorder="1" applyAlignment="1">
      <alignment horizontal="center" vertical="center"/>
    </xf>
    <xf numFmtId="179" fontId="22" fillId="15" borderId="0" xfId="0" applyNumberFormat="1" applyFont="1" applyFill="1" applyAlignment="1">
      <alignment vertical="center" wrapText="1" readingOrder="1"/>
    </xf>
    <xf numFmtId="0" fontId="25" fillId="29" borderId="0" xfId="0" applyFont="1" applyFill="1" applyAlignment="1">
      <alignment vertical="center" wrapText="1" readingOrder="1"/>
    </xf>
    <xf numFmtId="9" fontId="24" fillId="0" borderId="0" xfId="3" applyFont="1" applyFill="1" applyBorder="1" applyAlignment="1">
      <alignment vertical="center" wrapText="1" readingOrder="1"/>
    </xf>
    <xf numFmtId="179" fontId="19" fillId="0" borderId="0" xfId="0" applyNumberFormat="1" applyFont="1"/>
    <xf numFmtId="10" fontId="19" fillId="0" borderId="0" xfId="0" applyNumberFormat="1" applyFont="1"/>
    <xf numFmtId="180" fontId="22" fillId="0" borderId="0" xfId="3" applyNumberFormat="1" applyFont="1" applyFill="1" applyBorder="1" applyAlignment="1">
      <alignment vertical="center" wrapText="1" readingOrder="1"/>
    </xf>
    <xf numFmtId="180" fontId="20" fillId="0" borderId="0" xfId="3" applyNumberFormat="1" applyFont="1" applyFill="1" applyBorder="1" applyAlignment="1"/>
    <xf numFmtId="0" fontId="22" fillId="0" borderId="0" xfId="0" applyFont="1" applyAlignment="1">
      <alignment vertical="center" wrapText="1" readingOrder="1"/>
    </xf>
    <xf numFmtId="0" fontId="26" fillId="0" borderId="0" xfId="0" applyFont="1"/>
    <xf numFmtId="181" fontId="0" fillId="0" borderId="0" xfId="1" applyNumberFormat="1" applyFont="1" applyAlignment="1"/>
    <xf numFmtId="181" fontId="26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5" borderId="0" xfId="1" applyNumberFormat="1" applyFont="1" applyFill="1" applyAlignment="1"/>
    <xf numFmtId="0" fontId="23" fillId="26" borderId="1" xfId="0" applyFont="1" applyFill="1" applyBorder="1" applyAlignment="1">
      <alignment horizontal="left" vertical="center" wrapText="1" readingOrder="1"/>
    </xf>
    <xf numFmtId="0" fontId="27" fillId="26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176" fontId="0" fillId="0" borderId="0" xfId="0" applyNumberFormat="1"/>
    <xf numFmtId="0" fontId="24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3" fontId="2" fillId="3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3" fontId="28" fillId="0" borderId="1" xfId="0" applyNumberFormat="1" applyFont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30" fillId="30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2" fillId="31" borderId="13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6" fillId="3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6" fillId="3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6" fillId="32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6" fillId="32" borderId="22" xfId="0" applyFont="1" applyFill="1" applyBorder="1" applyAlignment="1">
      <alignment horizontal="center" vertical="center"/>
    </xf>
    <xf numFmtId="0" fontId="2" fillId="15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83" fontId="2" fillId="0" borderId="24" xfId="0" applyNumberFormat="1" applyFont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 vertical="center"/>
    </xf>
    <xf numFmtId="183" fontId="2" fillId="0" borderId="23" xfId="0" applyNumberFormat="1" applyFont="1" applyBorder="1" applyAlignment="1">
      <alignment horizontal="center" vertical="center"/>
    </xf>
    <xf numFmtId="183" fontId="2" fillId="0" borderId="26" xfId="0" applyNumberFormat="1" applyFont="1" applyBorder="1" applyAlignment="1">
      <alignment horizontal="center" vertical="center"/>
    </xf>
    <xf numFmtId="183" fontId="2" fillId="0" borderId="27" xfId="0" applyNumberFormat="1" applyFont="1" applyBorder="1" applyAlignment="1">
      <alignment horizontal="center" vertical="center"/>
    </xf>
    <xf numFmtId="183" fontId="8" fillId="15" borderId="25" xfId="0" applyNumberFormat="1" applyFont="1" applyFill="1" applyBorder="1" applyAlignment="1">
      <alignment horizontal="center" vertical="center"/>
    </xf>
    <xf numFmtId="183" fontId="8" fillId="15" borderId="28" xfId="0" applyNumberFormat="1" applyFont="1" applyFill="1" applyBorder="1" applyAlignment="1">
      <alignment horizontal="center" vertical="center"/>
    </xf>
    <xf numFmtId="183" fontId="8" fillId="0" borderId="28" xfId="0" applyNumberFormat="1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6" fillId="33" borderId="32" xfId="0" applyFont="1" applyFill="1" applyBorder="1" applyAlignment="1">
      <alignment horizontal="center" vertical="center"/>
    </xf>
    <xf numFmtId="0" fontId="16" fillId="34" borderId="16" xfId="0" applyFont="1" applyFill="1" applyBorder="1" applyAlignment="1">
      <alignment horizontal="center" vertical="center"/>
    </xf>
    <xf numFmtId="0" fontId="16" fillId="33" borderId="3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6" fillId="33" borderId="3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9" fontId="2" fillId="0" borderId="24" xfId="3" applyFont="1" applyBorder="1" applyAlignment="1">
      <alignment horizontal="center" vertical="center"/>
    </xf>
    <xf numFmtId="0" fontId="16" fillId="34" borderId="25" xfId="0" applyFont="1" applyFill="1" applyBorder="1" applyAlignment="1">
      <alignment horizontal="center" vertical="center"/>
    </xf>
    <xf numFmtId="0" fontId="0" fillId="0" borderId="37" xfId="0" applyBorder="1"/>
    <xf numFmtId="0" fontId="16" fillId="0" borderId="37" xfId="0" applyFont="1" applyBorder="1" applyAlignment="1">
      <alignment vertical="center"/>
    </xf>
    <xf numFmtId="0" fontId="16" fillId="33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6" fillId="33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35" xfId="3" applyFont="1" applyBorder="1" applyAlignment="1">
      <alignment horizontal="center" vertical="center"/>
    </xf>
    <xf numFmtId="0" fontId="16" fillId="33" borderId="43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9" fontId="0" fillId="0" borderId="25" xfId="3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180" fontId="0" fillId="0" borderId="1" xfId="3" applyNumberFormat="1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0" fontId="0" fillId="0" borderId="24" xfId="3" applyNumberFormat="1" applyFont="1" applyBorder="1" applyAlignment="1">
      <alignment horizontal="center" vertical="center"/>
    </xf>
    <xf numFmtId="9" fontId="0" fillId="0" borderId="24" xfId="3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83" fontId="0" fillId="0" borderId="24" xfId="0" applyNumberFormat="1" applyBorder="1" applyAlignment="1">
      <alignment horizontal="center" vertical="center"/>
    </xf>
    <xf numFmtId="9" fontId="0" fillId="0" borderId="24" xfId="3" applyNumberFormat="1" applyFont="1" applyBorder="1" applyAlignment="1">
      <alignment horizontal="center" vertical="center"/>
    </xf>
    <xf numFmtId="9" fontId="0" fillId="0" borderId="25" xfId="3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83" fontId="13" fillId="0" borderId="1" xfId="0" applyNumberFormat="1" applyFont="1" applyBorder="1" applyAlignment="1">
      <alignment horizontal="center" vertical="center"/>
    </xf>
    <xf numFmtId="183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83" fontId="16" fillId="33" borderId="1" xfId="0" applyNumberFormat="1" applyFont="1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/>
    </xf>
    <xf numFmtId="183" fontId="16" fillId="32" borderId="1" xfId="0" applyNumberFormat="1" applyFont="1" applyFill="1" applyBorder="1" applyAlignment="1">
      <alignment horizontal="center" vertical="center"/>
    </xf>
    <xf numFmtId="183" fontId="16" fillId="35" borderId="1" xfId="0" applyNumberFormat="1" applyFon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5" fillId="36" borderId="7" xfId="0" applyFont="1" applyFill="1" applyBorder="1" applyAlignment="1">
      <alignment horizontal="center" vertical="center"/>
    </xf>
    <xf numFmtId="183" fontId="35" fillId="36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83" fontId="6" fillId="0" borderId="7" xfId="0" applyNumberFormat="1" applyFont="1" applyBorder="1" applyAlignment="1">
      <alignment horizontal="center" vertical="center"/>
    </xf>
    <xf numFmtId="183" fontId="0" fillId="0" borderId="0" xfId="0" applyNumberFormat="1"/>
    <xf numFmtId="0" fontId="8" fillId="0" borderId="7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183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6" fillId="0" borderId="0" xfId="0" applyFont="1"/>
    <xf numFmtId="0" fontId="14" fillId="0" borderId="0" xfId="0" applyFont="1"/>
    <xf numFmtId="0" fontId="0" fillId="0" borderId="0" xfId="49"/>
    <xf numFmtId="0" fontId="3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0" fontId="37" fillId="0" borderId="0" xfId="0" applyFont="1" applyAlignment="1">
      <alignment horizontal="left" vertical="center"/>
    </xf>
    <xf numFmtId="0" fontId="36" fillId="37" borderId="1" xfId="0" applyFont="1" applyFill="1" applyBorder="1" applyAlignment="1">
      <alignment horizontal="center" vertical="center"/>
    </xf>
    <xf numFmtId="0" fontId="38" fillId="37" borderId="1" xfId="0" applyFont="1" applyFill="1" applyBorder="1" applyAlignment="1">
      <alignment horizontal="center" vertical="center"/>
    </xf>
    <xf numFmtId="179" fontId="38" fillId="37" borderId="1" xfId="1" applyNumberFormat="1" applyFont="1" applyFill="1" applyBorder="1" applyAlignment="1">
      <alignment vertical="center"/>
    </xf>
    <xf numFmtId="0" fontId="36" fillId="37" borderId="1" xfId="0" applyFont="1" applyFill="1" applyBorder="1" applyAlignment="1" applyProtection="1">
      <alignment horizontal="center" vertical="center"/>
      <protection locked="0"/>
    </xf>
    <xf numFmtId="0" fontId="36" fillId="37" borderId="1" xfId="0" applyFont="1" applyFill="1" applyBorder="1" applyAlignment="1">
      <alignment horizontal="left" vertical="center"/>
    </xf>
    <xf numFmtId="181" fontId="36" fillId="0" borderId="0" xfId="1" applyNumberFormat="1" applyFont="1" applyAlignment="1"/>
    <xf numFmtId="0" fontId="36" fillId="0" borderId="0" xfId="0" applyFont="1" applyAlignment="1">
      <alignment horizontal="center" vertical="center"/>
    </xf>
    <xf numFmtId="0" fontId="39" fillId="37" borderId="1" xfId="0" applyFont="1" applyFill="1" applyBorder="1" applyAlignment="1">
      <alignment horizontal="center" vertical="center"/>
    </xf>
    <xf numFmtId="0" fontId="40" fillId="38" borderId="8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vertical="center"/>
    </xf>
    <xf numFmtId="0" fontId="37" fillId="2" borderId="1" xfId="49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/>
    </xf>
    <xf numFmtId="0" fontId="26" fillId="27" borderId="1" xfId="0" applyFont="1" applyFill="1" applyBorder="1" applyAlignment="1">
      <alignment horizontal="center" vertical="center"/>
    </xf>
    <xf numFmtId="0" fontId="40" fillId="38" borderId="9" xfId="0" applyFont="1" applyFill="1" applyBorder="1" applyAlignment="1">
      <alignment horizontal="center" vertical="center" wrapText="1"/>
    </xf>
    <xf numFmtId="0" fontId="19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0" fillId="38" borderId="10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37" fillId="2" borderId="1" xfId="49" applyFont="1" applyFill="1" applyBorder="1" applyAlignment="1">
      <alignment horizontal="left" vertical="center" wrapText="1"/>
    </xf>
    <xf numFmtId="0" fontId="37" fillId="2" borderId="1" xfId="0" applyFont="1" applyFill="1" applyBorder="1" applyAlignment="1">
      <alignment horizontal="left" vertical="center" wrapText="1"/>
    </xf>
    <xf numFmtId="0" fontId="42" fillId="40" borderId="8" xfId="0" applyFont="1" applyFill="1" applyBorder="1" applyAlignment="1">
      <alignment horizontal="center" vertical="center" wrapText="1"/>
    </xf>
    <xf numFmtId="0" fontId="42" fillId="40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0" fontId="42" fillId="40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44" fillId="27" borderId="1" xfId="0" applyFont="1" applyFill="1" applyBorder="1" applyAlignment="1">
      <alignment horizontal="center" vertical="center"/>
    </xf>
    <xf numFmtId="0" fontId="39" fillId="15" borderId="1" xfId="49" applyFont="1" applyFill="1" applyBorder="1" applyAlignment="1">
      <alignment horizontal="center"/>
    </xf>
    <xf numFmtId="0" fontId="44" fillId="14" borderId="1" xfId="49" applyFont="1" applyFill="1" applyBorder="1" applyAlignment="1">
      <alignment horizontal="center" vertical="center"/>
    </xf>
    <xf numFmtId="0" fontId="37" fillId="41" borderId="1" xfId="49" applyFont="1" applyFill="1" applyBorder="1" applyAlignment="1">
      <alignment horizontal="center" vertical="center"/>
    </xf>
    <xf numFmtId="0" fontId="42" fillId="40" borderId="10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43" fillId="2" borderId="9" xfId="0" applyFont="1" applyFill="1" applyBorder="1" applyAlignment="1">
      <alignment horizontal="center" vertical="center"/>
    </xf>
    <xf numFmtId="0" fontId="43" fillId="2" borderId="10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43" fillId="2" borderId="8" xfId="49" applyFont="1" applyFill="1" applyBorder="1" applyAlignment="1">
      <alignment horizontal="center" vertical="center"/>
    </xf>
    <xf numFmtId="0" fontId="37" fillId="2" borderId="1" xfId="49" applyFont="1" applyFill="1" applyBorder="1" applyAlignment="1">
      <alignment horizontal="center" vertical="center"/>
    </xf>
    <xf numFmtId="0" fontId="43" fillId="2" borderId="9" xfId="49" applyFont="1" applyFill="1" applyBorder="1" applyAlignment="1">
      <alignment horizontal="center" vertical="center"/>
    </xf>
    <xf numFmtId="0" fontId="39" fillId="27" borderId="47" xfId="49" applyFont="1" applyFill="1" applyBorder="1" applyAlignment="1">
      <alignment horizontal="center" vertical="center" wrapText="1"/>
    </xf>
    <xf numFmtId="0" fontId="39" fillId="15" borderId="48" xfId="49" applyFont="1" applyFill="1" applyBorder="1" applyAlignment="1">
      <alignment horizontal="center" vertical="center" wrapText="1"/>
    </xf>
    <xf numFmtId="0" fontId="39" fillId="15" borderId="49" xfId="49" applyFont="1" applyFill="1" applyBorder="1" applyAlignment="1">
      <alignment horizontal="center" vertical="center" wrapText="1"/>
    </xf>
    <xf numFmtId="0" fontId="45" fillId="14" borderId="1" xfId="49" applyFont="1" applyFill="1" applyBorder="1" applyAlignment="1">
      <alignment horizontal="center" vertical="center"/>
    </xf>
    <xf numFmtId="0" fontId="46" fillId="41" borderId="1" xfId="49" applyFont="1" applyFill="1" applyBorder="1" applyAlignment="1">
      <alignment horizontal="center" vertical="center" wrapText="1"/>
    </xf>
    <xf numFmtId="0" fontId="46" fillId="41" borderId="1" xfId="49" applyFont="1" applyFill="1" applyBorder="1" applyAlignment="1">
      <alignment horizontal="center" vertical="center"/>
    </xf>
    <xf numFmtId="0" fontId="46" fillId="41" borderId="50" xfId="49" applyFont="1" applyFill="1" applyBorder="1" applyAlignment="1">
      <alignment horizontal="center" vertical="center"/>
    </xf>
    <xf numFmtId="0" fontId="46" fillId="41" borderId="51" xfId="49" applyFont="1" applyFill="1" applyBorder="1" applyAlignment="1">
      <alignment horizontal="center" vertical="center" wrapText="1"/>
    </xf>
    <xf numFmtId="0" fontId="46" fillId="41" borderId="52" xfId="49" applyFont="1" applyFill="1" applyBorder="1" applyAlignment="1">
      <alignment horizontal="center" vertical="center" wrapText="1"/>
    </xf>
    <xf numFmtId="0" fontId="43" fillId="2" borderId="10" xfId="49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horizontal="center" vertical="center"/>
    </xf>
    <xf numFmtId="0" fontId="42" fillId="40" borderId="9" xfId="0" applyFont="1" applyFill="1" applyBorder="1" applyAlignment="1">
      <alignment vertical="center" wrapText="1"/>
    </xf>
    <xf numFmtId="0" fontId="3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1" applyNumberFormat="1" applyFon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7" fillId="0" borderId="1" xfId="0" applyFont="1" applyBorder="1" applyAlignment="1">
      <alignment horizontal="left"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7" fillId="13" borderId="53" xfId="0" applyFont="1" applyFill="1" applyBorder="1" applyAlignment="1">
      <alignment horizontal="center" vertical="center"/>
    </xf>
    <xf numFmtId="184" fontId="47" fillId="13" borderId="48" xfId="0" applyNumberFormat="1" applyFont="1" applyFill="1" applyBorder="1" applyAlignment="1">
      <alignment horizontal="center" vertical="center"/>
    </xf>
    <xf numFmtId="0" fontId="47" fillId="13" borderId="48" xfId="0" applyFont="1" applyFill="1" applyBorder="1" applyAlignment="1">
      <alignment horizontal="center" vertical="center"/>
    </xf>
    <xf numFmtId="184" fontId="47" fillId="13" borderId="49" xfId="0" applyNumberFormat="1" applyFont="1" applyFill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 wrapText="1"/>
    </xf>
    <xf numFmtId="184" fontId="0" fillId="0" borderId="54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88780" y="3179445"/>
          <a:ext cx="4558665" cy="702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48485" y="3181350"/>
          <a:ext cx="5339715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482560" y="3159125"/>
          <a:ext cx="4653280" cy="354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3.8" outlineLevelCol="5"/>
  <cols>
    <col min="2" max="2" width="7.91666666666667" customWidth="1"/>
    <col min="3" max="3" width="16.0833333333333" style="329" customWidth="1"/>
    <col min="4" max="4" width="44" style="330" customWidth="1"/>
    <col min="5" max="5" width="13.9166666666667" customWidth="1"/>
    <col min="6" max="6" width="16.0833333333333" style="329" customWidth="1"/>
  </cols>
  <sheetData>
    <row r="1" ht="14.55"/>
    <row r="2" ht="15.6" spans="2:6">
      <c r="B2" s="331" t="s">
        <v>0</v>
      </c>
      <c r="C2" s="332" t="s">
        <v>1</v>
      </c>
      <c r="D2" s="333" t="s">
        <v>2</v>
      </c>
      <c r="E2" s="333" t="s">
        <v>3</v>
      </c>
      <c r="F2" s="334" t="s">
        <v>4</v>
      </c>
    </row>
    <row r="3" ht="14.55" spans="2:6">
      <c r="B3" s="335" t="s">
        <v>5</v>
      </c>
      <c r="C3" s="335">
        <v>44036</v>
      </c>
      <c r="D3" s="336" t="s">
        <v>6</v>
      </c>
      <c r="E3" s="335"/>
      <c r="F3" s="335">
        <v>44039</v>
      </c>
    </row>
    <row r="4" ht="42.15" spans="2:6">
      <c r="B4" s="335" t="s">
        <v>7</v>
      </c>
      <c r="C4" s="335">
        <v>44056</v>
      </c>
      <c r="D4" s="336" t="s">
        <v>8</v>
      </c>
      <c r="E4" s="335" t="s">
        <v>9</v>
      </c>
      <c r="F4" s="335">
        <v>44056</v>
      </c>
    </row>
    <row r="5" ht="83.55" spans="2:6">
      <c r="B5" s="335" t="s">
        <v>10</v>
      </c>
      <c r="C5" s="335">
        <v>44131</v>
      </c>
      <c r="D5" s="336" t="s">
        <v>11</v>
      </c>
      <c r="E5" s="335" t="s">
        <v>12</v>
      </c>
      <c r="F5" s="335">
        <v>44132</v>
      </c>
    </row>
    <row r="6" ht="172.35" spans="2:6">
      <c r="B6" s="335" t="s">
        <v>13</v>
      </c>
      <c r="C6" s="335">
        <v>44281</v>
      </c>
      <c r="D6" s="336" t="s">
        <v>14</v>
      </c>
      <c r="E6" s="335"/>
      <c r="F6" s="335">
        <v>44287</v>
      </c>
    </row>
    <row r="7" ht="69.75" spans="2:6">
      <c r="B7" s="335" t="s">
        <v>15</v>
      </c>
      <c r="C7" s="335">
        <v>44670</v>
      </c>
      <c r="D7" s="336" t="s">
        <v>16</v>
      </c>
      <c r="E7" s="335"/>
      <c r="F7" s="335">
        <v>44670</v>
      </c>
    </row>
    <row r="8" ht="69.75" spans="2:6">
      <c r="B8" s="335" t="s">
        <v>17</v>
      </c>
      <c r="C8" s="335">
        <v>45127</v>
      </c>
      <c r="D8" s="336" t="s">
        <v>18</v>
      </c>
      <c r="E8" s="335"/>
      <c r="F8" s="335">
        <v>45127</v>
      </c>
    </row>
    <row r="9" ht="14.55" spans="2:6">
      <c r="B9" s="335" t="s">
        <v>19</v>
      </c>
      <c r="C9" s="335">
        <v>45468</v>
      </c>
      <c r="D9" s="337" t="s">
        <v>20</v>
      </c>
      <c r="E9" s="335"/>
      <c r="F9" s="335">
        <v>45468</v>
      </c>
    </row>
    <row r="10" ht="14.55" spans="2:6">
      <c r="B10" s="335" t="s">
        <v>21</v>
      </c>
      <c r="C10" s="335">
        <v>45482</v>
      </c>
      <c r="D10" s="336" t="s">
        <v>22</v>
      </c>
      <c r="E10" s="335"/>
      <c r="F10" s="335">
        <v>45482</v>
      </c>
    </row>
    <row r="11" ht="14.55" spans="2:6">
      <c r="B11" s="335" t="s">
        <v>23</v>
      </c>
      <c r="C11" s="335">
        <v>45483</v>
      </c>
      <c r="D11" s="336" t="s">
        <v>24</v>
      </c>
      <c r="E11" s="335"/>
      <c r="F11" s="335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zoomScale="90" zoomScaleNormal="90" workbookViewId="0">
      <pane xSplit="3" ySplit="1" topLeftCell="I2" activePane="bottomRight" state="frozen"/>
      <selection/>
      <selection pane="topRight"/>
      <selection pane="bottomLeft"/>
      <selection pane="bottomRight" activeCell="M7" sqref="M7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65" customWidth="1"/>
    <col min="4" max="4" width="29.25" style="266" customWidth="1"/>
    <col min="5" max="5" width="49.25" style="266" customWidth="1"/>
    <col min="6" max="6" width="18.9166666666667" style="267" customWidth="1"/>
    <col min="7" max="7" width="170.5" style="265" customWidth="1"/>
    <col min="8" max="8" width="38.25" style="268" customWidth="1"/>
    <col min="9" max="9" width="6.08333333333333" style="143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62" customFormat="1" customHeight="1" spans="1:15">
      <c r="A1" s="269"/>
      <c r="B1" s="269" t="s">
        <v>25</v>
      </c>
      <c r="C1" s="269" t="s">
        <v>26</v>
      </c>
      <c r="D1" s="270" t="s">
        <v>27</v>
      </c>
      <c r="E1" s="270" t="s">
        <v>28</v>
      </c>
      <c r="F1" s="271" t="s">
        <v>29</v>
      </c>
      <c r="G1" s="272" t="s">
        <v>30</v>
      </c>
      <c r="H1" s="273"/>
      <c r="I1" s="274"/>
      <c r="K1" s="275"/>
      <c r="L1" s="276" t="s">
        <v>31</v>
      </c>
      <c r="M1" s="276">
        <f>VLOOKUP('【2】运营中心填-基本信息&amp;审核标准'!C2,各村基准价!A:C,2,FALSE)</f>
        <v>1612.1</v>
      </c>
      <c r="N1" s="2"/>
    </row>
    <row r="2" customHeight="1" spans="1:15">
      <c r="A2" s="277" t="s">
        <v>32</v>
      </c>
      <c r="B2" s="277">
        <v>1</v>
      </c>
      <c r="C2" s="278" t="s">
        <v>33</v>
      </c>
      <c r="D2" s="279" t="s">
        <v>34</v>
      </c>
      <c r="E2" s="279" t="str">
        <f>$C$2&amp;D2</f>
        <v>区位交通很便利</v>
      </c>
      <c r="F2" s="280">
        <v>1.04</v>
      </c>
      <c r="G2" s="281" t="s">
        <v>35</v>
      </c>
      <c r="H2" s="282"/>
      <c r="I2" s="143" t="e">
        <f>J2*#REF!-J2</f>
        <v>#REF!</v>
      </c>
      <c r="J2">
        <v>1350</v>
      </c>
      <c r="L2" s="283" t="s">
        <v>36</v>
      </c>
      <c r="M2" s="283" t="s">
        <v>37</v>
      </c>
    </row>
    <row r="3" customHeight="1" spans="1:15">
      <c r="A3" s="284"/>
      <c r="B3" s="284"/>
      <c r="C3" s="278"/>
      <c r="D3" s="279" t="s">
        <v>38</v>
      </c>
      <c r="E3" s="279" t="str">
        <f>$C$2&amp;D3</f>
        <v>区位交通较便利</v>
      </c>
      <c r="F3" s="280">
        <v>1.02</v>
      </c>
      <c r="G3" s="281" t="s">
        <v>39</v>
      </c>
      <c r="H3" s="282"/>
      <c r="I3" s="143" t="e">
        <f>J3*#REF!-J3</f>
        <v>#REF!</v>
      </c>
      <c r="J3">
        <v>1350</v>
      </c>
      <c r="K3" s="2">
        <v>1</v>
      </c>
      <c r="L3" s="285" t="s">
        <v>40</v>
      </c>
      <c r="M3" s="250">
        <f>$M$1*K3</f>
        <v>1612.1</v>
      </c>
    </row>
    <row r="4" customHeight="1" spans="1:15">
      <c r="A4" s="284"/>
      <c r="B4" s="284"/>
      <c r="C4" s="278"/>
      <c r="D4" s="279" t="s">
        <v>41</v>
      </c>
      <c r="E4" s="279" t="str">
        <f>$C$2&amp;D4</f>
        <v>区位中心位置</v>
      </c>
      <c r="F4" s="280">
        <v>1</v>
      </c>
      <c r="G4" s="281" t="s">
        <v>42</v>
      </c>
      <c r="H4" s="282"/>
      <c r="I4" s="143">
        <f>J4*F2-J4</f>
        <v>54</v>
      </c>
      <c r="J4">
        <v>1350</v>
      </c>
      <c r="K4" s="2">
        <v>1.5</v>
      </c>
      <c r="L4" s="285" t="s">
        <v>43</v>
      </c>
      <c r="M4" s="250">
        <f>VLOOKUP('【2】运营中心填-基本信息&amp;审核标准'!C2,各村基准价!A:C,3,FALSE)</f>
        <v>2402.5</v>
      </c>
    </row>
    <row r="5" customHeight="1" spans="1:15">
      <c r="A5" s="284"/>
      <c r="B5" s="284"/>
      <c r="C5" s="278"/>
      <c r="D5" s="279" t="s">
        <v>44</v>
      </c>
      <c r="E5" s="279" t="str">
        <f>$C$2&amp;D5</f>
        <v>区位交通较不便</v>
      </c>
      <c r="F5" s="280">
        <v>0.98</v>
      </c>
      <c r="G5" s="281" t="s">
        <v>45</v>
      </c>
      <c r="H5" s="282"/>
      <c r="I5" s="143">
        <f>J5*F3-J5</f>
        <v>27</v>
      </c>
      <c r="J5">
        <v>1350</v>
      </c>
      <c r="K5" s="2">
        <v>2</v>
      </c>
      <c r="L5" s="286" t="s">
        <v>46</v>
      </c>
      <c r="M5" s="250">
        <f t="shared" ref="M5:M11" si="0">$M$1*K5</f>
        <v>3224.2</v>
      </c>
    </row>
    <row r="6" customHeight="1" spans="1:15">
      <c r="A6" s="284"/>
      <c r="B6" s="287"/>
      <c r="C6" s="278"/>
      <c r="D6" s="279" t="s">
        <v>47</v>
      </c>
      <c r="E6" s="279" t="str">
        <f>$C$2&amp;D6</f>
        <v>区位交通很不便</v>
      </c>
      <c r="F6" s="280">
        <v>0.96</v>
      </c>
      <c r="G6" s="281" t="s">
        <v>48</v>
      </c>
      <c r="H6" s="282"/>
      <c r="I6" s="143">
        <v>100</v>
      </c>
      <c r="J6">
        <v>1350</v>
      </c>
      <c r="K6" s="2">
        <v>1</v>
      </c>
      <c r="L6" s="286" t="s">
        <v>49</v>
      </c>
      <c r="M6" s="250">
        <f t="shared" si="0"/>
        <v>1612.1</v>
      </c>
    </row>
    <row r="7" customHeight="1" spans="1:15">
      <c r="A7" s="284"/>
      <c r="B7" s="277">
        <v>2</v>
      </c>
      <c r="C7" s="288" t="s">
        <v>50</v>
      </c>
      <c r="D7" s="1" t="s">
        <v>51</v>
      </c>
      <c r="E7" s="1" t="str">
        <f>$C$7&amp;D7</f>
        <v>有无电梯有</v>
      </c>
      <c r="F7" s="280">
        <v>1.05</v>
      </c>
      <c r="G7" s="289" t="s">
        <v>52</v>
      </c>
      <c r="H7" s="290"/>
      <c r="I7" s="143">
        <v>80</v>
      </c>
      <c r="J7">
        <v>1350</v>
      </c>
      <c r="K7" s="2">
        <v>1</v>
      </c>
      <c r="L7" s="286" t="s">
        <v>53</v>
      </c>
      <c r="M7" s="250">
        <f t="shared" si="0"/>
        <v>1612.1</v>
      </c>
    </row>
    <row r="8" customHeight="1" spans="1:15">
      <c r="A8" s="287"/>
      <c r="B8" s="287"/>
      <c r="C8" s="288"/>
      <c r="D8" s="1" t="s">
        <v>54</v>
      </c>
      <c r="E8" s="1" t="str">
        <f>$C$7&amp;D8</f>
        <v>有无电梯无</v>
      </c>
      <c r="F8" s="280">
        <v>1</v>
      </c>
      <c r="G8" s="289"/>
      <c r="H8" s="290"/>
      <c r="I8" s="143">
        <f>J8*F6-J8</f>
        <v>-54</v>
      </c>
      <c r="J8">
        <v>1350</v>
      </c>
      <c r="K8" s="2">
        <v>1.5</v>
      </c>
      <c r="L8" s="286" t="s">
        <v>55</v>
      </c>
      <c r="M8" s="250">
        <f>M4</f>
        <v>2402.5</v>
      </c>
    </row>
    <row r="9" customHeight="1" spans="1:15">
      <c r="A9" s="291" t="s">
        <v>56</v>
      </c>
      <c r="B9" s="292">
        <v>1</v>
      </c>
      <c r="C9" s="293" t="s">
        <v>57</v>
      </c>
      <c r="D9" s="1" t="s">
        <v>58</v>
      </c>
      <c r="E9" s="1" t="str">
        <f>$C$9&amp;D9</f>
        <v>套内空间很宽敞</v>
      </c>
      <c r="F9" s="280">
        <v>1.1</v>
      </c>
      <c r="G9" s="289" t="s">
        <v>59</v>
      </c>
      <c r="H9" s="290"/>
      <c r="I9" s="143">
        <f>J9*F7-J9</f>
        <v>0</v>
      </c>
      <c r="K9" s="2">
        <v>2</v>
      </c>
      <c r="L9" s="286" t="s">
        <v>60</v>
      </c>
      <c r="M9" s="250">
        <f t="shared" si="0"/>
        <v>3224.2</v>
      </c>
    </row>
    <row r="10" customHeight="1" spans="1:15">
      <c r="A10" s="294"/>
      <c r="B10" s="292"/>
      <c r="C10" s="293"/>
      <c r="D10" s="1" t="s">
        <v>61</v>
      </c>
      <c r="E10" s="1" t="str">
        <f>$C$9&amp;D10</f>
        <v>套内空间较宽敞</v>
      </c>
      <c r="F10" s="280">
        <v>1.06</v>
      </c>
      <c r="G10" s="289"/>
      <c r="H10" s="290"/>
      <c r="I10" s="143">
        <f>J10*F8-J10</f>
        <v>0</v>
      </c>
      <c r="K10" s="2">
        <v>2</v>
      </c>
      <c r="L10" s="286" t="s">
        <v>62</v>
      </c>
      <c r="M10" s="250">
        <f t="shared" si="0"/>
        <v>3224.2</v>
      </c>
    </row>
    <row r="11" customHeight="1" spans="1:15">
      <c r="A11" s="294"/>
      <c r="B11" s="292"/>
      <c r="C11" s="293"/>
      <c r="D11" s="1" t="s">
        <v>63</v>
      </c>
      <c r="E11" s="1" t="str">
        <f>$C$9&amp;D11</f>
        <v>套内空间适中</v>
      </c>
      <c r="F11" s="280">
        <v>1</v>
      </c>
      <c r="G11" s="289"/>
      <c r="H11" s="290"/>
      <c r="I11" s="143" t="e">
        <f>J11*#REF!-J11</f>
        <v>#REF!</v>
      </c>
      <c r="K11" s="2">
        <v>2</v>
      </c>
      <c r="L11" s="286" t="s">
        <v>64</v>
      </c>
      <c r="M11" s="250">
        <f t="shared" si="0"/>
        <v>3224.2</v>
      </c>
    </row>
    <row r="12" customHeight="1" spans="1:15">
      <c r="A12" s="294"/>
      <c r="B12" s="292"/>
      <c r="C12" s="293"/>
      <c r="D12" s="1" t="s">
        <v>65</v>
      </c>
      <c r="E12" s="1" t="str">
        <f>$C$9&amp;D12</f>
        <v>套内空间较狭小</v>
      </c>
      <c r="F12" s="280">
        <v>0.95</v>
      </c>
      <c r="G12" s="289"/>
      <c r="H12" s="290"/>
      <c r="I12" s="143" t="e">
        <f>J12*#REF!-J12</f>
        <v>#REF!</v>
      </c>
    </row>
    <row r="13" customHeight="1" spans="1:15">
      <c r="A13" s="294"/>
      <c r="B13" s="292"/>
      <c r="C13" s="293"/>
      <c r="D13" s="1" t="s">
        <v>66</v>
      </c>
      <c r="E13" s="1" t="str">
        <f>$C$9&amp;D13</f>
        <v>套内空间很狭小</v>
      </c>
      <c r="F13" s="280">
        <v>0.9</v>
      </c>
      <c r="G13" s="289"/>
      <c r="H13" s="290"/>
      <c r="I13" s="143" t="e">
        <f>J13*#REF!-J13</f>
        <v>#REF!</v>
      </c>
    </row>
    <row r="14" s="263" customFormat="1" customHeight="1" spans="1:15">
      <c r="A14" s="294"/>
      <c r="B14" s="291">
        <v>3</v>
      </c>
      <c r="C14" s="293" t="s">
        <v>67</v>
      </c>
      <c r="D14" s="1" t="s">
        <v>51</v>
      </c>
      <c r="E14" s="1" t="str">
        <f>$C$14&amp;D14</f>
        <v>阳台有</v>
      </c>
      <c r="F14" s="280">
        <v>1.07</v>
      </c>
      <c r="G14" s="289"/>
      <c r="H14" s="290"/>
      <c r="I14" s="143" t="e">
        <f>J14*#REF!-J14</f>
        <v>#REF!</v>
      </c>
      <c r="K14" s="295"/>
    </row>
    <row r="15" s="263" customFormat="1" customHeight="1" spans="1:15">
      <c r="A15" s="294"/>
      <c r="B15" s="294"/>
      <c r="C15" s="293"/>
      <c r="D15" s="1" t="s">
        <v>54</v>
      </c>
      <c r="E15" s="1" t="str">
        <f>$C$14&amp;D15</f>
        <v>阳台无</v>
      </c>
      <c r="F15" s="280">
        <v>1</v>
      </c>
      <c r="G15" s="281"/>
      <c r="H15" s="282"/>
      <c r="I15" s="143"/>
      <c r="K15" s="295"/>
    </row>
    <row r="16" customHeight="1" spans="1:15">
      <c r="A16" s="294"/>
      <c r="B16" s="291">
        <v>4</v>
      </c>
      <c r="C16" s="293" t="s">
        <v>68</v>
      </c>
      <c r="D16" s="1" t="s">
        <v>54</v>
      </c>
      <c r="E16" s="1" t="str">
        <f>$C$16&amp;D16</f>
        <v>楼梯房楼层无</v>
      </c>
      <c r="F16" s="280">
        <v>1</v>
      </c>
      <c r="G16" s="289" t="s">
        <v>69</v>
      </c>
      <c r="H16" s="290"/>
      <c r="I16" s="143">
        <f>J16*F11-J16</f>
        <v>0</v>
      </c>
      <c r="J16">
        <v>1350</v>
      </c>
      <c r="K16" s="296" t="s">
        <v>70</v>
      </c>
      <c r="L16" s="297" t="s">
        <v>71</v>
      </c>
      <c r="M16" s="297" t="s">
        <v>72</v>
      </c>
      <c r="N16" s="297" t="s">
        <v>73</v>
      </c>
      <c r="O16" s="297" t="s">
        <v>74</v>
      </c>
    </row>
    <row r="17" customHeight="1" spans="1:15">
      <c r="A17" s="294"/>
      <c r="B17" s="294"/>
      <c r="C17" s="293"/>
      <c r="D17" s="1" t="s">
        <v>75</v>
      </c>
      <c r="E17" s="1" t="str">
        <f>$C$16&amp;D17</f>
        <v>楼梯房楼层1F</v>
      </c>
      <c r="F17" s="280">
        <v>0.91</v>
      </c>
      <c r="G17" s="289"/>
      <c r="H17" s="290"/>
      <c r="I17" s="143">
        <f>J17*F12-J17</f>
        <v>-67.5</v>
      </c>
      <c r="J17">
        <v>1350</v>
      </c>
      <c r="K17" s="298" t="s">
        <v>58</v>
      </c>
      <c r="L17" s="299" t="s">
        <v>76</v>
      </c>
      <c r="M17" s="299" t="s">
        <v>77</v>
      </c>
      <c r="N17" s="299" t="s">
        <v>78</v>
      </c>
      <c r="O17" s="299" t="s">
        <v>79</v>
      </c>
    </row>
    <row r="18" customHeight="1" spans="1:15">
      <c r="A18" s="294"/>
      <c r="B18" s="294"/>
      <c r="C18" s="293"/>
      <c r="D18" s="1" t="s">
        <v>80</v>
      </c>
      <c r="E18" s="1" t="str">
        <f t="shared" ref="E18:E25" si="1">$C$16&amp;D18</f>
        <v>楼梯房楼层2F</v>
      </c>
      <c r="F18" s="280">
        <v>1.02</v>
      </c>
      <c r="G18" s="289"/>
      <c r="H18" s="290"/>
      <c r="I18" s="143">
        <f>J18*F13-J18</f>
        <v>-135</v>
      </c>
      <c r="J18">
        <v>1350</v>
      </c>
      <c r="K18" s="298" t="s">
        <v>61</v>
      </c>
      <c r="L18" s="299" t="s">
        <v>81</v>
      </c>
      <c r="M18" s="299" t="s">
        <v>82</v>
      </c>
      <c r="N18" s="299" t="s">
        <v>83</v>
      </c>
      <c r="O18" s="299" t="s">
        <v>84</v>
      </c>
    </row>
    <row r="19" customHeight="1" spans="1:15">
      <c r="A19" s="294"/>
      <c r="B19" s="294"/>
      <c r="C19" s="293"/>
      <c r="D19" s="1" t="s">
        <v>85</v>
      </c>
      <c r="E19" s="1" t="str">
        <f t="shared" si="1"/>
        <v>楼梯房楼层3F</v>
      </c>
      <c r="F19" s="280">
        <v>1.01</v>
      </c>
      <c r="G19" s="289"/>
      <c r="H19" s="290"/>
      <c r="I19" s="143" t="e">
        <f>J19*#REF!-J19</f>
        <v>#REF!</v>
      </c>
      <c r="J19">
        <v>1350</v>
      </c>
      <c r="K19" s="298" t="s">
        <v>63</v>
      </c>
      <c r="L19" s="299" t="s">
        <v>86</v>
      </c>
      <c r="M19" s="299" t="s">
        <v>87</v>
      </c>
      <c r="N19" s="299" t="s">
        <v>88</v>
      </c>
      <c r="O19" s="299" t="s">
        <v>89</v>
      </c>
    </row>
    <row r="20" customHeight="1" spans="1:15">
      <c r="A20" s="294"/>
      <c r="B20" s="294"/>
      <c r="C20" s="293"/>
      <c r="D20" s="1" t="s">
        <v>90</v>
      </c>
      <c r="E20" s="1" t="str">
        <f t="shared" si="1"/>
        <v>楼梯房楼层4F</v>
      </c>
      <c r="F20" s="280">
        <v>1</v>
      </c>
      <c r="G20" s="289"/>
      <c r="H20" s="290"/>
      <c r="I20" s="143" t="e">
        <f>J20*#REF!-J20</f>
        <v>#REF!</v>
      </c>
      <c r="J20">
        <v>1350</v>
      </c>
      <c r="K20" s="298" t="s">
        <v>65</v>
      </c>
      <c r="L20" s="299" t="s">
        <v>91</v>
      </c>
      <c r="M20" s="299" t="s">
        <v>92</v>
      </c>
      <c r="N20" s="299" t="s">
        <v>93</v>
      </c>
      <c r="O20" s="299" t="s">
        <v>94</v>
      </c>
    </row>
    <row r="21" customHeight="1" spans="1:15">
      <c r="A21" s="294"/>
      <c r="B21" s="294"/>
      <c r="C21" s="293"/>
      <c r="D21" s="1" t="s">
        <v>95</v>
      </c>
      <c r="E21" s="1" t="str">
        <f t="shared" si="1"/>
        <v>楼梯房楼层5F</v>
      </c>
      <c r="F21" s="280">
        <v>0.99</v>
      </c>
      <c r="G21" s="289"/>
      <c r="H21" s="290"/>
      <c r="I21" s="143" t="e">
        <f>J21*#REF!-J21</f>
        <v>#REF!</v>
      </c>
      <c r="J21">
        <v>1350</v>
      </c>
      <c r="K21" s="298" t="s">
        <v>66</v>
      </c>
      <c r="L21" s="299" t="s">
        <v>96</v>
      </c>
      <c r="M21" s="299" t="s">
        <v>97</v>
      </c>
      <c r="N21" s="299" t="s">
        <v>98</v>
      </c>
      <c r="O21" s="299" t="s">
        <v>99</v>
      </c>
    </row>
    <row r="22" customHeight="1" spans="1:15">
      <c r="A22" s="294"/>
      <c r="B22" s="294"/>
      <c r="C22" s="293"/>
      <c r="D22" s="1" t="s">
        <v>100</v>
      </c>
      <c r="E22" s="1" t="str">
        <f t="shared" si="1"/>
        <v>楼梯房楼层6F</v>
      </c>
      <c r="F22" s="280">
        <v>0.98</v>
      </c>
      <c r="G22" s="289"/>
      <c r="H22" s="290"/>
      <c r="I22" s="143" t="e">
        <f>J22*#REF!-J22</f>
        <v>#REF!</v>
      </c>
      <c r="J22">
        <v>1350</v>
      </c>
    </row>
    <row r="23" customHeight="1" spans="1:15">
      <c r="A23" s="294"/>
      <c r="B23" s="294"/>
      <c r="C23" s="293"/>
      <c r="D23" s="1" t="s">
        <v>101</v>
      </c>
      <c r="E23" s="1" t="str">
        <f t="shared" si="1"/>
        <v>楼梯房楼层7F</v>
      </c>
      <c r="F23" s="280">
        <v>0.96</v>
      </c>
      <c r="G23" s="289"/>
      <c r="H23" s="290"/>
      <c r="I23" s="143" t="e">
        <f>J23*#REF!-J23</f>
        <v>#REF!</v>
      </c>
      <c r="J23">
        <v>1350</v>
      </c>
    </row>
    <row r="24" customHeight="1" spans="1:15">
      <c r="A24" s="294"/>
      <c r="B24" s="294"/>
      <c r="C24" s="293"/>
      <c r="D24" s="1" t="s">
        <v>102</v>
      </c>
      <c r="E24" s="1" t="str">
        <f t="shared" si="1"/>
        <v>楼梯房楼层8F</v>
      </c>
      <c r="F24" s="280">
        <v>0.93</v>
      </c>
      <c r="G24" s="289"/>
      <c r="H24" s="290"/>
      <c r="I24" s="143">
        <f>J24*F14-J24</f>
        <v>94.5</v>
      </c>
      <c r="J24">
        <v>1350</v>
      </c>
    </row>
    <row r="25" customHeight="1" spans="1:15">
      <c r="A25" s="294"/>
      <c r="B25" s="300"/>
      <c r="C25" s="293"/>
      <c r="D25" s="1" t="s">
        <v>103</v>
      </c>
      <c r="E25" s="1" t="str">
        <f t="shared" si="1"/>
        <v>楼梯房楼层9F</v>
      </c>
      <c r="F25" s="280">
        <v>0.9</v>
      </c>
      <c r="G25" s="289"/>
      <c r="H25" s="290"/>
      <c r="I25" s="143">
        <f>J25*F15-J25</f>
        <v>0</v>
      </c>
      <c r="J25">
        <v>1350</v>
      </c>
    </row>
    <row r="26" customHeight="1" spans="1:15">
      <c r="A26" s="294"/>
      <c r="B26" s="291">
        <v>5</v>
      </c>
      <c r="C26" s="301" t="s">
        <v>104</v>
      </c>
      <c r="D26" s="1" t="s">
        <v>54</v>
      </c>
      <c r="E26" s="1" t="str">
        <f t="shared" ref="E26:E34" si="2">$C$26&amp;D26</f>
        <v>电梯房楼层无</v>
      </c>
      <c r="F26" s="280">
        <v>1</v>
      </c>
      <c r="G26" s="289"/>
      <c r="H26" s="290"/>
      <c r="I26" s="143" t="e">
        <f>J26*#REF!-J26</f>
        <v>#REF!</v>
      </c>
      <c r="J26">
        <v>1350</v>
      </c>
      <c r="K26" s="302"/>
    </row>
    <row r="27" customHeight="1" spans="1:15">
      <c r="A27" s="294"/>
      <c r="B27" s="294"/>
      <c r="C27" s="303"/>
      <c r="D27" s="1" t="s">
        <v>75</v>
      </c>
      <c r="E27" s="1" t="str">
        <f t="shared" si="2"/>
        <v>电梯房楼层1F</v>
      </c>
      <c r="F27" s="280">
        <v>0.87</v>
      </c>
      <c r="G27" s="289" t="s">
        <v>69</v>
      </c>
      <c r="H27" s="290"/>
    </row>
    <row r="28" customHeight="1" spans="1:15">
      <c r="A28" s="294"/>
      <c r="B28" s="294"/>
      <c r="C28" s="303"/>
      <c r="D28" s="1" t="s">
        <v>105</v>
      </c>
      <c r="E28" s="1" t="str">
        <f t="shared" si="2"/>
        <v>电梯房楼层2-3F</v>
      </c>
      <c r="F28" s="280">
        <v>0.99</v>
      </c>
      <c r="G28" s="289"/>
      <c r="H28" s="290"/>
      <c r="I28" s="143" t="e">
        <f>J28*#REF!-J28</f>
        <v>#REF!</v>
      </c>
    </row>
    <row r="29" customHeight="1" spans="1:15">
      <c r="A29" s="294"/>
      <c r="B29" s="294"/>
      <c r="C29" s="303"/>
      <c r="D29" s="1" t="s">
        <v>90</v>
      </c>
      <c r="E29" s="1" t="str">
        <f t="shared" si="2"/>
        <v>电梯房楼层4F</v>
      </c>
      <c r="F29" s="280">
        <v>1</v>
      </c>
      <c r="G29" s="289"/>
      <c r="H29" s="290"/>
      <c r="I29" s="143">
        <f t="shared" ref="I29" si="3">1325*F16-1325</f>
        <v>0</v>
      </c>
    </row>
    <row r="30" customHeight="1" spans="1:15">
      <c r="A30" s="294"/>
      <c r="B30" s="294"/>
      <c r="C30" s="303"/>
      <c r="D30" s="1" t="s">
        <v>106</v>
      </c>
      <c r="E30" s="1" t="str">
        <f t="shared" si="2"/>
        <v>电梯房楼层5-6F</v>
      </c>
      <c r="F30" s="280">
        <v>1.01</v>
      </c>
      <c r="G30" s="289"/>
      <c r="H30" s="290"/>
    </row>
    <row r="31" customHeight="1" spans="1:15">
      <c r="A31" s="294"/>
      <c r="B31" s="294"/>
      <c r="C31" s="303"/>
      <c r="D31" s="1" t="s">
        <v>107</v>
      </c>
      <c r="E31" s="1" t="str">
        <f t="shared" si="2"/>
        <v>电梯房楼层7-8F</v>
      </c>
      <c r="F31" s="280">
        <v>1.02</v>
      </c>
      <c r="G31" s="289"/>
      <c r="H31" s="290"/>
      <c r="I31" s="143">
        <f>1325*F18-1325</f>
        <v>26.5</v>
      </c>
    </row>
    <row r="32" customHeight="1" spans="1:15">
      <c r="A32" s="294"/>
      <c r="B32" s="294"/>
      <c r="C32" s="303"/>
      <c r="D32" s="1" t="s">
        <v>108</v>
      </c>
      <c r="E32" s="1" t="str">
        <f t="shared" si="2"/>
        <v>电梯房楼层9-10F</v>
      </c>
      <c r="F32" s="280">
        <v>1.03</v>
      </c>
      <c r="G32" s="289"/>
      <c r="H32" s="290"/>
      <c r="I32" s="143">
        <f>1325*F19-1325</f>
        <v>13.25</v>
      </c>
    </row>
    <row r="33" customHeight="1" spans="1:14">
      <c r="A33" s="294"/>
      <c r="B33" s="294"/>
      <c r="C33" s="303"/>
      <c r="D33" s="1" t="s">
        <v>109</v>
      </c>
      <c r="E33" s="1" t="str">
        <f t="shared" si="2"/>
        <v>电梯房楼层11-12F</v>
      </c>
      <c r="F33" s="280">
        <v>1.04</v>
      </c>
      <c r="G33" s="289"/>
      <c r="H33" s="290"/>
      <c r="I33" s="143">
        <f>1325*F20-1325</f>
        <v>0</v>
      </c>
    </row>
    <row r="34" customHeight="1" spans="1:14">
      <c r="A34" s="294"/>
      <c r="B34" s="300"/>
      <c r="C34" s="304"/>
      <c r="D34" s="1" t="s">
        <v>110</v>
      </c>
      <c r="E34" s="1" t="str">
        <f t="shared" si="2"/>
        <v>电梯房楼层13以上F</v>
      </c>
      <c r="F34" s="280">
        <v>1.05</v>
      </c>
      <c r="G34" s="289"/>
      <c r="H34" s="290"/>
      <c r="I34" s="143">
        <f>1325*F21-1325</f>
        <v>-13.25</v>
      </c>
    </row>
    <row r="35" customHeight="1" spans="1:14">
      <c r="A35" s="294"/>
      <c r="B35" s="294">
        <v>6</v>
      </c>
      <c r="C35" s="303" t="s">
        <v>111</v>
      </c>
      <c r="D35" s="1" t="s">
        <v>112</v>
      </c>
      <c r="E35" s="1" t="str">
        <f t="shared" ref="E35:E41" si="4">$C$35&amp;D35</f>
        <v>功能配置（开间）缺失</v>
      </c>
      <c r="F35" s="280">
        <v>0.93</v>
      </c>
      <c r="G35" s="289"/>
      <c r="H35" s="290"/>
    </row>
    <row r="36" customHeight="1" spans="1:14">
      <c r="A36" s="294"/>
      <c r="B36" s="294"/>
      <c r="C36" s="303"/>
      <c r="D36" s="1" t="s">
        <v>113</v>
      </c>
      <c r="E36" s="1" t="str">
        <f t="shared" si="4"/>
        <v>功能配置（开间）缺失（书桌）</v>
      </c>
      <c r="F36" s="280">
        <v>0.98</v>
      </c>
      <c r="G36" s="289"/>
      <c r="H36" s="290"/>
      <c r="I36" s="143">
        <f>1325*F22-1325</f>
        <v>-26.5</v>
      </c>
    </row>
    <row r="37" customHeight="1" spans="1:14">
      <c r="A37" s="294"/>
      <c r="B37" s="294"/>
      <c r="C37" s="303"/>
      <c r="D37" s="1" t="s">
        <v>114</v>
      </c>
      <c r="E37" s="1" t="str">
        <f t="shared" si="4"/>
        <v>功能配置（开间）缺失（操作台）</v>
      </c>
      <c r="F37" s="280">
        <v>0.96</v>
      </c>
      <c r="G37" s="289"/>
      <c r="H37" s="290"/>
      <c r="I37" s="143">
        <f>1325*F23-1325</f>
        <v>-53</v>
      </c>
    </row>
    <row r="38" customHeight="1" spans="1:14">
      <c r="A38" s="294"/>
      <c r="B38" s="294"/>
      <c r="C38" s="303"/>
      <c r="D38" s="1" t="s">
        <v>63</v>
      </c>
      <c r="E38" s="1" t="str">
        <f t="shared" si="4"/>
        <v>功能配置（开间）适中</v>
      </c>
      <c r="F38" s="280">
        <v>1</v>
      </c>
      <c r="G38" s="281"/>
      <c r="H38" s="282"/>
      <c r="I38" s="143">
        <f>1325*F24-1325</f>
        <v>-92.75</v>
      </c>
    </row>
    <row r="39" customHeight="1" spans="1:14">
      <c r="A39" s="294"/>
      <c r="B39" s="294"/>
      <c r="C39" s="303"/>
      <c r="D39" s="1" t="s">
        <v>115</v>
      </c>
      <c r="E39" s="1" t="str">
        <f t="shared" si="4"/>
        <v>功能配置（开间）充足（油烟机/双人沙发）</v>
      </c>
      <c r="F39" s="280">
        <v>1.04</v>
      </c>
      <c r="G39" s="281"/>
      <c r="H39" s="282"/>
      <c r="I39" s="143">
        <f>1325*F25-1325</f>
        <v>-132.5</v>
      </c>
    </row>
    <row r="40" customHeight="1" spans="1:14">
      <c r="A40" s="294"/>
      <c r="B40" s="294"/>
      <c r="C40" s="303"/>
      <c r="D40" s="1" t="s">
        <v>116</v>
      </c>
      <c r="E40" s="1" t="str">
        <f t="shared" si="4"/>
        <v>功能配置（开间）充足（单人沙发/餐桌）</v>
      </c>
      <c r="F40" s="280">
        <v>1.03</v>
      </c>
      <c r="G40" s="281"/>
      <c r="H40" s="282"/>
    </row>
    <row r="41" customHeight="1" spans="1:14">
      <c r="A41" s="294"/>
      <c r="B41" s="300"/>
      <c r="C41" s="304"/>
      <c r="D41" s="1" t="s">
        <v>117</v>
      </c>
      <c r="E41" s="1" t="str">
        <f t="shared" si="4"/>
        <v>功能配置（开间）非常充足</v>
      </c>
      <c r="F41" s="280">
        <v>1.06</v>
      </c>
      <c r="G41" s="281"/>
      <c r="H41" s="282"/>
      <c r="I41" s="143">
        <f>1325*F27-1325</f>
        <v>-172.25</v>
      </c>
    </row>
    <row r="42" customHeight="1" spans="1:14">
      <c r="A42" s="294"/>
      <c r="B42" s="294"/>
      <c r="C42" s="301" t="s">
        <v>118</v>
      </c>
      <c r="D42" s="1">
        <v>5</v>
      </c>
      <c r="E42" s="1" t="str">
        <f>$C$42&amp;D42</f>
        <v>采光5</v>
      </c>
      <c r="F42" s="280">
        <v>1.06</v>
      </c>
      <c r="G42" s="281" t="s">
        <v>119</v>
      </c>
      <c r="H42" s="305"/>
    </row>
    <row r="43" customHeight="1" spans="1:14">
      <c r="A43" s="294"/>
      <c r="B43" s="294"/>
      <c r="C43" s="303"/>
      <c r="D43" s="1">
        <v>4</v>
      </c>
      <c r="E43" s="1" t="str">
        <f>$C$42&amp;D43</f>
        <v>采光4</v>
      </c>
      <c r="F43" s="280">
        <v>1.03</v>
      </c>
      <c r="G43" s="281"/>
      <c r="H43" s="306"/>
    </row>
    <row r="44" customHeight="1" spans="1:14">
      <c r="A44" s="294"/>
      <c r="B44" s="294"/>
      <c r="C44" s="303"/>
      <c r="D44" s="1">
        <v>3</v>
      </c>
      <c r="E44" s="1" t="str">
        <f>$C$42&amp;D44</f>
        <v>采光3</v>
      </c>
      <c r="F44" s="280">
        <v>1</v>
      </c>
      <c r="G44" s="289"/>
      <c r="H44" s="305"/>
      <c r="I44" s="143">
        <f>1325*F31-1325</f>
        <v>26.5</v>
      </c>
    </row>
    <row r="45" customHeight="1" spans="1:14">
      <c r="A45" s="294"/>
      <c r="B45" s="294"/>
      <c r="C45" s="303"/>
      <c r="D45" s="1">
        <v>2</v>
      </c>
      <c r="E45" s="1" t="str">
        <f>$C$42&amp;D45</f>
        <v>采光2</v>
      </c>
      <c r="F45" s="280">
        <v>0.96</v>
      </c>
      <c r="G45" s="281"/>
      <c r="H45" s="306"/>
      <c r="I45" s="143">
        <f t="shared" ref="I45:I46" si="5">1325*F32-1325</f>
        <v>39.75</v>
      </c>
    </row>
    <row r="46" customHeight="1" spans="1:14">
      <c r="A46" s="294"/>
      <c r="B46" s="294"/>
      <c r="C46" s="304"/>
      <c r="D46" s="1">
        <v>1</v>
      </c>
      <c r="E46" s="1" t="str">
        <f>$C$42&amp;D46</f>
        <v>采光1</v>
      </c>
      <c r="F46" s="280">
        <v>0.91</v>
      </c>
      <c r="G46" s="289"/>
      <c r="H46" s="306"/>
      <c r="I46" s="143">
        <f t="shared" si="5"/>
        <v>53</v>
      </c>
      <c r="L46" s="264"/>
      <c r="M46" s="264"/>
      <c r="N46" s="264"/>
    </row>
    <row r="47" customHeight="1" spans="1:14">
      <c r="A47" s="294"/>
      <c r="B47" s="294">
        <v>8</v>
      </c>
      <c r="C47" s="307" t="s">
        <v>120</v>
      </c>
      <c r="D47" s="1" t="s">
        <v>112</v>
      </c>
      <c r="E47" s="308" t="str">
        <f t="shared" ref="E47:E53" si="6">$C$47&amp;D47</f>
        <v>功能配置（一居）缺失</v>
      </c>
      <c r="F47" s="280">
        <v>0.93</v>
      </c>
      <c r="G47" s="289"/>
      <c r="H47" s="306"/>
      <c r="L47" s="264"/>
      <c r="M47" s="264"/>
      <c r="N47" s="264"/>
    </row>
    <row r="48" customHeight="1" spans="1:14">
      <c r="A48" s="294"/>
      <c r="B48" s="294"/>
      <c r="C48" s="309"/>
      <c r="D48" s="308" t="s">
        <v>121</v>
      </c>
      <c r="E48" s="308" t="str">
        <f t="shared" si="6"/>
        <v>功能配置（一居）缺失（操作台/双人沙发）</v>
      </c>
      <c r="F48" s="280">
        <v>0.96</v>
      </c>
      <c r="G48" s="281"/>
      <c r="H48" s="308"/>
      <c r="K48" s="310" t="s">
        <v>122</v>
      </c>
      <c r="L48" s="311" t="s">
        <v>123</v>
      </c>
      <c r="M48" s="311" t="s">
        <v>73</v>
      </c>
      <c r="N48" s="312" t="s">
        <v>74</v>
      </c>
    </row>
    <row r="49" customHeight="1" spans="1:14">
      <c r="A49" s="294"/>
      <c r="B49" s="294"/>
      <c r="C49" s="309"/>
      <c r="D49" s="308" t="s">
        <v>124</v>
      </c>
      <c r="E49" s="308" t="str">
        <f t="shared" si="6"/>
        <v>功能配置（一居）缺失（餐桌）</v>
      </c>
      <c r="F49" s="280">
        <v>0.98</v>
      </c>
      <c r="G49" s="281"/>
      <c r="H49" s="308"/>
      <c r="I49" s="143">
        <f>J49*F36-J49</f>
        <v>-27</v>
      </c>
      <c r="J49">
        <v>1350</v>
      </c>
      <c r="K49" s="313" t="s">
        <v>112</v>
      </c>
      <c r="L49" s="314" t="s">
        <v>125</v>
      </c>
      <c r="M49" s="315" t="s">
        <v>126</v>
      </c>
      <c r="N49" s="316" t="s">
        <v>127</v>
      </c>
    </row>
    <row r="50" customHeight="1" spans="1:14">
      <c r="A50" s="294"/>
      <c r="B50" s="294"/>
      <c r="C50" s="309"/>
      <c r="D50" s="308" t="s">
        <v>63</v>
      </c>
      <c r="E50" s="308" t="str">
        <f t="shared" si="6"/>
        <v>功能配置（一居）适中</v>
      </c>
      <c r="F50" s="280">
        <v>1</v>
      </c>
      <c r="G50" s="281"/>
      <c r="H50" s="308"/>
      <c r="K50" s="313" t="s">
        <v>63</v>
      </c>
      <c r="L50" s="315" t="s">
        <v>128</v>
      </c>
      <c r="M50" s="315" t="s">
        <v>129</v>
      </c>
      <c r="N50" s="316" t="s">
        <v>130</v>
      </c>
    </row>
    <row r="51" customHeight="1" spans="1:14">
      <c r="A51" s="294"/>
      <c r="B51" s="294"/>
      <c r="C51" s="309"/>
      <c r="D51" s="308" t="s">
        <v>131</v>
      </c>
      <c r="E51" s="308" t="str">
        <f t="shared" si="6"/>
        <v>功能配置（一居）充配（书桌）</v>
      </c>
      <c r="F51" s="280">
        <v>1.02</v>
      </c>
      <c r="G51" s="281"/>
      <c r="H51" s="308"/>
      <c r="I51" s="143">
        <f>J51*F38-J51</f>
        <v>0</v>
      </c>
      <c r="J51">
        <v>1350</v>
      </c>
      <c r="K51" s="313" t="s">
        <v>132</v>
      </c>
      <c r="L51" s="317" t="s">
        <v>133</v>
      </c>
      <c r="M51" s="317" t="s">
        <v>134</v>
      </c>
      <c r="N51" s="318" t="s">
        <v>135</v>
      </c>
    </row>
    <row r="52" customHeight="1" spans="1:14">
      <c r="A52" s="294"/>
      <c r="B52" s="294"/>
      <c r="C52" s="309"/>
      <c r="D52" s="308" t="s">
        <v>136</v>
      </c>
      <c r="E52" s="308" t="str">
        <f t="shared" si="6"/>
        <v>功能配置（一居）充配（油烟机）</v>
      </c>
      <c r="F52" s="280">
        <v>1.04</v>
      </c>
      <c r="G52" s="281"/>
      <c r="H52" s="308"/>
      <c r="I52" s="143">
        <f>J52*F39-J52</f>
        <v>54</v>
      </c>
      <c r="J52">
        <v>1350</v>
      </c>
      <c r="K52" s="313" t="s">
        <v>117</v>
      </c>
      <c r="L52" s="317" t="s">
        <v>137</v>
      </c>
      <c r="M52" s="317" t="s">
        <v>138</v>
      </c>
      <c r="N52" s="318" t="s">
        <v>139</v>
      </c>
    </row>
    <row r="53" customHeight="1" spans="1:14">
      <c r="A53" s="294"/>
      <c r="B53" s="300"/>
      <c r="C53" s="319"/>
      <c r="D53" s="308" t="s">
        <v>140</v>
      </c>
      <c r="E53" s="308" t="str">
        <f t="shared" si="6"/>
        <v>功能配置（一居）非常充配</v>
      </c>
      <c r="F53" s="280">
        <v>1.06</v>
      </c>
      <c r="G53" s="281"/>
      <c r="H53" s="308"/>
    </row>
    <row r="54" customHeight="1" spans="1:14">
      <c r="A54" s="294"/>
      <c r="B54" s="292">
        <v>9</v>
      </c>
      <c r="C54" s="307" t="s">
        <v>141</v>
      </c>
      <c r="D54" s="1" t="s">
        <v>112</v>
      </c>
      <c r="E54" s="308" t="str">
        <f t="shared" ref="E54:E59" si="7">$C$54&amp;D54</f>
        <v>功能配置（二居）缺失</v>
      </c>
      <c r="F54" s="320">
        <v>0.93</v>
      </c>
      <c r="G54" s="281"/>
      <c r="H54" s="308"/>
    </row>
    <row r="55" customHeight="1" spans="1:14">
      <c r="A55" s="294"/>
      <c r="B55" s="292"/>
      <c r="C55" s="309"/>
      <c r="D55" s="308" t="s">
        <v>142</v>
      </c>
      <c r="E55" s="308" t="str">
        <f t="shared" si="7"/>
        <v>功能配置（二居）缺失（沙发/餐桌）</v>
      </c>
      <c r="F55" s="320">
        <v>0.96</v>
      </c>
      <c r="G55" s="281"/>
      <c r="H55" s="308"/>
    </row>
    <row r="56" customHeight="1" spans="1:14">
      <c r="A56" s="294"/>
      <c r="B56" s="292"/>
      <c r="C56" s="309"/>
      <c r="D56" s="308" t="s">
        <v>143</v>
      </c>
      <c r="E56" s="308" t="str">
        <f t="shared" si="7"/>
        <v>功能配置（二居）缺失（电视柜/操作台）</v>
      </c>
      <c r="F56" s="320">
        <v>0.98</v>
      </c>
      <c r="G56" s="281"/>
      <c r="H56" s="308"/>
    </row>
    <row r="57" customHeight="1" spans="1:14">
      <c r="A57" s="294"/>
      <c r="B57" s="292"/>
      <c r="C57" s="309"/>
      <c r="D57" s="308" t="s">
        <v>63</v>
      </c>
      <c r="E57" s="308" t="str">
        <f t="shared" si="7"/>
        <v>功能配置（二居）适中</v>
      </c>
      <c r="F57" s="320">
        <v>1</v>
      </c>
      <c r="G57" s="281"/>
      <c r="H57" s="308"/>
    </row>
    <row r="58" customHeight="1" spans="1:14">
      <c r="A58" s="294"/>
      <c r="B58" s="292"/>
      <c r="C58" s="309"/>
      <c r="D58" s="308" t="s">
        <v>144</v>
      </c>
      <c r="E58" s="308" t="str">
        <f t="shared" si="7"/>
        <v>功能配置（二居）充配（油烟机/冰箱）</v>
      </c>
      <c r="F58" s="320">
        <v>1.04</v>
      </c>
      <c r="G58" s="281"/>
      <c r="H58" s="308"/>
    </row>
    <row r="59" customHeight="1" spans="1:14">
      <c r="A59" s="294"/>
      <c r="B59" s="292"/>
      <c r="C59" s="319"/>
      <c r="D59" s="308" t="s">
        <v>140</v>
      </c>
      <c r="E59" s="308" t="str">
        <f t="shared" si="7"/>
        <v>功能配置（二居）非常充配</v>
      </c>
      <c r="F59" s="320">
        <v>1.06</v>
      </c>
      <c r="G59" s="281"/>
      <c r="H59" s="308"/>
    </row>
    <row r="60" customHeight="1" spans="1:14">
      <c r="A60" s="321"/>
      <c r="B60" s="78"/>
      <c r="C60" s="322" t="s">
        <v>145</v>
      </c>
      <c r="D60" s="323" t="s">
        <v>146</v>
      </c>
      <c r="E60" s="323"/>
      <c r="F60" s="324">
        <v>1</v>
      </c>
      <c r="G60" s="325"/>
      <c r="H60" s="325" t="s">
        <v>147</v>
      </c>
    </row>
    <row r="61" customHeight="1" spans="1:14">
      <c r="A61" s="321"/>
      <c r="B61" s="78"/>
      <c r="C61" s="322"/>
      <c r="D61" s="323" t="s">
        <v>148</v>
      </c>
      <c r="E61" s="323"/>
      <c r="F61" s="324">
        <v>0.975</v>
      </c>
      <c r="G61" s="325"/>
      <c r="H61" s="325" t="s">
        <v>147</v>
      </c>
      <c r="I61" s="143" t="e">
        <f>J61*#REF!-J61</f>
        <v>#REF!</v>
      </c>
      <c r="J61">
        <v>1350</v>
      </c>
    </row>
    <row r="62" customHeight="1" spans="1:14">
      <c r="A62" s="321"/>
      <c r="B62" s="78"/>
      <c r="C62" s="322"/>
      <c r="D62" s="323" t="s">
        <v>149</v>
      </c>
      <c r="E62" s="323"/>
      <c r="F62" s="324">
        <v>0.95</v>
      </c>
      <c r="G62" s="325"/>
      <c r="H62" s="325" t="s">
        <v>147</v>
      </c>
      <c r="I62" s="143">
        <f>J62*F42-J62</f>
        <v>81</v>
      </c>
      <c r="J62">
        <v>1350</v>
      </c>
    </row>
    <row r="63" customHeight="1" spans="1:14">
      <c r="A63" s="321"/>
      <c r="B63" s="78"/>
      <c r="C63" s="322"/>
      <c r="D63" s="323" t="s">
        <v>150</v>
      </c>
      <c r="E63" s="323"/>
      <c r="F63" s="324">
        <v>0.91</v>
      </c>
      <c r="G63" s="325"/>
      <c r="H63" s="325" t="s">
        <v>147</v>
      </c>
      <c r="I63" s="143">
        <f t="shared" ref="I63:I65" si="8">J63*F43-J63</f>
        <v>40.5</v>
      </c>
      <c r="J63">
        <v>1350</v>
      </c>
    </row>
    <row r="64" customHeight="1" spans="1:14">
      <c r="A64" s="321"/>
      <c r="B64" s="78"/>
      <c r="C64" s="322" t="s">
        <v>151</v>
      </c>
      <c r="D64" s="323" t="s">
        <v>152</v>
      </c>
      <c r="E64" s="323"/>
      <c r="F64" s="324">
        <v>1.045</v>
      </c>
      <c r="G64" s="325" t="s">
        <v>153</v>
      </c>
      <c r="H64" s="325" t="s">
        <v>147</v>
      </c>
      <c r="I64" s="143">
        <f t="shared" si="8"/>
        <v>0</v>
      </c>
      <c r="J64">
        <v>1350</v>
      </c>
    </row>
    <row r="65" customHeight="1" spans="1:14">
      <c r="A65" s="321"/>
      <c r="B65" s="78"/>
      <c r="C65" s="322"/>
      <c r="D65" s="323" t="s">
        <v>154</v>
      </c>
      <c r="E65" s="323"/>
      <c r="F65" s="324">
        <v>1.02</v>
      </c>
      <c r="G65" s="325" t="s">
        <v>155</v>
      </c>
      <c r="H65" s="325" t="s">
        <v>147</v>
      </c>
      <c r="I65" s="143">
        <f t="shared" si="8"/>
        <v>-54</v>
      </c>
      <c r="J65">
        <v>1350</v>
      </c>
      <c r="K65" s="326"/>
      <c r="L65" s="264"/>
      <c r="M65" s="264"/>
      <c r="N65" s="264"/>
    </row>
    <row r="66" customHeight="1" spans="1:14">
      <c r="A66" s="321"/>
      <c r="B66" s="78"/>
      <c r="C66" s="322"/>
      <c r="D66" s="323" t="s">
        <v>63</v>
      </c>
      <c r="E66" s="323"/>
      <c r="F66" s="324">
        <v>1</v>
      </c>
      <c r="G66" s="325" t="s">
        <v>156</v>
      </c>
      <c r="H66" s="325" t="s">
        <v>147</v>
      </c>
      <c r="K66" s="326"/>
      <c r="L66" s="264"/>
      <c r="M66" s="264"/>
      <c r="N66" s="264"/>
    </row>
    <row r="67" s="264" customFormat="1" customHeight="1" spans="1:14">
      <c r="A67" s="321"/>
      <c r="B67" s="78"/>
      <c r="C67" s="322"/>
      <c r="D67" s="323" t="s">
        <v>157</v>
      </c>
      <c r="E67" s="323"/>
      <c r="F67" s="324">
        <v>0.95</v>
      </c>
      <c r="G67" s="325" t="s">
        <v>158</v>
      </c>
      <c r="H67" s="325" t="s">
        <v>147</v>
      </c>
      <c r="I67" s="327">
        <f>J67*F48-J67</f>
        <v>-58</v>
      </c>
      <c r="J67" s="264">
        <v>1450</v>
      </c>
      <c r="K67" s="326"/>
    </row>
    <row r="68" s="264" customFormat="1" customHeight="1" spans="1:14">
      <c r="A68" s="321"/>
      <c r="B68" s="78"/>
      <c r="C68" s="322" t="s">
        <v>159</v>
      </c>
      <c r="D68" s="323" t="s">
        <v>54</v>
      </c>
      <c r="E68" s="323"/>
      <c r="F68" s="324">
        <v>1</v>
      </c>
      <c r="G68" s="328" t="s">
        <v>160</v>
      </c>
      <c r="H68" s="325" t="s">
        <v>147</v>
      </c>
      <c r="I68" s="327">
        <f>J68*F49-J68</f>
        <v>-29</v>
      </c>
      <c r="J68" s="264">
        <v>1450</v>
      </c>
      <c r="K68" s="326"/>
    </row>
    <row r="69" s="264" customFormat="1" customHeight="1" spans="1:14">
      <c r="A69" s="321"/>
      <c r="B69" s="78"/>
      <c r="C69" s="322"/>
      <c r="D69" s="323" t="s">
        <v>161</v>
      </c>
      <c r="E69" s="323"/>
      <c r="F69" s="324">
        <v>0.975</v>
      </c>
      <c r="G69" s="328"/>
      <c r="H69" s="325" t="s">
        <v>147</v>
      </c>
      <c r="I69" s="327">
        <f>J69*F50-J69</f>
        <v>0</v>
      </c>
      <c r="J69" s="264">
        <v>1450</v>
      </c>
      <c r="K69" s="326"/>
    </row>
    <row r="70" s="264" customFormat="1" customHeight="1" spans="1:14">
      <c r="A70" s="321"/>
      <c r="B70" s="78"/>
      <c r="C70" s="322"/>
      <c r="D70" s="323" t="s">
        <v>162</v>
      </c>
      <c r="E70" s="323"/>
      <c r="F70" s="324">
        <v>0.95</v>
      </c>
      <c r="G70" s="328"/>
      <c r="H70" s="325" t="s">
        <v>147</v>
      </c>
      <c r="I70" s="327"/>
      <c r="K70" s="326"/>
    </row>
    <row r="71" s="264" customFormat="1" customHeight="1" spans="1:14">
      <c r="A71" s="321"/>
      <c r="B71" s="78"/>
      <c r="C71" s="322"/>
      <c r="D71" s="323" t="s">
        <v>163</v>
      </c>
      <c r="E71" s="323"/>
      <c r="F71" s="324">
        <v>0.91</v>
      </c>
      <c r="G71" s="328"/>
      <c r="H71" s="325" t="s">
        <v>147</v>
      </c>
      <c r="I71" s="327"/>
      <c r="K71" s="2"/>
      <c r="L71"/>
      <c r="M71"/>
      <c r="N71"/>
    </row>
    <row r="72" s="264" customFormat="1" customHeight="1" spans="1:14">
      <c r="A72" s="321"/>
      <c r="B72" s="78"/>
      <c r="C72" s="322" t="s">
        <v>164</v>
      </c>
      <c r="D72" s="323" t="s">
        <v>54</v>
      </c>
      <c r="E72" s="323"/>
      <c r="F72" s="324">
        <v>1</v>
      </c>
      <c r="G72" s="328" t="s">
        <v>165</v>
      </c>
      <c r="H72" s="325" t="s">
        <v>147</v>
      </c>
      <c r="I72" s="327">
        <f>J72*F53-J72</f>
        <v>180</v>
      </c>
      <c r="J72" s="264">
        <v>3000</v>
      </c>
      <c r="K72" s="2"/>
      <c r="L72"/>
      <c r="M72"/>
      <c r="N72"/>
    </row>
    <row r="73" customHeight="1" spans="1:14">
      <c r="A73" s="321"/>
      <c r="B73" s="78"/>
      <c r="C73" s="322"/>
      <c r="D73" s="323" t="s">
        <v>161</v>
      </c>
      <c r="E73" s="323"/>
      <c r="F73" s="324">
        <v>0.975</v>
      </c>
      <c r="G73" s="328"/>
      <c r="H73" s="325" t="s">
        <v>147</v>
      </c>
    </row>
    <row r="74" customHeight="1" spans="1:14">
      <c r="A74" s="321"/>
      <c r="B74" s="78"/>
      <c r="C74" s="322"/>
      <c r="D74" s="323" t="s">
        <v>162</v>
      </c>
      <c r="E74" s="323"/>
      <c r="F74" s="324">
        <v>0.945</v>
      </c>
      <c r="G74" s="328"/>
      <c r="H74" s="325" t="s">
        <v>147</v>
      </c>
    </row>
    <row r="75" customHeight="1" spans="1:14">
      <c r="A75" s="321"/>
      <c r="B75" s="78"/>
      <c r="C75" s="322"/>
      <c r="D75" s="323" t="s">
        <v>163</v>
      </c>
      <c r="E75" s="323"/>
      <c r="F75" s="324">
        <v>0.9</v>
      </c>
      <c r="G75" s="328"/>
      <c r="H75" s="325" t="s">
        <v>147</v>
      </c>
    </row>
    <row r="81" customHeight="1" spans="9:9">
      <c r="I81" s="143">
        <f t="shared" ref="I81:I88" si="9">J81*F68-J81</f>
        <v>0</v>
      </c>
    </row>
    <row r="82" customHeight="1" spans="9:9">
      <c r="I82" s="143">
        <f t="shared" si="9"/>
        <v>0</v>
      </c>
    </row>
    <row r="83" customHeight="1" spans="9:9">
      <c r="I83" s="143">
        <f t="shared" si="9"/>
        <v>0</v>
      </c>
    </row>
    <row r="84" customHeight="1" spans="9:9">
      <c r="I84" s="143">
        <f t="shared" si="9"/>
        <v>0</v>
      </c>
    </row>
    <row r="85" customHeight="1" spans="9:9">
      <c r="I85" s="143">
        <f t="shared" si="9"/>
        <v>0</v>
      </c>
    </row>
    <row r="86" customHeight="1" spans="9:9">
      <c r="I86" s="143">
        <f t="shared" si="9"/>
        <v>0</v>
      </c>
    </row>
    <row r="87" customHeight="1" spans="9:9">
      <c r="I87" s="143">
        <f t="shared" si="9"/>
        <v>0</v>
      </c>
    </row>
    <row r="88" customHeight="1" spans="9:9">
      <c r="I88" s="143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3.8" outlineLevelCol="5"/>
  <cols>
    <col min="1" max="1" width="16" customWidth="1"/>
    <col min="2" max="3" width="8.75" customWidth="1"/>
  </cols>
  <sheetData>
    <row r="1" ht="15.6" spans="1:6">
      <c r="A1" s="252" t="s">
        <v>166</v>
      </c>
      <c r="B1" s="253" t="s">
        <v>40</v>
      </c>
      <c r="C1" s="253" t="s">
        <v>43</v>
      </c>
    </row>
    <row r="2" ht="16.2" spans="1:6">
      <c r="A2" s="254" t="s">
        <v>167</v>
      </c>
      <c r="B2" s="255">
        <v>2075.1</v>
      </c>
      <c r="C2" s="255">
        <v>2847.2</v>
      </c>
      <c r="E2" s="256"/>
      <c r="F2" s="256"/>
    </row>
    <row r="3" ht="16.2" spans="1:6">
      <c r="A3" s="254" t="s">
        <v>168</v>
      </c>
      <c r="B3" s="255">
        <v>2080.7</v>
      </c>
      <c r="C3" s="255">
        <v>2851.9</v>
      </c>
      <c r="E3" s="256"/>
      <c r="F3" s="256"/>
    </row>
    <row r="4" ht="16.2" spans="1:6">
      <c r="A4" s="254" t="s">
        <v>169</v>
      </c>
      <c r="B4" s="255">
        <v>2075.2</v>
      </c>
      <c r="C4" s="255">
        <v>2847.3</v>
      </c>
      <c r="E4" s="256"/>
      <c r="F4" s="256"/>
    </row>
    <row r="5" ht="16.2" spans="1:6">
      <c r="A5" s="257" t="s">
        <v>170</v>
      </c>
      <c r="B5" s="255">
        <v>2200.7</v>
      </c>
      <c r="C5" s="255">
        <v>2945.6</v>
      </c>
      <c r="E5" s="256"/>
      <c r="F5" s="256"/>
    </row>
    <row r="6" ht="16.2" spans="1:6">
      <c r="A6" s="254" t="s">
        <v>171</v>
      </c>
      <c r="B6" s="255">
        <v>1889.9</v>
      </c>
      <c r="C6" s="255">
        <v>2669.3</v>
      </c>
      <c r="E6" s="256"/>
      <c r="F6" s="256"/>
    </row>
    <row r="7" ht="16.2" spans="1:6">
      <c r="A7" s="254" t="s">
        <v>172</v>
      </c>
      <c r="B7" s="255">
        <v>1585.3</v>
      </c>
      <c r="C7" s="255">
        <v>2353.9</v>
      </c>
      <c r="E7" s="256"/>
      <c r="F7" s="256"/>
    </row>
    <row r="8" ht="16.2" spans="1:6">
      <c r="A8" s="254" t="s">
        <v>173</v>
      </c>
      <c r="B8" s="255">
        <v>1707.9</v>
      </c>
      <c r="C8" s="255">
        <v>2486.2</v>
      </c>
      <c r="E8" s="256"/>
      <c r="F8" s="256"/>
    </row>
    <row r="9" ht="16.2" spans="1:6">
      <c r="A9" s="254" t="s">
        <v>174</v>
      </c>
      <c r="B9" s="255">
        <v>1943.3</v>
      </c>
      <c r="C9" s="255">
        <v>2720.1</v>
      </c>
      <c r="E9" s="256"/>
      <c r="F9" s="256"/>
    </row>
    <row r="10" ht="16.2" spans="1:6">
      <c r="A10" s="254" t="s">
        <v>175</v>
      </c>
      <c r="B10" s="255">
        <v>1530.2</v>
      </c>
      <c r="C10" s="255">
        <v>2292.2</v>
      </c>
      <c r="E10" s="256"/>
      <c r="F10" s="256"/>
    </row>
    <row r="11" ht="16.2" spans="1:6">
      <c r="A11" s="254" t="s">
        <v>176</v>
      </c>
      <c r="B11" s="255">
        <v>1530.7</v>
      </c>
      <c r="C11" s="255">
        <v>2292.8</v>
      </c>
      <c r="E11" s="256"/>
      <c r="F11" s="256"/>
    </row>
    <row r="12" ht="16.2" spans="1:6">
      <c r="A12" s="254" t="s">
        <v>177</v>
      </c>
      <c r="B12" s="255">
        <v>1624.6</v>
      </c>
      <c r="C12" s="255">
        <v>2397.1</v>
      </c>
      <c r="E12" s="256"/>
      <c r="F12" s="256"/>
    </row>
    <row r="13" ht="16.2" spans="1:6">
      <c r="A13" s="254" t="s">
        <v>178</v>
      </c>
      <c r="B13" s="255">
        <v>1748.1</v>
      </c>
      <c r="C13" s="255">
        <v>2528</v>
      </c>
      <c r="E13" s="256"/>
      <c r="F13" s="256"/>
    </row>
    <row r="14" ht="16.2" spans="1:6">
      <c r="A14" s="254" t="s">
        <v>179</v>
      </c>
      <c r="B14" s="255">
        <v>1771.8</v>
      </c>
      <c r="C14" s="255">
        <v>2552.2</v>
      </c>
      <c r="E14" s="256"/>
      <c r="F14" s="256"/>
    </row>
    <row r="15" ht="16.2" spans="1:6">
      <c r="A15" s="254" t="s">
        <v>180</v>
      </c>
      <c r="B15" s="255">
        <v>2149.8</v>
      </c>
      <c r="C15" s="255">
        <v>2903.4</v>
      </c>
      <c r="E15" s="256"/>
      <c r="F15" s="256"/>
    </row>
    <row r="16" ht="16.2" spans="1:6">
      <c r="A16" s="254" t="s">
        <v>181</v>
      </c>
      <c r="B16" s="255">
        <v>2133.4</v>
      </c>
      <c r="C16" s="255">
        <v>2889.6</v>
      </c>
      <c r="E16" s="256"/>
      <c r="F16" s="256"/>
    </row>
    <row r="17" ht="16.2" spans="1:6">
      <c r="A17" s="254" t="s">
        <v>182</v>
      </c>
      <c r="B17" s="255">
        <v>2287.2</v>
      </c>
      <c r="C17" s="255">
        <v>3014.3</v>
      </c>
      <c r="E17" s="256"/>
      <c r="F17" s="256"/>
    </row>
    <row r="18" ht="16.2" spans="1:6">
      <c r="A18" s="254" t="s">
        <v>183</v>
      </c>
      <c r="B18" s="255">
        <v>2223.2</v>
      </c>
      <c r="C18" s="255">
        <v>2963.8</v>
      </c>
      <c r="E18" s="256"/>
      <c r="F18" s="256"/>
    </row>
    <row r="19" ht="16.2" spans="1:6">
      <c r="A19" s="254" t="s">
        <v>184</v>
      </c>
      <c r="B19" s="255">
        <v>1612.1</v>
      </c>
      <c r="C19" s="255">
        <v>2402.5</v>
      </c>
      <c r="E19" s="256"/>
      <c r="F19" s="256"/>
    </row>
    <row r="20" ht="16.2" spans="1:6">
      <c r="A20" s="254" t="s">
        <v>185</v>
      </c>
      <c r="B20" s="255">
        <v>1594.1</v>
      </c>
      <c r="C20" s="255">
        <v>2402.5</v>
      </c>
      <c r="E20" s="256"/>
      <c r="F20" s="256"/>
    </row>
    <row r="21" ht="16.2" spans="1:6">
      <c r="A21" s="254" t="s">
        <v>186</v>
      </c>
      <c r="B21" s="255">
        <v>1594.1</v>
      </c>
      <c r="C21" s="255">
        <v>2402.5</v>
      </c>
      <c r="E21" s="256"/>
      <c r="F21" s="256"/>
    </row>
    <row r="22" ht="16.2" spans="1:6">
      <c r="A22" s="254" t="s">
        <v>187</v>
      </c>
      <c r="B22" s="255">
        <v>2755.7</v>
      </c>
      <c r="C22" s="255">
        <v>3302.1</v>
      </c>
      <c r="E22" s="256"/>
      <c r="F22" s="256"/>
    </row>
    <row r="23" ht="16.2" spans="1:6">
      <c r="A23" s="254" t="s">
        <v>188</v>
      </c>
      <c r="B23" s="255">
        <v>1221.3</v>
      </c>
      <c r="C23" s="255">
        <v>1941.9</v>
      </c>
      <c r="E23" s="256"/>
      <c r="F23" s="256"/>
    </row>
    <row r="24" ht="16.2" spans="1:6">
      <c r="A24" s="254" t="s">
        <v>189</v>
      </c>
      <c r="B24" s="255">
        <v>1634.8</v>
      </c>
      <c r="C24" s="255">
        <v>2426.1</v>
      </c>
      <c r="E24" s="256"/>
      <c r="F24" s="256"/>
    </row>
    <row r="25" ht="16.2" spans="1:6">
      <c r="A25" s="254" t="s">
        <v>190</v>
      </c>
      <c r="B25" s="255">
        <v>1376.8</v>
      </c>
      <c r="C25" s="255">
        <v>2133.5</v>
      </c>
      <c r="E25" s="256"/>
      <c r="F25" s="256"/>
    </row>
    <row r="26" ht="16.2" spans="1:6">
      <c r="A26" s="258" t="s">
        <v>191</v>
      </c>
      <c r="B26" s="259">
        <v>974.7</v>
      </c>
      <c r="C26" s="259">
        <v>1610.2</v>
      </c>
      <c r="E26" s="256"/>
      <c r="F26" s="256"/>
    </row>
    <row r="27" ht="16.2" spans="1:6">
      <c r="A27" s="254" t="s">
        <v>192</v>
      </c>
      <c r="B27" s="255">
        <v>2522.7</v>
      </c>
      <c r="C27" s="255">
        <v>3173.7</v>
      </c>
      <c r="E27" s="256"/>
      <c r="F27" s="256"/>
    </row>
    <row r="28" ht="16.2" spans="1:6">
      <c r="A28" s="254" t="s">
        <v>193</v>
      </c>
      <c r="B28" s="255">
        <v>1176.7</v>
      </c>
      <c r="C28" s="255">
        <v>1750.7</v>
      </c>
      <c r="E28" s="256"/>
      <c r="F28" s="256"/>
    </row>
    <row r="29" ht="16.2" spans="1:6">
      <c r="A29" s="254" t="s">
        <v>194</v>
      </c>
      <c r="B29" s="255">
        <v>1450.9</v>
      </c>
      <c r="C29" s="255">
        <v>2202.1</v>
      </c>
      <c r="E29" s="256"/>
      <c r="F29" s="256"/>
    </row>
    <row r="30" ht="16.2" spans="1:6">
      <c r="A30" s="258" t="s">
        <v>195</v>
      </c>
      <c r="B30" s="260">
        <v>1530.5</v>
      </c>
      <c r="C30" s="260">
        <v>2292.6</v>
      </c>
      <c r="E30" s="256"/>
      <c r="F30" s="256"/>
    </row>
    <row r="31" ht="16.2" spans="1:6">
      <c r="A31" s="254" t="s">
        <v>196</v>
      </c>
      <c r="B31" s="255">
        <v>1789.4</v>
      </c>
      <c r="C31" s="255">
        <v>2576.7</v>
      </c>
      <c r="E31" s="256"/>
      <c r="F31" s="256"/>
    </row>
    <row r="32" ht="16.2" spans="1:6">
      <c r="A32" s="254" t="s">
        <v>197</v>
      </c>
      <c r="B32" s="255">
        <v>1345.7</v>
      </c>
      <c r="C32" s="255">
        <v>2077</v>
      </c>
      <c r="E32" s="256"/>
      <c r="F32" s="256"/>
    </row>
    <row r="33" ht="16.2" spans="1:6">
      <c r="A33" s="254" t="s">
        <v>198</v>
      </c>
      <c r="B33" s="255">
        <v>917.9</v>
      </c>
      <c r="C33" s="255">
        <v>1510.1</v>
      </c>
      <c r="E33" s="256"/>
      <c r="F33" s="256"/>
    </row>
    <row r="34" ht="16.2" spans="1:6">
      <c r="A34" s="254" t="s">
        <v>199</v>
      </c>
      <c r="B34" s="255">
        <v>1383.9</v>
      </c>
      <c r="C34" s="255">
        <v>2123.3</v>
      </c>
      <c r="E34" s="256"/>
      <c r="F34" s="256"/>
    </row>
    <row r="35" ht="16.2" spans="1:6">
      <c r="A35" s="254" t="s">
        <v>200</v>
      </c>
      <c r="B35" s="255">
        <v>1383.9</v>
      </c>
      <c r="C35" s="255">
        <v>2123.3</v>
      </c>
      <c r="E35" s="256"/>
      <c r="F35" s="256"/>
    </row>
    <row r="36" ht="16.2" spans="1:6">
      <c r="A36" s="254" t="s">
        <v>201</v>
      </c>
      <c r="B36" s="255">
        <v>1362.3</v>
      </c>
      <c r="C36" s="255">
        <v>2097.1</v>
      </c>
      <c r="E36" s="256"/>
      <c r="F36" s="256"/>
    </row>
    <row r="37" ht="16.2" spans="1:6">
      <c r="A37" s="254" t="s">
        <v>202</v>
      </c>
      <c r="B37" s="255">
        <v>1454.9</v>
      </c>
      <c r="C37" s="255">
        <v>2207.7</v>
      </c>
      <c r="E37" s="256"/>
      <c r="F37" s="256"/>
    </row>
    <row r="38" ht="16.2" spans="1:6">
      <c r="A38" s="254" t="s">
        <v>203</v>
      </c>
      <c r="B38" s="255">
        <v>1345.5</v>
      </c>
      <c r="C38" s="255">
        <v>2076.6</v>
      </c>
      <c r="E38" s="256"/>
      <c r="F38" s="256"/>
    </row>
    <row r="39" ht="16.2" spans="1:6">
      <c r="A39" s="254" t="s">
        <v>204</v>
      </c>
      <c r="B39" s="255">
        <v>1450.1</v>
      </c>
      <c r="C39" s="255">
        <v>2202.1</v>
      </c>
      <c r="E39" s="256"/>
      <c r="F39" s="256"/>
    </row>
    <row r="40" ht="16.2" spans="1:6">
      <c r="A40" s="254" t="s">
        <v>205</v>
      </c>
      <c r="B40" s="255">
        <v>1421.1</v>
      </c>
      <c r="C40" s="255">
        <v>2167.8</v>
      </c>
      <c r="E40" s="256"/>
      <c r="F40" s="256"/>
    </row>
    <row r="41" ht="16.2" spans="1:6">
      <c r="A41" s="254" t="s">
        <v>206</v>
      </c>
      <c r="B41" s="255">
        <v>2919.3</v>
      </c>
      <c r="C41" s="255">
        <v>3649.1</v>
      </c>
      <c r="E41" s="256"/>
      <c r="F41" s="256"/>
    </row>
    <row r="42" ht="16.2" spans="1:6">
      <c r="A42" s="254" t="s">
        <v>207</v>
      </c>
      <c r="B42" s="255">
        <v>2999.5</v>
      </c>
      <c r="C42" s="255">
        <v>3749.4</v>
      </c>
      <c r="E42" s="256"/>
      <c r="F42" s="256"/>
    </row>
    <row r="43" ht="16.2" spans="1:6">
      <c r="A43" s="254" t="s">
        <v>208</v>
      </c>
      <c r="B43" s="255">
        <v>3072.6</v>
      </c>
      <c r="C43" s="255">
        <v>3840.8</v>
      </c>
      <c r="E43" s="256"/>
      <c r="F43" s="256"/>
    </row>
    <row r="44" ht="16.2" spans="1:6">
      <c r="A44" s="254" t="s">
        <v>209</v>
      </c>
      <c r="B44" s="255">
        <v>2880.1</v>
      </c>
      <c r="C44" s="255">
        <v>3600.1</v>
      </c>
      <c r="E44" s="256"/>
      <c r="F44" s="256"/>
    </row>
    <row r="45" ht="16.2" spans="1:6">
      <c r="A45" s="254" t="s">
        <v>210</v>
      </c>
      <c r="B45" s="255">
        <v>3075.3</v>
      </c>
      <c r="C45" s="255">
        <v>3844.1</v>
      </c>
      <c r="E45" s="256"/>
      <c r="F45" s="256"/>
    </row>
    <row r="46" ht="16.2" spans="1:6">
      <c r="A46" s="254" t="s">
        <v>211</v>
      </c>
      <c r="B46" s="255">
        <v>2186.6</v>
      </c>
      <c r="C46" s="255">
        <v>2937.4</v>
      </c>
      <c r="E46" s="256"/>
      <c r="F46" s="256"/>
    </row>
    <row r="47" ht="16.2" spans="1:6">
      <c r="A47" s="254" t="s">
        <v>212</v>
      </c>
      <c r="B47" s="255">
        <v>1549.9</v>
      </c>
      <c r="C47" s="255">
        <v>2316.8</v>
      </c>
      <c r="E47" s="256"/>
      <c r="F47" s="256"/>
    </row>
    <row r="48" ht="16.2" spans="1:6">
      <c r="A48" s="254" t="s">
        <v>213</v>
      </c>
      <c r="B48" s="255">
        <v>1480.2</v>
      </c>
      <c r="C48" s="255">
        <v>2237.2</v>
      </c>
      <c r="E48" s="256"/>
      <c r="F48" s="256"/>
    </row>
    <row r="49" ht="16.2" spans="1:6">
      <c r="A49" s="254" t="s">
        <v>214</v>
      </c>
      <c r="B49" s="255">
        <v>1155.7</v>
      </c>
      <c r="C49" s="255">
        <v>1835.8</v>
      </c>
      <c r="E49" s="256"/>
      <c r="F49" s="256"/>
    </row>
    <row r="50" ht="16.2" spans="1:6">
      <c r="A50" s="254" t="s">
        <v>215</v>
      </c>
      <c r="B50" s="255">
        <v>1155.7</v>
      </c>
      <c r="C50" s="255">
        <v>1835.8</v>
      </c>
      <c r="E50" s="256"/>
      <c r="F50" s="256"/>
    </row>
    <row r="51" ht="16.2" spans="1:6">
      <c r="A51" s="254" t="s">
        <v>216</v>
      </c>
      <c r="B51" s="255">
        <v>2244</v>
      </c>
      <c r="C51" s="255">
        <v>2983.9</v>
      </c>
      <c r="E51" s="256"/>
      <c r="F51" s="256"/>
    </row>
    <row r="52" ht="16.2" spans="1:6">
      <c r="A52" s="254" t="s">
        <v>217</v>
      </c>
      <c r="B52" s="255">
        <v>2939</v>
      </c>
      <c r="C52" s="255">
        <v>3673.8</v>
      </c>
      <c r="E52" s="256"/>
      <c r="F52" s="256"/>
    </row>
    <row r="53" ht="16.2" spans="1:6">
      <c r="A53" s="254" t="s">
        <v>218</v>
      </c>
      <c r="B53" s="255">
        <v>2907.6</v>
      </c>
      <c r="C53" s="255">
        <v>3634.5</v>
      </c>
      <c r="E53" s="256"/>
      <c r="F53" s="256"/>
    </row>
    <row r="54" ht="16.2" spans="1:6">
      <c r="A54" s="254" t="s">
        <v>219</v>
      </c>
      <c r="B54" s="255">
        <v>3014.8</v>
      </c>
      <c r="C54" s="255">
        <v>3768.5</v>
      </c>
      <c r="E54" s="256"/>
      <c r="F54" s="256"/>
    </row>
    <row r="55" ht="16.2" spans="1:6">
      <c r="A55" s="254" t="s">
        <v>220</v>
      </c>
      <c r="B55" s="255">
        <v>3010.6</v>
      </c>
      <c r="C55" s="255">
        <v>3763.3</v>
      </c>
      <c r="E55" s="256"/>
      <c r="F55" s="256"/>
    </row>
    <row r="56" ht="16.2" spans="1:6">
      <c r="A56" s="258" t="s">
        <v>221</v>
      </c>
      <c r="B56" s="259">
        <v>1408.4</v>
      </c>
      <c r="C56" s="255">
        <v>2152.7</v>
      </c>
      <c r="E56" s="256"/>
      <c r="F56" s="256"/>
    </row>
    <row r="57" ht="16.2" spans="1:6">
      <c r="A57" s="254" t="s">
        <v>222</v>
      </c>
      <c r="B57" s="255">
        <v>1514.9</v>
      </c>
      <c r="C57" s="255">
        <v>2277.1</v>
      </c>
      <c r="E57" s="256"/>
      <c r="F57" s="256"/>
    </row>
    <row r="58" ht="16.2" spans="1:6">
      <c r="A58" s="254" t="s">
        <v>223</v>
      </c>
      <c r="B58" s="261">
        <v>2573.3</v>
      </c>
      <c r="C58" s="255">
        <v>3220.2</v>
      </c>
      <c r="E58" s="256"/>
      <c r="F58" s="256"/>
    </row>
    <row r="59" ht="16.2" spans="1:6">
      <c r="A59" s="254" t="s">
        <v>224</v>
      </c>
      <c r="B59" s="255">
        <v>1391.9</v>
      </c>
      <c r="C59" s="255">
        <v>2132.9</v>
      </c>
      <c r="E59" s="256"/>
      <c r="F59" s="256"/>
    </row>
    <row r="60" ht="16.2" spans="1:6">
      <c r="A60" s="254" t="s">
        <v>225</v>
      </c>
      <c r="B60" s="255">
        <v>2829.1</v>
      </c>
      <c r="C60" s="255">
        <v>3536.3</v>
      </c>
      <c r="E60" s="256"/>
      <c r="F60" s="256"/>
    </row>
    <row r="61" ht="16.2" spans="1:6">
      <c r="A61" s="254" t="s">
        <v>226</v>
      </c>
      <c r="B61" s="255">
        <v>2783.5</v>
      </c>
      <c r="C61" s="255">
        <v>3479.3</v>
      </c>
      <c r="E61" s="256"/>
      <c r="F61" s="256"/>
    </row>
    <row r="62" ht="16.2" spans="1:6">
      <c r="A62" s="254" t="s">
        <v>227</v>
      </c>
      <c r="B62" s="255">
        <v>1318.6</v>
      </c>
      <c r="C62" s="255">
        <v>2043.6</v>
      </c>
      <c r="E62" s="256"/>
      <c r="F62" s="256"/>
    </row>
    <row r="63" ht="16.2" spans="1:6">
      <c r="A63" s="254" t="s">
        <v>228</v>
      </c>
      <c r="B63" s="255">
        <v>1701.1</v>
      </c>
      <c r="C63" s="255">
        <v>2479</v>
      </c>
      <c r="E63" s="256"/>
      <c r="F63" s="256"/>
    </row>
    <row r="64" ht="16.2" spans="1:6">
      <c r="A64" s="254" t="s">
        <v>229</v>
      </c>
      <c r="B64" s="255">
        <v>1521.6</v>
      </c>
      <c r="C64" s="255">
        <v>2282.4</v>
      </c>
      <c r="E64" s="256"/>
      <c r="F64" s="256"/>
    </row>
    <row r="65" ht="16.2" spans="1:6">
      <c r="A65" s="254" t="s">
        <v>230</v>
      </c>
      <c r="B65" s="255">
        <v>2109.5</v>
      </c>
      <c r="C65" s="255">
        <v>2869.3</v>
      </c>
      <c r="E65" s="256"/>
      <c r="F65" s="256"/>
    </row>
    <row r="66" ht="16.2" spans="1:6">
      <c r="A66" s="254" t="s">
        <v>231</v>
      </c>
      <c r="B66" s="255">
        <v>1866.4</v>
      </c>
      <c r="C66" s="255">
        <v>2646.5</v>
      </c>
      <c r="E66" s="256"/>
      <c r="F66" s="256"/>
    </row>
    <row r="67" ht="16.2" spans="1:6">
      <c r="A67" s="254" t="s">
        <v>232</v>
      </c>
      <c r="B67" s="255">
        <v>1485.7</v>
      </c>
      <c r="C67" s="255">
        <v>2243.5</v>
      </c>
      <c r="E67" s="256"/>
      <c r="F67" s="256"/>
    </row>
    <row r="68" ht="16.2" spans="1:6">
      <c r="A68" s="254" t="s">
        <v>233</v>
      </c>
      <c r="B68" s="255">
        <v>3181</v>
      </c>
      <c r="C68" s="255">
        <v>3976.3</v>
      </c>
      <c r="E68" s="256"/>
      <c r="F68" s="256"/>
    </row>
    <row r="69" ht="16.2" spans="1:6">
      <c r="A69" s="254" t="s">
        <v>234</v>
      </c>
      <c r="B69" s="255">
        <v>3181</v>
      </c>
      <c r="C69" s="255">
        <v>3976.3</v>
      </c>
      <c r="E69" s="256"/>
      <c r="F69" s="256"/>
    </row>
    <row r="70" ht="16.2" spans="1:6">
      <c r="A70" s="254" t="s">
        <v>235</v>
      </c>
      <c r="B70" s="255">
        <v>3181</v>
      </c>
      <c r="C70" s="255">
        <v>3976.3</v>
      </c>
      <c r="E70" s="256"/>
      <c r="F70" s="256"/>
    </row>
    <row r="71" ht="16.2" spans="1:6">
      <c r="A71" s="254" t="s">
        <v>236</v>
      </c>
      <c r="B71" s="255">
        <v>3181</v>
      </c>
      <c r="C71" s="255">
        <v>3976.3</v>
      </c>
      <c r="E71" s="256"/>
      <c r="F71" s="256"/>
    </row>
    <row r="72" ht="16.2" spans="1:6">
      <c r="A72" s="254" t="s">
        <v>237</v>
      </c>
      <c r="B72" s="255">
        <v>3181</v>
      </c>
      <c r="C72" s="255">
        <v>3976.3</v>
      </c>
      <c r="E72" s="256"/>
      <c r="F72" s="256"/>
    </row>
    <row r="73" ht="16.2" spans="1:6">
      <c r="A73" s="254" t="s">
        <v>238</v>
      </c>
      <c r="B73" s="255">
        <v>1340.5</v>
      </c>
      <c r="C73" s="255">
        <v>2070.6</v>
      </c>
      <c r="E73" s="256"/>
      <c r="F73" s="256"/>
    </row>
    <row r="74" ht="16.2" spans="1:6">
      <c r="A74" s="254" t="s">
        <v>239</v>
      </c>
      <c r="B74" s="255">
        <v>1469.6</v>
      </c>
      <c r="C74" s="255">
        <v>2224.8</v>
      </c>
      <c r="E74" s="256"/>
      <c r="F74" s="256"/>
    </row>
    <row r="75" ht="16.2" spans="1:6">
      <c r="A75" s="254" t="s">
        <v>240</v>
      </c>
      <c r="B75" s="255">
        <v>1398.1</v>
      </c>
      <c r="C75" s="255">
        <v>2140.3</v>
      </c>
      <c r="E75" s="256"/>
      <c r="F75" s="256"/>
    </row>
    <row r="76" ht="16.2" spans="1:6">
      <c r="A76" s="254" t="s">
        <v>241</v>
      </c>
      <c r="B76" s="255">
        <v>1398.1</v>
      </c>
      <c r="C76" s="255">
        <v>2140.3</v>
      </c>
      <c r="E76" s="256"/>
      <c r="F76" s="256"/>
    </row>
    <row r="77" ht="16.2" spans="1:6">
      <c r="A77" s="254" t="s">
        <v>242</v>
      </c>
      <c r="B77" s="255">
        <v>860.6</v>
      </c>
      <c r="C77" s="255">
        <v>1427.5</v>
      </c>
      <c r="E77" s="256"/>
      <c r="F77" s="256"/>
    </row>
    <row r="78" ht="16.2" spans="1:6">
      <c r="A78" s="254" t="s">
        <v>243</v>
      </c>
      <c r="B78" s="255">
        <v>2941.6</v>
      </c>
      <c r="C78" s="255">
        <v>3677.1</v>
      </c>
      <c r="E78" s="256"/>
      <c r="F78" s="256"/>
    </row>
    <row r="79" ht="16.2" spans="1:6">
      <c r="A79" s="254" t="s">
        <v>244</v>
      </c>
      <c r="B79" s="255">
        <v>2399.7</v>
      </c>
      <c r="C79" s="255">
        <v>3102</v>
      </c>
      <c r="E79" s="256"/>
      <c r="F79" s="256"/>
    </row>
    <row r="80" ht="16.2" spans="1:6">
      <c r="A80" s="4" t="s">
        <v>245</v>
      </c>
      <c r="B80" s="255">
        <v>2780.1</v>
      </c>
      <c r="C80" s="255">
        <v>3475.1</v>
      </c>
    </row>
    <row r="81" ht="16.2" spans="1:3">
      <c r="A81" s="4" t="s">
        <v>246</v>
      </c>
      <c r="B81" s="255">
        <v>3003.4</v>
      </c>
      <c r="C81" s="255">
        <v>3754.2</v>
      </c>
    </row>
    <row r="82" ht="16.2" spans="1:3">
      <c r="A82" s="4" t="s">
        <v>247</v>
      </c>
      <c r="B82" s="255">
        <v>2677.7</v>
      </c>
      <c r="C82" s="255">
        <v>3347.1</v>
      </c>
    </row>
    <row r="83" ht="16.2" spans="1:3">
      <c r="A83" s="4" t="s">
        <v>248</v>
      </c>
      <c r="B83" s="255">
        <v>2727.2</v>
      </c>
      <c r="C83" s="255">
        <v>3409</v>
      </c>
    </row>
    <row r="84" ht="16.2" spans="1:3">
      <c r="A84" s="4" t="s">
        <v>249</v>
      </c>
      <c r="B84" s="255">
        <v>2718.9</v>
      </c>
      <c r="C84" s="255">
        <v>3398.6</v>
      </c>
    </row>
    <row r="85" ht="16.2" spans="1:3">
      <c r="A85" s="4" t="s">
        <v>250</v>
      </c>
      <c r="B85" s="255">
        <v>2782.7</v>
      </c>
      <c r="C85" s="255">
        <v>3478.4</v>
      </c>
    </row>
    <row r="86" ht="16.2" spans="1:3">
      <c r="A86" s="4" t="s">
        <v>251</v>
      </c>
      <c r="B86" s="255">
        <v>2490.2</v>
      </c>
      <c r="C86" s="255">
        <v>3165.4</v>
      </c>
    </row>
    <row r="87" ht="16.2" spans="1:3">
      <c r="A87" s="4" t="s">
        <v>252</v>
      </c>
      <c r="B87" s="255">
        <v>2490.2</v>
      </c>
      <c r="C87" s="255">
        <v>3165.4</v>
      </c>
    </row>
    <row r="88" ht="16.2" spans="1:3">
      <c r="A88" s="4" t="s">
        <v>253</v>
      </c>
      <c r="B88" s="255">
        <v>2306.2</v>
      </c>
      <c r="C88" s="255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3.8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5.6" spans="2:8">
      <c r="B3" s="242"/>
      <c r="C3" s="243" t="s">
        <v>254</v>
      </c>
      <c r="D3" s="243"/>
      <c r="E3" s="244" t="s">
        <v>255</v>
      </c>
      <c r="F3" s="244"/>
      <c r="G3" s="78"/>
      <c r="H3" s="78"/>
    </row>
    <row r="4" ht="16.2" spans="2:8">
      <c r="B4" s="245" t="s">
        <v>166</v>
      </c>
      <c r="C4" s="246" t="s">
        <v>256</v>
      </c>
      <c r="D4" s="247" t="s">
        <v>257</v>
      </c>
      <c r="E4" s="248" t="s">
        <v>258</v>
      </c>
      <c r="F4" s="248" t="s">
        <v>259</v>
      </c>
      <c r="G4" s="249" t="s">
        <v>260</v>
      </c>
      <c r="H4" s="78"/>
    </row>
    <row r="5" ht="15.6" spans="2:8">
      <c r="B5" s="13" t="s">
        <v>187</v>
      </c>
      <c r="C5" s="250">
        <v>76.4885649998321</v>
      </c>
      <c r="D5" s="54">
        <v>84.3937277113488</v>
      </c>
      <c r="E5" s="250">
        <v>114.570529827272</v>
      </c>
      <c r="F5" s="244"/>
      <c r="G5" s="250">
        <v>893.31</v>
      </c>
      <c r="H5" s="250">
        <f>C5*G5</f>
        <v>68328</v>
      </c>
    </row>
    <row r="6" ht="15.6" spans="2:8">
      <c r="B6" s="13" t="s">
        <v>216</v>
      </c>
      <c r="C6" s="250">
        <v>62.2623439988709</v>
      </c>
      <c r="D6" s="54">
        <v>104.988888888889</v>
      </c>
      <c r="E6" s="250">
        <v>95.1228855420472</v>
      </c>
      <c r="F6" s="244"/>
      <c r="G6" s="250">
        <v>4959.9</v>
      </c>
      <c r="H6" s="250">
        <f t="shared" ref="H6:H39" si="0">C6*G6</f>
        <v>308815</v>
      </c>
    </row>
    <row r="7" ht="15.6" spans="2:8">
      <c r="B7" s="13" t="s">
        <v>183</v>
      </c>
      <c r="C7" s="250">
        <v>59.7621050102127</v>
      </c>
      <c r="D7" s="54">
        <v>79.9555555555556</v>
      </c>
      <c r="E7" s="250">
        <v>102.006488045176</v>
      </c>
      <c r="F7" s="244"/>
      <c r="G7" s="250">
        <v>832.3</v>
      </c>
      <c r="H7" s="250">
        <f t="shared" si="0"/>
        <v>49740</v>
      </c>
    </row>
    <row r="8" ht="15.6" spans="2:8">
      <c r="B8" s="13" t="s">
        <v>170</v>
      </c>
      <c r="C8" s="250">
        <v>58.7240334322711</v>
      </c>
      <c r="D8" s="54">
        <v>79.2</v>
      </c>
      <c r="E8" s="250">
        <v>91.1367632149686</v>
      </c>
      <c r="F8" s="244"/>
      <c r="G8" s="250">
        <v>10909.22</v>
      </c>
      <c r="H8" s="250">
        <f t="shared" si="0"/>
        <v>640633.4</v>
      </c>
    </row>
    <row r="9" spans="2:8">
      <c r="B9" s="13" t="s">
        <v>182</v>
      </c>
      <c r="C9" s="250">
        <v>60.2008360596147</v>
      </c>
      <c r="D9" s="250"/>
      <c r="E9" s="250">
        <v>109.891857506361</v>
      </c>
      <c r="F9" s="250"/>
      <c r="G9" s="250">
        <v>1100.4</v>
      </c>
      <c r="H9" s="250">
        <f t="shared" si="0"/>
        <v>66245</v>
      </c>
    </row>
    <row r="10" spans="2:8">
      <c r="B10" s="13" t="s">
        <v>261</v>
      </c>
      <c r="C10" s="250">
        <v>86.9969008264463</v>
      </c>
      <c r="D10" s="250"/>
      <c r="E10" s="250">
        <v>118.246900826446</v>
      </c>
      <c r="F10" s="250"/>
      <c r="G10" s="250">
        <v>968</v>
      </c>
      <c r="H10" s="250">
        <f t="shared" si="0"/>
        <v>84213</v>
      </c>
    </row>
    <row r="11" spans="2:8">
      <c r="B11" s="13" t="s">
        <v>262</v>
      </c>
      <c r="C11" s="250">
        <v>47.8292794860028</v>
      </c>
      <c r="D11" s="250"/>
      <c r="E11" s="250">
        <v>82.2900413033502</v>
      </c>
      <c r="F11" s="250"/>
      <c r="G11" s="250">
        <v>1089.5</v>
      </c>
      <c r="H11" s="250">
        <f t="shared" si="0"/>
        <v>52110</v>
      </c>
    </row>
    <row r="12" spans="2:8">
      <c r="B12" s="13" t="s">
        <v>263</v>
      </c>
      <c r="C12" s="250">
        <v>31.947912602419</v>
      </c>
      <c r="D12" s="250"/>
      <c r="E12" s="250">
        <v>60.0936402653141</v>
      </c>
      <c r="F12" s="250"/>
      <c r="G12" s="250">
        <v>1025.2</v>
      </c>
      <c r="H12" s="250">
        <f t="shared" si="0"/>
        <v>32753</v>
      </c>
    </row>
    <row r="13" spans="2:8">
      <c r="B13" s="13" t="s">
        <v>171</v>
      </c>
      <c r="C13" s="250">
        <v>59.7116014856893</v>
      </c>
      <c r="D13" s="250"/>
      <c r="E13" s="250">
        <v>91.0203189862355</v>
      </c>
      <c r="F13" s="250"/>
      <c r="G13" s="250">
        <v>915.4</v>
      </c>
      <c r="H13" s="250">
        <f t="shared" si="0"/>
        <v>54660</v>
      </c>
    </row>
    <row r="14" spans="2:8">
      <c r="B14" s="13" t="s">
        <v>191</v>
      </c>
      <c r="C14" s="250">
        <v>28.0623482692648</v>
      </c>
      <c r="D14" s="250"/>
      <c r="E14" s="250">
        <v>52.0370102413222</v>
      </c>
      <c r="F14" s="250"/>
      <c r="G14" s="250">
        <v>2487.96</v>
      </c>
      <c r="H14" s="250">
        <f t="shared" si="0"/>
        <v>69818</v>
      </c>
    </row>
    <row r="15" spans="2:8">
      <c r="B15" s="251" t="s">
        <v>184</v>
      </c>
      <c r="C15" s="250">
        <v>51.9406451105032</v>
      </c>
      <c r="D15" s="250"/>
      <c r="E15" s="250">
        <v>77.358156377305</v>
      </c>
      <c r="F15" s="250"/>
      <c r="G15" s="250">
        <v>2540.65</v>
      </c>
      <c r="H15" s="250">
        <f t="shared" si="0"/>
        <v>131963</v>
      </c>
    </row>
    <row r="16" spans="2:8">
      <c r="B16" s="13" t="s">
        <v>194</v>
      </c>
      <c r="C16" s="250">
        <v>46.0776229690945</v>
      </c>
      <c r="D16" s="250"/>
      <c r="E16" s="250">
        <v>73.4126998170371</v>
      </c>
      <c r="F16" s="250"/>
      <c r="G16" s="250">
        <v>2825.71</v>
      </c>
      <c r="H16" s="250">
        <f t="shared" si="0"/>
        <v>130202</v>
      </c>
    </row>
    <row r="17" spans="2:8">
      <c r="B17" s="13" t="s">
        <v>179</v>
      </c>
      <c r="C17" s="250">
        <v>44.8384666889856</v>
      </c>
      <c r="D17" s="250"/>
      <c r="E17" s="250">
        <v>79.8766878696574</v>
      </c>
      <c r="F17" s="250"/>
      <c r="G17" s="250">
        <v>3584.4</v>
      </c>
      <c r="H17" s="250">
        <f t="shared" si="0"/>
        <v>160719</v>
      </c>
    </row>
    <row r="18" spans="2:8">
      <c r="B18" s="13" t="s">
        <v>215</v>
      </c>
      <c r="C18" s="250">
        <v>38.9745082815735</v>
      </c>
      <c r="D18" s="250"/>
      <c r="E18" s="250">
        <v>64.7612577639752</v>
      </c>
      <c r="F18" s="250"/>
      <c r="G18" s="250">
        <v>1545.6</v>
      </c>
      <c r="H18" s="250">
        <f t="shared" si="0"/>
        <v>60239</v>
      </c>
    </row>
    <row r="19" spans="2:8">
      <c r="B19" s="13" t="s">
        <v>196</v>
      </c>
      <c r="C19" s="250">
        <v>53.2721044238379</v>
      </c>
      <c r="D19" s="250"/>
      <c r="E19" s="250">
        <v>83.7133069517453</v>
      </c>
      <c r="F19" s="250"/>
      <c r="G19" s="250">
        <v>338.62</v>
      </c>
      <c r="H19" s="250">
        <f t="shared" si="0"/>
        <v>18039</v>
      </c>
    </row>
    <row r="20" spans="2:8">
      <c r="B20" s="13" t="s">
        <v>188</v>
      </c>
      <c r="C20" s="250">
        <v>32.113960867266</v>
      </c>
      <c r="D20" s="250"/>
      <c r="E20" s="250">
        <v>63.0691433104178</v>
      </c>
      <c r="F20" s="250"/>
      <c r="G20" s="250">
        <v>1512.8</v>
      </c>
      <c r="H20" s="250">
        <f t="shared" si="0"/>
        <v>48582</v>
      </c>
    </row>
    <row r="21" spans="2:8">
      <c r="B21" s="13" t="s">
        <v>211</v>
      </c>
      <c r="C21" s="250">
        <v>63.0059948615472</v>
      </c>
      <c r="D21" s="250"/>
      <c r="E21" s="250">
        <v>90.23598820059</v>
      </c>
      <c r="F21" s="250"/>
      <c r="G21" s="250">
        <v>1050.9</v>
      </c>
      <c r="H21" s="250">
        <f t="shared" si="0"/>
        <v>66213</v>
      </c>
    </row>
    <row r="22" spans="2:8">
      <c r="B22" s="13" t="s">
        <v>190</v>
      </c>
      <c r="C22" s="250">
        <v>41.7996678266371</v>
      </c>
      <c r="D22" s="250"/>
      <c r="E22" s="250">
        <v>66.8933881683012</v>
      </c>
      <c r="F22" s="250"/>
      <c r="G22" s="250">
        <v>1264.4</v>
      </c>
      <c r="H22" s="250">
        <f t="shared" si="0"/>
        <v>52851.4999999999</v>
      </c>
    </row>
    <row r="23" spans="2:8">
      <c r="B23" s="13" t="s">
        <v>167</v>
      </c>
      <c r="C23" s="250">
        <v>62.4010444301712</v>
      </c>
      <c r="D23" s="250"/>
      <c r="E23" s="250">
        <v>94.9437292300818</v>
      </c>
      <c r="F23" s="250"/>
      <c r="G23" s="250">
        <v>17904.5</v>
      </c>
      <c r="H23" s="250">
        <f t="shared" si="0"/>
        <v>1117259.5</v>
      </c>
    </row>
    <row r="24" spans="2:8">
      <c r="B24" s="13" t="s">
        <v>264</v>
      </c>
      <c r="C24" s="250">
        <v>43.5750932835821</v>
      </c>
      <c r="D24" s="250"/>
      <c r="E24" s="250">
        <v>71.1753731343284</v>
      </c>
      <c r="F24" s="250"/>
      <c r="G24" s="250">
        <v>428.8</v>
      </c>
      <c r="H24" s="250">
        <f t="shared" si="0"/>
        <v>18685</v>
      </c>
    </row>
    <row r="25" spans="2:8">
      <c r="B25" s="13" t="s">
        <v>213</v>
      </c>
      <c r="C25" s="250">
        <v>43.6043360433604</v>
      </c>
      <c r="D25" s="250"/>
      <c r="E25" s="250">
        <v>71.0414246999613</v>
      </c>
      <c r="F25" s="250"/>
      <c r="G25" s="250">
        <v>516.6</v>
      </c>
      <c r="H25" s="250">
        <f t="shared" si="0"/>
        <v>22526</v>
      </c>
    </row>
    <row r="26" spans="2:8">
      <c r="B26" s="13" t="s">
        <v>212</v>
      </c>
      <c r="C26" s="250">
        <v>42.2454439901055</v>
      </c>
      <c r="D26" s="250"/>
      <c r="E26" s="250">
        <v>70.3526174970973</v>
      </c>
      <c r="F26" s="250"/>
      <c r="G26" s="250">
        <v>3961.8</v>
      </c>
      <c r="H26" s="250">
        <f t="shared" si="0"/>
        <v>167368</v>
      </c>
    </row>
    <row r="27" spans="2:8">
      <c r="B27" s="13" t="s">
        <v>195</v>
      </c>
      <c r="C27" s="250">
        <v>41.6918429003021</v>
      </c>
      <c r="D27" s="250"/>
      <c r="E27" s="250">
        <v>76.348726801899</v>
      </c>
      <c r="F27" s="250"/>
      <c r="G27" s="250">
        <v>463.4</v>
      </c>
      <c r="H27" s="250">
        <f t="shared" si="0"/>
        <v>19320</v>
      </c>
    </row>
    <row r="28" spans="2:8">
      <c r="B28" s="13" t="s">
        <v>206</v>
      </c>
      <c r="C28" s="250">
        <v>88.7350095918095</v>
      </c>
      <c r="D28" s="250"/>
      <c r="E28" s="250">
        <v>118.620420808584</v>
      </c>
      <c r="F28" s="250"/>
      <c r="G28" s="250">
        <v>974.79</v>
      </c>
      <c r="H28" s="250">
        <f t="shared" si="0"/>
        <v>86498</v>
      </c>
    </row>
    <row r="29" spans="2:8">
      <c r="B29" s="13" t="s">
        <v>210</v>
      </c>
      <c r="C29" s="250">
        <v>88.9981617647059</v>
      </c>
      <c r="D29" s="250"/>
      <c r="E29" s="250">
        <v>124.852941176471</v>
      </c>
      <c r="F29" s="250"/>
      <c r="G29" s="250">
        <v>544</v>
      </c>
      <c r="H29" s="250">
        <f t="shared" si="0"/>
        <v>48415</v>
      </c>
    </row>
    <row r="30" spans="2:8">
      <c r="B30" s="13" t="s">
        <v>209</v>
      </c>
      <c r="C30" s="250">
        <v>90.5917089878351</v>
      </c>
      <c r="D30" s="250"/>
      <c r="E30" s="250">
        <v>122.097555214362</v>
      </c>
      <c r="F30" s="250"/>
      <c r="G30" s="250">
        <v>846.7</v>
      </c>
      <c r="H30" s="250">
        <f t="shared" si="0"/>
        <v>76704</v>
      </c>
    </row>
    <row r="31" spans="2:8">
      <c r="B31" s="13" t="s">
        <v>176</v>
      </c>
      <c r="C31" s="250">
        <v>43.0648104077423</v>
      </c>
      <c r="D31" s="250"/>
      <c r="E31" s="250">
        <v>78.5974932571791</v>
      </c>
      <c r="F31" s="250"/>
      <c r="G31" s="250">
        <v>1260.6</v>
      </c>
      <c r="H31" s="250">
        <f t="shared" si="0"/>
        <v>54287.4999999999</v>
      </c>
    </row>
    <row r="32" spans="2:8">
      <c r="B32" s="13" t="s">
        <v>172</v>
      </c>
      <c r="C32" s="250">
        <v>42.8466128466128</v>
      </c>
      <c r="D32" s="250"/>
      <c r="E32" s="250">
        <v>76.4244764244764</v>
      </c>
      <c r="F32" s="250"/>
      <c r="G32" s="250">
        <v>854.7</v>
      </c>
      <c r="H32" s="250">
        <f t="shared" si="0"/>
        <v>36621</v>
      </c>
    </row>
    <row r="33" spans="2:8">
      <c r="B33" s="13" t="s">
        <v>193</v>
      </c>
      <c r="C33" s="250">
        <v>37.345793224153</v>
      </c>
      <c r="D33" s="250"/>
      <c r="E33" s="250">
        <v>62.4328041005126</v>
      </c>
      <c r="F33" s="250"/>
      <c r="G33" s="250">
        <v>3199.6</v>
      </c>
      <c r="H33" s="250">
        <f t="shared" si="0"/>
        <v>119491.6</v>
      </c>
    </row>
    <row r="34" spans="2:8">
      <c r="B34" s="13" t="s">
        <v>177</v>
      </c>
      <c r="C34" s="250">
        <v>44.097985685826</v>
      </c>
      <c r="D34" s="250"/>
      <c r="E34" s="250">
        <v>74.5960303991736</v>
      </c>
      <c r="F34" s="250"/>
      <c r="G34" s="250">
        <v>1355.3</v>
      </c>
      <c r="H34" s="250">
        <f t="shared" si="0"/>
        <v>59766</v>
      </c>
    </row>
    <row r="35" spans="2:8">
      <c r="B35" s="13" t="s">
        <v>185</v>
      </c>
      <c r="C35" s="250">
        <v>50.453727463081</v>
      </c>
      <c r="D35" s="250"/>
      <c r="E35" s="250">
        <v>78.2425418548256</v>
      </c>
      <c r="F35" s="250"/>
      <c r="G35" s="250">
        <v>6523.74</v>
      </c>
      <c r="H35" s="250">
        <f t="shared" ref="H35" si="1">C35*G35</f>
        <v>329147</v>
      </c>
    </row>
    <row r="36" spans="2:8">
      <c r="B36" s="251" t="s">
        <v>186</v>
      </c>
      <c r="C36" s="250">
        <v>50.453727463081</v>
      </c>
      <c r="D36" s="250"/>
      <c r="E36" s="250">
        <v>78.2425418548256</v>
      </c>
      <c r="F36" s="250"/>
      <c r="G36" s="250">
        <v>6523.74</v>
      </c>
      <c r="H36" s="250">
        <f t="shared" si="0"/>
        <v>329147</v>
      </c>
    </row>
    <row r="37" spans="2:8">
      <c r="B37" s="13" t="s">
        <v>208</v>
      </c>
      <c r="C37" s="250">
        <v>92.3106490783611</v>
      </c>
      <c r="D37" s="250"/>
      <c r="E37" s="250">
        <v>146.527474447453</v>
      </c>
      <c r="F37" s="250"/>
      <c r="G37" s="250">
        <v>1144.7</v>
      </c>
      <c r="H37" s="250">
        <f t="shared" si="0"/>
        <v>105668</v>
      </c>
    </row>
    <row r="38" spans="2:8">
      <c r="B38" s="13" t="s">
        <v>189</v>
      </c>
      <c r="C38" s="250">
        <v>50.5743096363407</v>
      </c>
      <c r="D38" s="250"/>
      <c r="E38" s="250">
        <v>81.7244716211099</v>
      </c>
      <c r="F38" s="250"/>
      <c r="G38" s="250">
        <v>1426.06</v>
      </c>
      <c r="H38" s="250">
        <f t="shared" si="0"/>
        <v>72122</v>
      </c>
    </row>
    <row r="39" spans="2:8">
      <c r="B39" s="251" t="s">
        <v>173</v>
      </c>
      <c r="C39" s="250">
        <v>43.5669707153145</v>
      </c>
      <c r="D39" s="250"/>
      <c r="E39" s="250">
        <v>86.4298287726036</v>
      </c>
      <c r="F39" s="250"/>
      <c r="G39" s="250">
        <v>624.9</v>
      </c>
      <c r="H39" s="250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zoomScale="71" zoomScaleNormal="71" workbookViewId="0">
      <selection activeCell="I24" sqref="I24"/>
    </sheetView>
  </sheetViews>
  <sheetFormatPr defaultColWidth="8.66666666666667" defaultRowHeight="13.8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6.35" spans="1:17">
      <c r="A1" s="35"/>
      <c r="B1" s="173"/>
      <c r="C1" s="174"/>
      <c r="D1" s="174"/>
      <c r="E1" s="174"/>
    </row>
    <row r="2" ht="24" customHeight="1" spans="1:17">
      <c r="A2" s="35"/>
      <c r="B2" s="175" t="s">
        <v>265</v>
      </c>
      <c r="C2" s="176" t="s">
        <v>184</v>
      </c>
      <c r="D2" s="177" t="s">
        <v>266</v>
      </c>
      <c r="E2" s="178" t="s">
        <v>267</v>
      </c>
      <c r="F2"/>
      <c r="G2"/>
    </row>
    <row r="3" ht="16.35" spans="1:17">
      <c r="A3" s="35"/>
      <c r="B3" s="179" t="s">
        <v>268</v>
      </c>
      <c r="C3" s="180" t="s">
        <v>269</v>
      </c>
      <c r="D3" s="181" t="s">
        <v>270</v>
      </c>
      <c r="E3" s="82" t="s">
        <v>271</v>
      </c>
      <c r="F3" s="176" t="s">
        <v>272</v>
      </c>
      <c r="G3" s="176" t="s">
        <v>273</v>
      </c>
      <c r="H3" s="178" t="s">
        <v>274</v>
      </c>
      <c r="I3" s="182" t="s">
        <v>275</v>
      </c>
      <c r="J3" s="176" t="s">
        <v>276</v>
      </c>
      <c r="K3" s="183" t="s">
        <v>277</v>
      </c>
      <c r="L3" s="184" t="s">
        <v>278</v>
      </c>
      <c r="M3" s="176" t="s">
        <v>279</v>
      </c>
      <c r="N3" s="178" t="s">
        <v>280</v>
      </c>
      <c r="O3" s="185" t="s">
        <v>281</v>
      </c>
      <c r="P3" s="185" t="s">
        <v>282</v>
      </c>
      <c r="Q3" s="185" t="s">
        <v>283</v>
      </c>
    </row>
    <row r="4" ht="16.35" spans="1:17">
      <c r="A4" s="35"/>
      <c r="B4" s="186"/>
      <c r="C4" s="187" t="s">
        <v>284</v>
      </c>
      <c r="D4" s="187" t="s">
        <v>284</v>
      </c>
      <c r="E4" s="188" t="str">
        <f t="array" ref="E4">_xlfn.TEXTJOIN("&amp;",TRUE,_xlfn._xlws.FILTER('【3-2】大区&amp;运营中心填-房间模型价'!K2:K10,'【3-2】大区&amp;运营中心填-房间模型价'!K2:K10&lt;&gt;""))</f>
        <v>一居室&amp;开间</v>
      </c>
      <c r="F4" s="188">
        <f t="array" ref="F4">INT(LOOKUP(2,1/(NOT(ISBLANK('【3-2】大区&amp;运营中心填-房间模型价'!H:H))),'【3-2】大区&amp;运营中心填-房间模型价'!H:H)/100)</f>
        <v>13</v>
      </c>
      <c r="G4" s="189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200.5</v>
      </c>
      <c r="H4" s="190">
        <f>'【3-2】大区&amp;运营中心填-房间模型价'!G2</f>
        <v>14</v>
      </c>
      <c r="I4" s="191">
        <f>AVERAGEIF('【3-2】大区&amp;运营中心填-房间模型价'!J:J,"开间",'【3-2】大区&amp;运营中心填-房间模型价'!AM:AM)</f>
        <v>1492.17021276596</v>
      </c>
      <c r="J4" s="189">
        <f>AVERAGEIF('【3-2】大区&amp;运营中心填-房间模型价'!J:J,"一居室",'【3-2】大区&amp;运营中心填-房间模型价'!AM:AM)</f>
        <v>2237.76788732394</v>
      </c>
      <c r="K4" s="192">
        <f>SUMIF('【3-2】大区&amp;运营中心填-房间模型价'!A:A,E2,'【3-2】大区&amp;运营中心填-房间模型价'!AM:AM)/G4</f>
        <v>1491.99760598504</v>
      </c>
      <c r="L4" s="193">
        <f>AVERAGEIF('【3-2】大区&amp;运营中心填-房间模型价'!J:J,"开间",'【3-2】大区&amp;运营中心填-房间模型价'!N:N)</f>
        <v>17.4176595744681</v>
      </c>
      <c r="M4" s="189">
        <f>AVERAGEIF('【3-2】大区&amp;运营中心填-房间模型价'!J:J,"一居室",'【3-2】大区&amp;运营中心填-房间模型价'!N:N)</f>
        <v>23.4123943661972</v>
      </c>
      <c r="N4" s="194">
        <v>434.71</v>
      </c>
      <c r="O4" s="194">
        <v>5216.73</v>
      </c>
      <c r="P4" s="195">
        <v>298684.18</v>
      </c>
      <c r="Q4" s="196">
        <f>VLOOKUP(C2,piovt_各村均价!B:G,6,0)</f>
        <v>2540.65</v>
      </c>
    </row>
    <row r="5" ht="14.55" spans="1:17">
      <c r="A5" s="35"/>
    </row>
    <row r="6" ht="14.55" spans="1:17">
      <c r="A6" s="35"/>
    </row>
    <row r="7" ht="23" customHeight="1" spans="1:17">
      <c r="A7" s="35"/>
      <c r="B7" s="197" t="s">
        <v>285</v>
      </c>
      <c r="C7" s="198"/>
      <c r="D7" s="198"/>
      <c r="E7" s="199"/>
      <c r="P7" s="200">
        <v>17445.82</v>
      </c>
    </row>
    <row r="8" ht="16.95" spans="1:17">
      <c r="A8" s="35"/>
      <c r="B8" s="201" t="s">
        <v>286</v>
      </c>
      <c r="C8" s="184" t="s">
        <v>287</v>
      </c>
      <c r="D8" s="176" t="s">
        <v>288</v>
      </c>
      <c r="E8" s="176" t="s">
        <v>289</v>
      </c>
      <c r="F8" s="176" t="s">
        <v>290</v>
      </c>
      <c r="G8" s="176" t="s">
        <v>291</v>
      </c>
      <c r="H8" s="176" t="s">
        <v>292</v>
      </c>
      <c r="I8" s="202" t="s">
        <v>293</v>
      </c>
    </row>
    <row r="9" ht="18" customHeight="1" spans="1:17">
      <c r="A9" s="35"/>
      <c r="B9" s="203"/>
      <c r="C9" s="204"/>
      <c r="D9" s="158">
        <f>P4/O4</f>
        <v>57.2550582452993</v>
      </c>
      <c r="E9" s="158">
        <f>(D9+18)/0.9</f>
        <v>83.6167313836658</v>
      </c>
      <c r="F9" s="205">
        <f>SUMIF('【3-2】大区&amp;运营中心填-房间模型价'!A:A,E2,'【3-2】大区&amp;运营中心填-房间模型价'!AM:AM)/O4</f>
        <v>57.3434929543986</v>
      </c>
      <c r="G9" s="165">
        <f>F9/D9</f>
        <v>1.0015445746072</v>
      </c>
      <c r="H9" s="165">
        <f>F9/E9</f>
        <v>0.685789697892932</v>
      </c>
      <c r="I9" s="206" t="str">
        <f>IF(H9&lt;1,"不通过","通过")</f>
        <v>不通过</v>
      </c>
      <c r="O9">
        <f>O4-300.79</f>
        <v>4915.94</v>
      </c>
      <c r="P9">
        <f>P4-P7</f>
        <v>281238.36</v>
      </c>
    </row>
    <row r="10" ht="6" customHeight="1" spans="1:17">
      <c r="A10" s="35"/>
      <c r="B10" s="203"/>
      <c r="C10" s="204"/>
      <c r="D10" s="4"/>
      <c r="E10" s="4"/>
      <c r="F10" s="4"/>
      <c r="G10" s="4"/>
      <c r="H10" s="4"/>
      <c r="I10" s="207"/>
    </row>
    <row r="11" ht="16.2" spans="1:17">
      <c r="A11" s="35"/>
      <c r="B11" s="203"/>
      <c r="C11" s="204" t="s">
        <v>294</v>
      </c>
      <c r="D11" s="158" t="s">
        <v>295</v>
      </c>
      <c r="E11" s="158" t="s">
        <v>296</v>
      </c>
      <c r="F11" s="158" t="s">
        <v>297</v>
      </c>
      <c r="G11" s="4" t="s">
        <v>291</v>
      </c>
      <c r="H11" s="4" t="s">
        <v>292</v>
      </c>
      <c r="I11" s="206" t="s">
        <v>293</v>
      </c>
    </row>
    <row r="12" ht="21" customHeight="1" spans="1:17">
      <c r="A12" s="35"/>
      <c r="B12" s="208"/>
      <c r="C12" s="209"/>
      <c r="D12" s="189">
        <f>D9</f>
        <v>57.2550582452993</v>
      </c>
      <c r="E12" s="189">
        <f>(D12+18)/0.9</f>
        <v>83.6167313836658</v>
      </c>
      <c r="F12" s="189">
        <f>F9</f>
        <v>57.3434929543986</v>
      </c>
      <c r="G12" s="210">
        <f>F12/D12</f>
        <v>1.0015445746072</v>
      </c>
      <c r="H12" s="210">
        <f>F12/E12</f>
        <v>0.685789697892932</v>
      </c>
      <c r="I12" s="211" t="str">
        <f>IF(H12&lt;1.05,"不通过","通过")</f>
        <v>不通过</v>
      </c>
    </row>
    <row r="13" ht="13" customHeight="1" spans="1:17">
      <c r="A13" s="35"/>
      <c r="B13" s="212"/>
    </row>
    <row r="14" ht="12" customHeight="1" spans="1:17">
      <c r="A14" s="35"/>
      <c r="B14" s="213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</row>
    <row r="15" ht="14.55" spans="1:17">
      <c r="A15" s="35"/>
      <c r="B15" s="214" t="s">
        <v>298</v>
      </c>
      <c r="C15" s="215" t="s">
        <v>299</v>
      </c>
      <c r="D15" s="176" t="s">
        <v>300</v>
      </c>
      <c r="E15" s="176" t="s">
        <v>301</v>
      </c>
      <c r="F15" s="176"/>
      <c r="G15" s="176"/>
      <c r="H15" s="176"/>
      <c r="I15" s="176"/>
      <c r="J15" s="176" t="s">
        <v>302</v>
      </c>
      <c r="K15" s="176" t="s">
        <v>303</v>
      </c>
      <c r="L15" s="216" t="s">
        <v>304</v>
      </c>
      <c r="M15" s="202" t="s">
        <v>293</v>
      </c>
    </row>
    <row r="16" spans="1:17">
      <c r="A16" s="35"/>
      <c r="B16" s="217"/>
      <c r="C16" s="218"/>
      <c r="D16" s="4"/>
      <c r="E16" s="4"/>
      <c r="F16" s="4"/>
      <c r="G16" s="4"/>
      <c r="H16" s="4"/>
      <c r="I16" s="4"/>
      <c r="J16" s="4"/>
      <c r="K16" s="4"/>
      <c r="L16" s="219"/>
      <c r="M16" s="206"/>
    </row>
    <row r="17" ht="19" customHeight="1" spans="1:15">
      <c r="A17" s="35"/>
      <c r="B17" s="217"/>
      <c r="C17" s="218"/>
      <c r="D17" s="4"/>
      <c r="E17" s="4"/>
      <c r="F17" s="4"/>
      <c r="G17" s="4"/>
      <c r="H17" s="4"/>
      <c r="I17" s="4"/>
      <c r="J17" s="4"/>
      <c r="K17" s="4"/>
      <c r="L17" s="81"/>
      <c r="M17" s="220" t="e">
        <f>L17/J17</f>
        <v>#DIV/0!</v>
      </c>
    </row>
    <row r="18" ht="15.6" spans="1:15">
      <c r="A18" s="35"/>
      <c r="B18" s="217"/>
      <c r="C18" s="218"/>
      <c r="D18" s="4"/>
      <c r="E18" s="4"/>
      <c r="F18" s="4"/>
      <c r="G18" s="4"/>
      <c r="H18" s="4"/>
      <c r="I18" s="4"/>
      <c r="J18" s="4"/>
      <c r="K18" s="4"/>
      <c r="L18" s="81"/>
      <c r="M18" s="220" t="e">
        <f>L18/J18</f>
        <v>#DIV/0!</v>
      </c>
    </row>
    <row r="19" ht="16.35" spans="1:15">
      <c r="A19" s="35"/>
      <c r="B19" s="221"/>
      <c r="C19" s="222"/>
      <c r="D19" s="188"/>
      <c r="E19" s="188"/>
      <c r="F19" s="188"/>
      <c r="G19" s="188"/>
      <c r="H19" s="188"/>
      <c r="I19" s="188"/>
      <c r="J19" s="188"/>
      <c r="K19" s="188"/>
      <c r="L19" s="223"/>
      <c r="M19" s="224" t="e">
        <f>L19/J19</f>
        <v>#DIV/0!</v>
      </c>
    </row>
    <row r="20" ht="15.3" spans="1:15">
      <c r="B20" s="22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ht="16.95" spans="1:15">
      <c r="B21" s="201" t="s">
        <v>305</v>
      </c>
      <c r="C21" s="184" t="s">
        <v>306</v>
      </c>
      <c r="D21" s="226" t="s">
        <v>307</v>
      </c>
      <c r="E21" s="226" t="s">
        <v>308</v>
      </c>
      <c r="F21" s="227" t="s">
        <v>293</v>
      </c>
      <c r="G21" s="202"/>
    </row>
    <row r="22" spans="1:15">
      <c r="B22" s="203"/>
      <c r="C22" s="204"/>
      <c r="D22" s="228">
        <f>MIN('【3-2】大区&amp;运营中心填-房间模型价'!AN:AN)</f>
        <v>-0.143711743198533</v>
      </c>
      <c r="E22" s="229">
        <f>MAX('【3-2】大区&amp;运营中心填-房间模型价'!AN:AN)</f>
        <v>0.031883273110372</v>
      </c>
      <c r="F22" s="13" t="str">
        <f>IF(OR(D22&lt;-10%,E22&gt;10%),"不通过","通过")</f>
        <v>不通过</v>
      </c>
      <c r="G22" s="230"/>
      <c r="I22" s="35"/>
    </row>
    <row r="23" ht="14.55" spans="1:15">
      <c r="B23" s="203"/>
      <c r="C23" s="209"/>
      <c r="D23" s="231"/>
      <c r="E23" s="232"/>
      <c r="F23" s="233"/>
      <c r="G23" s="234"/>
      <c r="I23" s="35"/>
    </row>
    <row r="24" ht="15.3" spans="1:15">
      <c r="B24" s="203"/>
      <c r="C24" s="235"/>
      <c r="D24" s="3"/>
      <c r="E24" s="3"/>
      <c r="F24" s="3"/>
      <c r="G24" s="236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203"/>
      <c r="C25" s="237" t="s">
        <v>309</v>
      </c>
      <c r="D25" s="226" t="s">
        <v>310</v>
      </c>
      <c r="E25" s="226" t="s">
        <v>311</v>
      </c>
      <c r="F25" s="227" t="s">
        <v>293</v>
      </c>
      <c r="G25" s="202"/>
      <c r="I25" s="35"/>
    </row>
    <row r="26" ht="34" customHeight="1" spans="1:15">
      <c r="B26" s="208"/>
      <c r="C26" s="238"/>
      <c r="D26" s="239">
        <f>AVERAGE('【3-2】大区&amp;运营中心填-房间模型价'!AL:AL)</f>
        <v>1952.73514990377</v>
      </c>
      <c r="E26" s="239">
        <f>AVERAGE('【3-2】大区&amp;运营中心填-房间模型价'!AM:AM)</f>
        <v>1813.00315151515</v>
      </c>
      <c r="F26" s="240">
        <f>E26/D26</f>
        <v>0.928442933802106</v>
      </c>
      <c r="G26" s="241"/>
      <c r="I26" s="35"/>
    </row>
    <row r="27" ht="14.5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3.8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5.6" spans="2:10">
      <c r="B2" s="4" t="s">
        <v>312</v>
      </c>
      <c r="C2" s="13" t="s">
        <v>313</v>
      </c>
      <c r="D2" s="2"/>
      <c r="E2" s="2"/>
      <c r="F2" s="2"/>
      <c r="G2" s="2"/>
      <c r="H2" s="2"/>
      <c r="I2" s="2"/>
    </row>
    <row r="3" spans="2:10">
      <c r="B3" s="4" t="s">
        <v>314</v>
      </c>
      <c r="C3" s="153" t="s">
        <v>270</v>
      </c>
      <c r="D3" s="154" t="s">
        <v>315</v>
      </c>
      <c r="E3" s="155" t="s">
        <v>271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56" t="s">
        <v>54</v>
      </c>
      <c r="E4" s="13" t="s">
        <v>316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57" t="s">
        <v>310</v>
      </c>
    </row>
    <row r="7" ht="24" customHeight="1" spans="2:10">
      <c r="B7" s="4">
        <v>5</v>
      </c>
      <c r="C7" s="158">
        <v>34</v>
      </c>
      <c r="D7" s="158">
        <v>7.5</v>
      </c>
      <c r="E7" s="158">
        <f>AVERAGEIF('【3-2】大区&amp;运营中心填-房间模型价'!J:J,"开间",'【3-2】大区&amp;运营中心填-房间模型价'!AM:AM)</f>
        <v>1492.17021276596</v>
      </c>
      <c r="F7" s="158">
        <f>AVERAGEIF('【3-2】大区&amp;运营中心填-房间模型价'!J:J,"一居室",'【3-2】大区&amp;运营中心填-房间模型价'!AM:AM)</f>
        <v>2237.76788732394</v>
      </c>
      <c r="G7" s="158">
        <v>1681.05882352941</v>
      </c>
      <c r="H7" s="159">
        <v>135.73</v>
      </c>
      <c r="I7" s="159">
        <v>662</v>
      </c>
      <c r="J7" s="158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60" t="s">
        <v>317</v>
      </c>
      <c r="D9" s="160" t="s">
        <v>318</v>
      </c>
      <c r="E9" s="161" t="s">
        <v>319</v>
      </c>
      <c r="F9" s="162" t="s">
        <v>290</v>
      </c>
      <c r="G9" s="162" t="s">
        <v>291</v>
      </c>
      <c r="H9" s="162" t="s">
        <v>292</v>
      </c>
    </row>
    <row r="10" ht="29" customHeight="1" spans="2:10">
      <c r="B10" s="4" t="s">
        <v>320</v>
      </c>
      <c r="C10" s="163">
        <v>45</v>
      </c>
      <c r="D10" s="163">
        <v>55</v>
      </c>
      <c r="E10" s="164">
        <f>(C10+21)/0.96</f>
        <v>68.75</v>
      </c>
      <c r="F10" s="164">
        <f>SUMIF('【3-2】大区&amp;运营中心填-房间模型价'!A:A,C2,'【3-2】大区&amp;运营中心填-房间模型价'!AM:AM)/I7</f>
        <v>0</v>
      </c>
      <c r="G10" s="165">
        <f>F10/C10</f>
        <v>0</v>
      </c>
      <c r="H10" s="166">
        <f>F10/E10</f>
        <v>0</v>
      </c>
    </row>
    <row r="11" ht="18" customHeight="1" spans="2:10">
      <c r="B11" s="167" t="s">
        <v>30</v>
      </c>
      <c r="C11" s="167" t="s">
        <v>321</v>
      </c>
      <c r="D11" s="167"/>
    </row>
    <row r="12" ht="19.25" customHeight="1" spans="2:10">
      <c r="B12" s="168" t="s">
        <v>300</v>
      </c>
      <c r="C12" s="169" t="s">
        <v>322</v>
      </c>
      <c r="D12" s="170"/>
      <c r="E12" s="170"/>
      <c r="F12" s="171"/>
      <c r="G12" s="168" t="s">
        <v>323</v>
      </c>
      <c r="H12" s="4" t="s">
        <v>324</v>
      </c>
      <c r="I12" s="2"/>
      <c r="J12"/>
    </row>
    <row r="13" ht="21" customHeight="1" spans="2:10">
      <c r="B13" s="4" t="s">
        <v>325</v>
      </c>
      <c r="C13" s="4" t="s">
        <v>326</v>
      </c>
      <c r="D13" s="4" t="s">
        <v>327</v>
      </c>
      <c r="E13" s="4" t="s">
        <v>328</v>
      </c>
      <c r="F13" s="4" t="s">
        <v>329</v>
      </c>
      <c r="G13" s="4">
        <v>1533</v>
      </c>
      <c r="H13" s="165">
        <f>E7/G13</f>
        <v>0.973366087909953</v>
      </c>
      <c r="I13" s="2"/>
      <c r="J13"/>
    </row>
    <row r="14" ht="15.6" spans="2:10">
      <c r="B14" s="4" t="s">
        <v>325</v>
      </c>
      <c r="C14" s="4" t="s">
        <v>330</v>
      </c>
      <c r="D14" s="4" t="s">
        <v>327</v>
      </c>
      <c r="E14" s="4" t="s">
        <v>328</v>
      </c>
      <c r="F14" s="4" t="s">
        <v>329</v>
      </c>
      <c r="G14" s="4">
        <v>1619</v>
      </c>
      <c r="H14" s="165">
        <f>E7/G14</f>
        <v>0.921661650874588</v>
      </c>
      <c r="I14" s="2"/>
      <c r="J14"/>
    </row>
    <row r="15" ht="20" customHeight="1" spans="2:10">
      <c r="B15" s="172" t="s">
        <v>325</v>
      </c>
      <c r="C15" s="172" t="s">
        <v>331</v>
      </c>
      <c r="D15" s="172" t="s">
        <v>327</v>
      </c>
      <c r="E15" s="172" t="s">
        <v>328</v>
      </c>
      <c r="F15" s="172" t="s">
        <v>329</v>
      </c>
      <c r="G15" s="172">
        <v>2202</v>
      </c>
      <c r="H15" s="165">
        <f>F7/G15</f>
        <v>1.01624336390733</v>
      </c>
      <c r="I15" s="2"/>
      <c r="J15"/>
    </row>
    <row r="21" ht="15.6" spans="3:4">
      <c r="C21" s="79" t="s">
        <v>332</v>
      </c>
      <c r="D21" s="172" t="s">
        <v>333</v>
      </c>
    </row>
    <row r="22" ht="15.6" spans="3:4">
      <c r="C22" s="82"/>
      <c r="D22" s="172" t="s">
        <v>334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3.8"/>
  <cols>
    <col min="1" max="1" width="21.0833333333333" customWidth="1"/>
    <col min="2" max="2" width="9.66666666666667" customWidth="1"/>
    <col min="3" max="3" width="9" style="143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42" customFormat="1" spans="1:21">
      <c r="A1" s="142" t="s">
        <v>300</v>
      </c>
      <c r="B1" s="142" t="s">
        <v>335</v>
      </c>
      <c r="C1" s="144" t="s">
        <v>336</v>
      </c>
    </row>
    <row r="2" spans="1:21">
      <c r="A2" t="s">
        <v>337</v>
      </c>
      <c r="B2" t="s">
        <v>338</v>
      </c>
      <c r="C2" s="145">
        <v>46.3</v>
      </c>
    </row>
    <row r="3" spans="1:21">
      <c r="A3" t="s">
        <v>339</v>
      </c>
      <c r="B3" t="s">
        <v>340</v>
      </c>
      <c r="C3" s="145">
        <v>18.9</v>
      </c>
    </row>
    <row r="4" spans="1:21">
      <c r="A4" t="s">
        <v>341</v>
      </c>
      <c r="B4" t="s">
        <v>342</v>
      </c>
      <c r="C4" s="143">
        <v>2500</v>
      </c>
    </row>
    <row r="5" spans="1:21">
      <c r="A5" t="s">
        <v>343</v>
      </c>
      <c r="B5" t="s">
        <v>344</v>
      </c>
      <c r="C5" s="143">
        <v>10</v>
      </c>
    </row>
    <row r="6" spans="1:21">
      <c r="A6" t="s">
        <v>345</v>
      </c>
      <c r="B6" t="s">
        <v>346</v>
      </c>
      <c r="C6" s="146">
        <v>0.98</v>
      </c>
    </row>
    <row r="7" spans="1:21">
      <c r="A7" t="s">
        <v>347</v>
      </c>
      <c r="B7" t="s">
        <v>348</v>
      </c>
      <c r="C7" s="143">
        <f>(C2*C3+C4*C3/C5/12)/C6</f>
        <v>1294.71428571429</v>
      </c>
    </row>
    <row r="8" spans="1:21">
      <c r="A8" t="s">
        <v>349</v>
      </c>
      <c r="B8" t="s">
        <v>346</v>
      </c>
      <c r="C8" s="146">
        <v>1</v>
      </c>
    </row>
    <row r="9" spans="1:21">
      <c r="A9" t="s">
        <v>350</v>
      </c>
      <c r="B9" t="s">
        <v>348</v>
      </c>
      <c r="C9" s="147"/>
    </row>
    <row r="10" spans="1:21">
      <c r="A10" t="s">
        <v>351</v>
      </c>
      <c r="B10" t="s">
        <v>346</v>
      </c>
      <c r="C10" s="143">
        <f>1-C8</f>
        <v>0</v>
      </c>
    </row>
    <row r="11" s="142" customFormat="1" spans="1:21">
      <c r="A11" s="142" t="s">
        <v>31</v>
      </c>
      <c r="B11" t="s">
        <v>348</v>
      </c>
      <c r="C11" s="144">
        <f>C7*C8+C9*C10</f>
        <v>1294.71428571429</v>
      </c>
    </row>
    <row r="12" ht="45" spans="1:21">
      <c r="C12" s="143" t="s">
        <v>37</v>
      </c>
      <c r="D12" t="s">
        <v>277</v>
      </c>
      <c r="F12" s="148" t="s">
        <v>352</v>
      </c>
      <c r="G12" s="149" t="s">
        <v>353</v>
      </c>
      <c r="H12" s="149" t="s">
        <v>145</v>
      </c>
      <c r="I12" s="149" t="s">
        <v>354</v>
      </c>
      <c r="J12" s="149" t="s">
        <v>355</v>
      </c>
      <c r="K12" s="149" t="s">
        <v>164</v>
      </c>
      <c r="L12" s="149" t="s">
        <v>356</v>
      </c>
      <c r="M12" s="149" t="s">
        <v>357</v>
      </c>
      <c r="N12" s="149" t="s">
        <v>358</v>
      </c>
      <c r="O12" s="149" t="s">
        <v>57</v>
      </c>
      <c r="P12" s="149" t="s">
        <v>359</v>
      </c>
      <c r="Q12" s="149" t="s">
        <v>67</v>
      </c>
      <c r="R12" s="149" t="s">
        <v>68</v>
      </c>
      <c r="S12" s="149" t="s">
        <v>360</v>
      </c>
      <c r="T12" s="149" t="s">
        <v>118</v>
      </c>
      <c r="U12" s="149" t="s">
        <v>151</v>
      </c>
    </row>
    <row r="13" ht="26.4" spans="1:21">
      <c r="A13" s="93" t="s">
        <v>361</v>
      </c>
      <c r="B13" t="s">
        <v>362</v>
      </c>
      <c r="C13" s="143">
        <v>1325</v>
      </c>
      <c r="D13" s="150">
        <f>C13/1</f>
        <v>1325</v>
      </c>
      <c r="E13" s="151"/>
      <c r="F13" s="110" t="s">
        <v>27</v>
      </c>
      <c r="G13" s="108" t="s">
        <v>149</v>
      </c>
      <c r="H13" s="108" t="s">
        <v>146</v>
      </c>
      <c r="I13" s="108" t="s">
        <v>363</v>
      </c>
      <c r="J13" s="108" t="s">
        <v>54</v>
      </c>
      <c r="K13" s="108" t="s">
        <v>54</v>
      </c>
      <c r="L13" s="108" t="s">
        <v>54</v>
      </c>
      <c r="M13" s="108" t="s">
        <v>364</v>
      </c>
      <c r="N13" s="108" t="s">
        <v>63</v>
      </c>
      <c r="O13" s="108" t="s">
        <v>63</v>
      </c>
      <c r="P13" s="109" t="s">
        <v>63</v>
      </c>
      <c r="Q13" s="108" t="s">
        <v>54</v>
      </c>
      <c r="R13" s="108" t="s">
        <v>365</v>
      </c>
      <c r="S13" s="108" t="s">
        <v>63</v>
      </c>
      <c r="T13" s="108" t="s">
        <v>63</v>
      </c>
      <c r="U13" s="108" t="s">
        <v>63</v>
      </c>
    </row>
    <row r="14" spans="1:21">
      <c r="A14" s="93" t="s">
        <v>366</v>
      </c>
      <c r="B14" t="s">
        <v>362</v>
      </c>
      <c r="C14" s="143">
        <v>1200</v>
      </c>
      <c r="D14" s="150">
        <f t="shared" ref="D14" si="0">C14/1</f>
        <v>1200</v>
      </c>
      <c r="F14" s="152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</row>
    <row r="15" spans="1:21">
      <c r="A15" s="93" t="s">
        <v>367</v>
      </c>
      <c r="B15" t="s">
        <v>362</v>
      </c>
      <c r="C15" s="147">
        <v>1850</v>
      </c>
      <c r="D15" s="150">
        <f>C15/1.5</f>
        <v>1233.33333333333</v>
      </c>
    </row>
    <row r="16" spans="1:21">
      <c r="A16" s="93" t="s">
        <v>368</v>
      </c>
      <c r="B16" t="s">
        <v>362</v>
      </c>
      <c r="C16" s="147">
        <v>1650</v>
      </c>
      <c r="D16" s="150">
        <f>C16/1.5</f>
        <v>1100</v>
      </c>
      <c r="E16" s="151"/>
    </row>
    <row r="17" spans="1:4">
      <c r="A17" s="93" t="s">
        <v>369</v>
      </c>
      <c r="B17" t="s">
        <v>362</v>
      </c>
      <c r="D17" s="150">
        <f t="shared" ref="D17" si="1">C17/1.5</f>
        <v>0</v>
      </c>
    </row>
    <row r="18" spans="1:4">
      <c r="A18" s="93" t="s">
        <v>370</v>
      </c>
      <c r="B18" t="s">
        <v>362</v>
      </c>
      <c r="D18" s="150">
        <f>C18/2</f>
        <v>0</v>
      </c>
    </row>
    <row r="19" spans="1:4">
      <c r="A19" s="93" t="s">
        <v>371</v>
      </c>
      <c r="B19" t="s">
        <v>362</v>
      </c>
      <c r="D19" s="150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.2"/>
  <cols>
    <col min="1" max="1" width="11.6666666666667" style="95" customWidth="1"/>
    <col min="2" max="2" width="19" style="95" customWidth="1"/>
    <col min="3" max="3" width="19" style="96" customWidth="1"/>
    <col min="4" max="4" width="7.41666666666667" style="95" customWidth="1"/>
    <col min="5" max="5" width="7.41666666666667" style="97" customWidth="1"/>
    <col min="6" max="6" width="9.41666666666667" style="95" customWidth="1"/>
    <col min="7" max="7" width="7.66666666666667" style="95" customWidth="1"/>
    <col min="8" max="8" width="9" style="95" customWidth="1"/>
    <col min="9" max="10" width="6.33333333333333" style="95" customWidth="1"/>
    <col min="11" max="11" width="7.33333333333333" style="95" customWidth="1"/>
    <col min="12" max="12" width="6.33333333333333" style="95" customWidth="1"/>
    <col min="13" max="14" width="7.66666666666667" style="95" customWidth="1"/>
    <col min="15" max="15" width="7" style="95" customWidth="1"/>
    <col min="16" max="16" width="6.33333333333333" style="95" customWidth="1"/>
    <col min="17" max="17" width="7.66666666666667" style="95" customWidth="1"/>
    <col min="18" max="18" width="8.41666666666667" style="95" customWidth="1"/>
    <col min="19" max="19" width="7" style="95" customWidth="1"/>
    <col min="20" max="20" width="6.41666666666667" style="95" customWidth="1"/>
    <col min="21" max="22" width="8.41666666666667" style="95"/>
    <col min="23" max="23" width="13.0833333333333" style="95" customWidth="1"/>
    <col min="24" max="24" width="19.0833333333333" style="95" customWidth="1"/>
    <col min="25" max="25" width="12.0833333333333" style="95" customWidth="1"/>
    <col min="26" max="26" width="15.6666666666667" style="95" customWidth="1"/>
    <col min="27" max="16384" width="8.41666666666667" style="95"/>
  </cols>
  <sheetData>
    <row r="1" ht="16.35" spans="2:21">
      <c r="F1" s="98" t="s">
        <v>372</v>
      </c>
      <c r="G1" s="98"/>
      <c r="H1" s="98"/>
      <c r="I1" s="98"/>
      <c r="J1" s="98"/>
      <c r="K1" s="98"/>
      <c r="L1" s="98"/>
      <c r="M1" s="98"/>
      <c r="N1" s="98" t="s">
        <v>373</v>
      </c>
      <c r="O1" s="98"/>
      <c r="P1" s="98"/>
      <c r="Q1" s="98"/>
      <c r="R1" s="98"/>
      <c r="S1" s="98"/>
      <c r="T1" s="98"/>
    </row>
    <row r="2" ht="36" spans="2:21">
      <c r="B2" s="99"/>
      <c r="C2" s="100"/>
      <c r="D2" s="101"/>
      <c r="E2" s="102" t="e">
        <f>MEDIAN(E8:E54)</f>
        <v>#REF!</v>
      </c>
      <c r="F2" s="103" t="s">
        <v>353</v>
      </c>
      <c r="G2" s="103" t="s">
        <v>145</v>
      </c>
      <c r="H2" s="103" t="s">
        <v>354</v>
      </c>
      <c r="I2" s="103" t="s">
        <v>355</v>
      </c>
      <c r="J2" s="103" t="s">
        <v>164</v>
      </c>
      <c r="K2" s="103" t="s">
        <v>374</v>
      </c>
      <c r="L2" s="103" t="s">
        <v>357</v>
      </c>
      <c r="M2" s="103" t="s">
        <v>358</v>
      </c>
      <c r="N2" s="104" t="s">
        <v>57</v>
      </c>
      <c r="O2" s="104" t="s">
        <v>359</v>
      </c>
      <c r="P2" s="104" t="s">
        <v>67</v>
      </c>
      <c r="Q2" s="104" t="s">
        <v>68</v>
      </c>
      <c r="R2" s="104" t="s">
        <v>360</v>
      </c>
      <c r="S2" s="104" t="s">
        <v>118</v>
      </c>
      <c r="T2" s="104" t="s">
        <v>151</v>
      </c>
    </row>
    <row r="3" spans="2:21">
      <c r="B3" s="105" t="s">
        <v>375</v>
      </c>
      <c r="C3" s="106"/>
      <c r="D3" s="105"/>
      <c r="E3" s="107"/>
      <c r="F3" s="108" t="s">
        <v>149</v>
      </c>
      <c r="G3" s="108" t="s">
        <v>146</v>
      </c>
      <c r="H3" s="108" t="s">
        <v>363</v>
      </c>
      <c r="I3" s="108" t="s">
        <v>54</v>
      </c>
      <c r="J3" s="108" t="s">
        <v>54</v>
      </c>
      <c r="K3" s="108" t="s">
        <v>54</v>
      </c>
      <c r="L3" s="108" t="s">
        <v>364</v>
      </c>
      <c r="M3" s="108" t="s">
        <v>63</v>
      </c>
      <c r="N3" s="108" t="s">
        <v>63</v>
      </c>
      <c r="O3" s="109" t="s">
        <v>63</v>
      </c>
      <c r="P3" s="108" t="s">
        <v>54</v>
      </c>
      <c r="Q3" s="108" t="s">
        <v>365</v>
      </c>
      <c r="R3" s="108" t="s">
        <v>63</v>
      </c>
      <c r="S3" s="108" t="s">
        <v>63</v>
      </c>
      <c r="T3" s="108" t="s">
        <v>63</v>
      </c>
    </row>
    <row r="4" spans="2:21">
      <c r="B4" s="110" t="s">
        <v>376</v>
      </c>
      <c r="C4" s="111"/>
      <c r="D4" s="110"/>
      <c r="E4" s="112"/>
      <c r="F4" s="108" t="s">
        <v>148</v>
      </c>
      <c r="G4" s="108" t="s">
        <v>146</v>
      </c>
      <c r="H4" s="108" t="s">
        <v>363</v>
      </c>
      <c r="I4" s="108" t="s">
        <v>54</v>
      </c>
      <c r="J4" s="108" t="s">
        <v>54</v>
      </c>
      <c r="K4" s="108" t="s">
        <v>54</v>
      </c>
      <c r="L4" s="108" t="s">
        <v>364</v>
      </c>
      <c r="M4" s="108" t="s">
        <v>377</v>
      </c>
      <c r="N4" s="108" t="s">
        <v>378</v>
      </c>
      <c r="O4" s="108" t="s">
        <v>63</v>
      </c>
      <c r="P4" s="108" t="s">
        <v>161</v>
      </c>
      <c r="Q4" s="108" t="s">
        <v>365</v>
      </c>
      <c r="R4" s="108" t="s">
        <v>132</v>
      </c>
      <c r="S4" s="109" t="s">
        <v>152</v>
      </c>
      <c r="T4" s="108" t="s">
        <v>377</v>
      </c>
    </row>
    <row r="5" s="93" customFormat="1" ht="26.4" spans="2:21">
      <c r="B5" s="110" t="s">
        <v>379</v>
      </c>
      <c r="C5" s="111"/>
      <c r="D5" s="110"/>
      <c r="E5" s="112" t="s">
        <v>380</v>
      </c>
      <c r="F5" s="108" t="s">
        <v>149</v>
      </c>
      <c r="G5" s="108" t="s">
        <v>148</v>
      </c>
      <c r="H5" s="108" t="s">
        <v>381</v>
      </c>
      <c r="I5" s="108" t="s">
        <v>162</v>
      </c>
      <c r="J5" s="108" t="s">
        <v>162</v>
      </c>
      <c r="K5" s="108" t="s">
        <v>51</v>
      </c>
      <c r="L5" s="108" t="s">
        <v>382</v>
      </c>
      <c r="M5" s="108" t="s">
        <v>63</v>
      </c>
      <c r="N5" s="108" t="s">
        <v>63</v>
      </c>
      <c r="O5" s="109" t="s">
        <v>157</v>
      </c>
      <c r="P5" s="108" t="s">
        <v>54</v>
      </c>
      <c r="Q5" s="108" t="s">
        <v>383</v>
      </c>
      <c r="R5" s="108" t="s">
        <v>63</v>
      </c>
      <c r="S5" s="108" t="s">
        <v>63</v>
      </c>
      <c r="T5" s="108" t="s">
        <v>63</v>
      </c>
    </row>
    <row r="6" s="93" customFormat="1" spans="2:21">
      <c r="B6" s="113"/>
      <c r="C6" s="114"/>
      <c r="D6" s="113"/>
      <c r="E6" s="115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</row>
    <row r="7" s="93" customFormat="1" spans="2:21">
      <c r="B7" s="113" t="s">
        <v>384</v>
      </c>
      <c r="C7" s="114" t="s">
        <v>385</v>
      </c>
      <c r="D7" s="117">
        <v>1419</v>
      </c>
      <c r="E7" s="115"/>
      <c r="F7" s="108" t="s">
        <v>149</v>
      </c>
      <c r="G7" s="108" t="s">
        <v>146</v>
      </c>
      <c r="H7" s="108" t="s">
        <v>363</v>
      </c>
      <c r="I7" s="108" t="s">
        <v>54</v>
      </c>
      <c r="J7" s="108" t="s">
        <v>54</v>
      </c>
      <c r="K7" s="108" t="s">
        <v>54</v>
      </c>
      <c r="L7" s="108" t="s">
        <v>364</v>
      </c>
      <c r="M7" s="108" t="s">
        <v>63</v>
      </c>
      <c r="N7" s="108" t="s">
        <v>378</v>
      </c>
      <c r="O7" s="109" t="s">
        <v>63</v>
      </c>
      <c r="P7" s="108" t="s">
        <v>54</v>
      </c>
      <c r="Q7" s="108" t="s">
        <v>365</v>
      </c>
      <c r="R7" s="108" t="s">
        <v>63</v>
      </c>
      <c r="S7" s="109" t="s">
        <v>386</v>
      </c>
      <c r="T7" s="108" t="s">
        <v>63</v>
      </c>
    </row>
    <row r="8" s="94" customFormat="1" spans="2:21">
      <c r="B8" s="118"/>
      <c r="C8" s="114" t="s">
        <v>387</v>
      </c>
      <c r="D8" s="117" t="e">
        <f>项目基准价!C13*PRODUCT(赋权表!F8:T8)</f>
        <v>#REF!</v>
      </c>
      <c r="E8" s="115" t="e">
        <f>D7/D8-1</f>
        <v>#REF!</v>
      </c>
      <c r="F8" s="119" t="e">
        <f>【1】定价因子!#REF!</f>
        <v>#REF!</v>
      </c>
      <c r="G8" s="119">
        <f>【1】定价因子!F60</f>
        <v>1</v>
      </c>
      <c r="H8" s="119">
        <f>【1】定价因子!F6</f>
        <v>0.96</v>
      </c>
      <c r="I8" s="119">
        <f>【1】定价因子!F68</f>
        <v>1</v>
      </c>
      <c r="J8" s="119">
        <f>【1】定价因子!F72</f>
        <v>1</v>
      </c>
      <c r="K8" s="119">
        <f>【1】定价因子!F8</f>
        <v>1</v>
      </c>
      <c r="L8" s="119" t="e">
        <f>【1】定价因子!#REF!</f>
        <v>#REF!</v>
      </c>
      <c r="M8" s="119" t="e">
        <f>【1】定价因子!#REF!</f>
        <v>#REF!</v>
      </c>
      <c r="N8" s="119">
        <f>【1】定价因子!F10</f>
        <v>1.06</v>
      </c>
      <c r="O8" s="119" t="e">
        <f>【1】定价因子!#REF!</f>
        <v>#REF!</v>
      </c>
      <c r="P8" s="119" t="e">
        <f>【1】定价因子!#REF!</f>
        <v>#REF!</v>
      </c>
      <c r="Q8" s="119">
        <f>【1】定价因子!F20</f>
        <v>1</v>
      </c>
      <c r="R8" s="119">
        <f>【1】定价因子!F38</f>
        <v>1</v>
      </c>
      <c r="S8" s="119">
        <f>【1】定价因子!F44</f>
        <v>1</v>
      </c>
      <c r="T8" s="119">
        <f>【1】定价因子!F66</f>
        <v>1</v>
      </c>
    </row>
    <row r="9" s="93" customFormat="1" ht="26.4" spans="2:21">
      <c r="B9" s="113" t="s">
        <v>388</v>
      </c>
      <c r="C9" s="114" t="s">
        <v>385</v>
      </c>
      <c r="D9" s="117">
        <v>1469</v>
      </c>
      <c r="E9" s="115"/>
      <c r="F9" s="116" t="s">
        <v>150</v>
      </c>
      <c r="G9" s="108" t="s">
        <v>146</v>
      </c>
      <c r="H9" s="108" t="s">
        <v>381</v>
      </c>
      <c r="I9" s="108" t="s">
        <v>54</v>
      </c>
      <c r="J9" s="108" t="s">
        <v>54</v>
      </c>
      <c r="K9" s="108" t="s">
        <v>54</v>
      </c>
      <c r="L9" s="108" t="s">
        <v>364</v>
      </c>
      <c r="M9" s="108" t="s">
        <v>63</v>
      </c>
      <c r="N9" s="108" t="s">
        <v>378</v>
      </c>
      <c r="O9" s="109" t="s">
        <v>63</v>
      </c>
      <c r="P9" s="108" t="s">
        <v>54</v>
      </c>
      <c r="Q9" s="108" t="s">
        <v>389</v>
      </c>
      <c r="R9" s="108" t="s">
        <v>132</v>
      </c>
      <c r="S9" s="109" t="s">
        <v>390</v>
      </c>
      <c r="T9" s="109" t="s">
        <v>377</v>
      </c>
    </row>
    <row r="10" s="94" customFormat="1" spans="2:21">
      <c r="B10" s="118"/>
      <c r="C10" s="114" t="s">
        <v>387</v>
      </c>
      <c r="D10" s="117" t="e">
        <f>项目基准价!C13*PRODUCT(赋权表!F10:T10)</f>
        <v>#REF!</v>
      </c>
      <c r="E10" s="115" t="e">
        <f>D9/D10-1</f>
        <v>#REF!</v>
      </c>
      <c r="F10" s="119" t="e">
        <f>【1】定价因子!#REF!</f>
        <v>#REF!</v>
      </c>
      <c r="G10" s="119">
        <f>【1】定价因子!F60</f>
        <v>1</v>
      </c>
      <c r="H10" s="119" t="e">
        <f>【1】定价因子!#REF!</f>
        <v>#REF!</v>
      </c>
      <c r="I10" s="119">
        <f>I8</f>
        <v>1</v>
      </c>
      <c r="J10" s="119">
        <f t="shared" ref="J10:P10" si="0">J8</f>
        <v>1</v>
      </c>
      <c r="K10" s="119">
        <f t="shared" si="0"/>
        <v>1</v>
      </c>
      <c r="L10" s="119" t="e">
        <f t="shared" si="0"/>
        <v>#REF!</v>
      </c>
      <c r="M10" s="119" t="e">
        <f t="shared" si="0"/>
        <v>#REF!</v>
      </c>
      <c r="N10" s="119">
        <f t="shared" si="0"/>
        <v>1.06</v>
      </c>
      <c r="O10" s="119" t="e">
        <f t="shared" si="0"/>
        <v>#REF!</v>
      </c>
      <c r="P10" s="119" t="e">
        <f t="shared" si="0"/>
        <v>#REF!</v>
      </c>
      <c r="Q10" s="119">
        <f>【1】定价因子!F19</f>
        <v>1.01</v>
      </c>
      <c r="R10" s="119">
        <f>【1】定价因子!F39</f>
        <v>1.04</v>
      </c>
      <c r="S10" s="119">
        <f>【1】定价因子!F42</f>
        <v>1.06</v>
      </c>
      <c r="T10" s="119">
        <f>【1】定价因子!F64</f>
        <v>1.045</v>
      </c>
    </row>
    <row r="11" s="94" customFormat="1" ht="13.8" spans="2:21">
      <c r="B11" s="118" t="s">
        <v>391</v>
      </c>
      <c r="C11" s="114" t="s">
        <v>385</v>
      </c>
      <c r="D11" s="117">
        <v>1470</v>
      </c>
      <c r="E11" s="115"/>
      <c r="F11" s="108" t="s">
        <v>149</v>
      </c>
      <c r="G11" s="108" t="s">
        <v>146</v>
      </c>
      <c r="H11" s="120" t="s">
        <v>392</v>
      </c>
      <c r="I11" s="108" t="s">
        <v>54</v>
      </c>
      <c r="J11" s="108" t="s">
        <v>54</v>
      </c>
      <c r="K11" s="120" t="s">
        <v>51</v>
      </c>
      <c r="L11" s="108" t="s">
        <v>382</v>
      </c>
      <c r="M11" s="108" t="s">
        <v>63</v>
      </c>
      <c r="N11" s="109" t="s">
        <v>63</v>
      </c>
      <c r="O11" s="109" t="s">
        <v>63</v>
      </c>
      <c r="P11" s="108" t="s">
        <v>161</v>
      </c>
      <c r="Q11" s="121" t="s">
        <v>393</v>
      </c>
      <c r="R11" s="108" t="s">
        <v>63</v>
      </c>
      <c r="S11" s="122" t="s">
        <v>390</v>
      </c>
      <c r="T11" s="123" t="s">
        <v>63</v>
      </c>
    </row>
    <row r="12" s="94" customFormat="1" ht="13.8" spans="2:21">
      <c r="B12" s="118"/>
      <c r="C12" s="114" t="s">
        <v>387</v>
      </c>
      <c r="D12" s="117" t="e">
        <f>项目基准价!$C$13*PRODUCT(赋权表!F12:T12)</f>
        <v>#REF!</v>
      </c>
      <c r="E12" s="115" t="e">
        <f>D11/D12-1</f>
        <v>#REF!</v>
      </c>
      <c r="F12" s="124" t="e">
        <f>F8</f>
        <v>#REF!</v>
      </c>
      <c r="G12" s="124">
        <f>G8</f>
        <v>1</v>
      </c>
      <c r="H12" s="125">
        <f>【1】定价因子!F2</f>
        <v>1.04</v>
      </c>
      <c r="I12" s="124">
        <f>I8</f>
        <v>1</v>
      </c>
      <c r="J12" s="124">
        <f>J8</f>
        <v>1</v>
      </c>
      <c r="K12" s="125">
        <f>【1】定价因子!F7</f>
        <v>1.05</v>
      </c>
      <c r="L12" s="116" t="e">
        <f>【1】定价因子!#REF!</f>
        <v>#REF!</v>
      </c>
      <c r="M12" s="124" t="e">
        <f>M8</f>
        <v>#REF!</v>
      </c>
      <c r="N12" s="124">
        <v>1</v>
      </c>
      <c r="O12" s="126" t="e">
        <f>O8</f>
        <v>#REF!</v>
      </c>
      <c r="P12" s="116" t="e">
        <f>【1】定价因子!#REF!</f>
        <v>#REF!</v>
      </c>
      <c r="Q12" s="119">
        <f>【1】定价因子!F32</f>
        <v>1.03</v>
      </c>
      <c r="R12" s="124">
        <f>R8</f>
        <v>1</v>
      </c>
      <c r="S12" s="125">
        <f>【1】定价因子!F42</f>
        <v>1.06</v>
      </c>
      <c r="T12" s="127">
        <f>T8</f>
        <v>1</v>
      </c>
    </row>
    <row r="13" s="93" customFormat="1" spans="2:21">
      <c r="B13" s="113" t="s">
        <v>394</v>
      </c>
      <c r="C13" s="114" t="s">
        <v>385</v>
      </c>
      <c r="D13" s="117">
        <v>1509</v>
      </c>
      <c r="E13" s="115"/>
      <c r="F13" s="108" t="s">
        <v>149</v>
      </c>
      <c r="G13" s="108" t="s">
        <v>146</v>
      </c>
      <c r="H13" s="108" t="s">
        <v>363</v>
      </c>
      <c r="I13" s="108" t="s">
        <v>54</v>
      </c>
      <c r="J13" s="108" t="s">
        <v>54</v>
      </c>
      <c r="K13" s="108" t="s">
        <v>54</v>
      </c>
      <c r="L13" s="108" t="s">
        <v>382</v>
      </c>
      <c r="M13" s="108" t="s">
        <v>63</v>
      </c>
      <c r="N13" s="116" t="s">
        <v>58</v>
      </c>
      <c r="O13" s="109" t="s">
        <v>63</v>
      </c>
      <c r="P13" s="108" t="s">
        <v>54</v>
      </c>
      <c r="Q13" s="108" t="s">
        <v>365</v>
      </c>
      <c r="R13" s="108" t="s">
        <v>132</v>
      </c>
      <c r="S13" s="109" t="s">
        <v>390</v>
      </c>
      <c r="T13" s="108" t="s">
        <v>63</v>
      </c>
      <c r="U13" s="93">
        <f>70/1300</f>
        <v>0.0538461538461538</v>
      </c>
    </row>
    <row r="14" s="93" customFormat="1" spans="2:21">
      <c r="B14" s="113"/>
      <c r="C14" s="114" t="s">
        <v>387</v>
      </c>
      <c r="D14" s="117" t="e">
        <f>项目基准价!$C$13*PRODUCT(赋权表!F14:T14)</f>
        <v>#REF!</v>
      </c>
      <c r="E14" s="115" t="e">
        <f>D13/D14-1</f>
        <v>#REF!</v>
      </c>
      <c r="F14" s="124" t="e">
        <f t="shared" ref="F14:K14" si="1">F8</f>
        <v>#REF!</v>
      </c>
      <c r="G14" s="124">
        <f t="shared" si="1"/>
        <v>1</v>
      </c>
      <c r="H14" s="124">
        <f t="shared" si="1"/>
        <v>0.96</v>
      </c>
      <c r="I14" s="124">
        <f t="shared" si="1"/>
        <v>1</v>
      </c>
      <c r="J14" s="124">
        <f t="shared" si="1"/>
        <v>1</v>
      </c>
      <c r="K14" s="124">
        <f t="shared" si="1"/>
        <v>1</v>
      </c>
      <c r="L14" s="116" t="e">
        <f>L12</f>
        <v>#REF!</v>
      </c>
      <c r="M14" s="124" t="e">
        <f>M8</f>
        <v>#REF!</v>
      </c>
      <c r="N14" s="116">
        <f>【1】定价因子!F9</f>
        <v>1.1</v>
      </c>
      <c r="O14" s="124" t="e">
        <f>O8</f>
        <v>#REF!</v>
      </c>
      <c r="P14" s="124" t="e">
        <f>P8</f>
        <v>#REF!</v>
      </c>
      <c r="Q14" s="124">
        <f>Q8</f>
        <v>1</v>
      </c>
      <c r="R14" s="124">
        <f>R10</f>
        <v>1.04</v>
      </c>
      <c r="S14" s="124">
        <f>S10</f>
        <v>1.06</v>
      </c>
      <c r="T14" s="124">
        <f>T8</f>
        <v>1</v>
      </c>
    </row>
    <row r="15" s="93" customFormat="1" ht="26.4" spans="2:21">
      <c r="B15" s="113" t="s">
        <v>395</v>
      </c>
      <c r="C15" s="114" t="s">
        <v>385</v>
      </c>
      <c r="D15" s="128">
        <v>1519</v>
      </c>
      <c r="E15" s="115"/>
      <c r="F15" s="108" t="s">
        <v>149</v>
      </c>
      <c r="G15" s="108" t="s">
        <v>146</v>
      </c>
      <c r="H15" s="108" t="s">
        <v>381</v>
      </c>
      <c r="I15" s="108" t="s">
        <v>54</v>
      </c>
      <c r="J15" s="108" t="s">
        <v>54</v>
      </c>
      <c r="K15" s="108" t="s">
        <v>54</v>
      </c>
      <c r="L15" s="108" t="s">
        <v>364</v>
      </c>
      <c r="M15" s="108" t="s">
        <v>63</v>
      </c>
      <c r="N15" s="108" t="s">
        <v>378</v>
      </c>
      <c r="O15" s="108" t="s">
        <v>63</v>
      </c>
      <c r="P15" s="108" t="s">
        <v>54</v>
      </c>
      <c r="Q15" s="129" t="s">
        <v>396</v>
      </c>
      <c r="R15" s="108" t="s">
        <v>63</v>
      </c>
      <c r="S15" s="126" t="s">
        <v>397</v>
      </c>
      <c r="T15" s="108" t="s">
        <v>63</v>
      </c>
    </row>
    <row r="16" s="93" customFormat="1" spans="2:21">
      <c r="B16" s="113"/>
      <c r="C16" s="114" t="s">
        <v>387</v>
      </c>
      <c r="D16" s="117" t="e">
        <f>项目基准价!$C$15*PRODUCT(赋权表!F16:T16)</f>
        <v>#REF!</v>
      </c>
      <c r="E16" s="130" t="e">
        <f>D15/D16-1</f>
        <v>#REF!</v>
      </c>
      <c r="F16" s="124" t="e">
        <f>F14</f>
        <v>#REF!</v>
      </c>
      <c r="G16" s="124">
        <f>G14</f>
        <v>1</v>
      </c>
      <c r="H16" s="124" t="e">
        <f t="shared" ref="H16:P16" si="2">H10</f>
        <v>#REF!</v>
      </c>
      <c r="I16" s="124">
        <f t="shared" si="2"/>
        <v>1</v>
      </c>
      <c r="J16" s="124">
        <f t="shared" si="2"/>
        <v>1</v>
      </c>
      <c r="K16" s="124">
        <f t="shared" si="2"/>
        <v>1</v>
      </c>
      <c r="L16" s="124" t="e">
        <f t="shared" si="2"/>
        <v>#REF!</v>
      </c>
      <c r="M16" s="124" t="e">
        <f t="shared" si="2"/>
        <v>#REF!</v>
      </c>
      <c r="N16" s="124">
        <f t="shared" si="2"/>
        <v>1.06</v>
      </c>
      <c r="O16" s="124" t="e">
        <f t="shared" si="2"/>
        <v>#REF!</v>
      </c>
      <c r="P16" s="124" t="e">
        <f t="shared" si="2"/>
        <v>#REF!</v>
      </c>
      <c r="Q16" s="124">
        <f>【1】定价因子!F27</f>
        <v>0.87</v>
      </c>
      <c r="R16" s="124">
        <f>R8</f>
        <v>1</v>
      </c>
      <c r="S16" s="126">
        <f>【1】定价因子!F45</f>
        <v>0.96</v>
      </c>
      <c r="T16" s="124">
        <f>T8</f>
        <v>1</v>
      </c>
    </row>
    <row r="17" s="93" customFormat="1" ht="26.4" spans="1:20">
      <c r="B17" s="113" t="s">
        <v>398</v>
      </c>
      <c r="C17" s="114" t="s">
        <v>385</v>
      </c>
      <c r="D17" s="117">
        <v>1099</v>
      </c>
      <c r="E17" s="115"/>
      <c r="F17" s="108" t="s">
        <v>149</v>
      </c>
      <c r="G17" s="108" t="s">
        <v>146</v>
      </c>
      <c r="H17" s="108" t="s">
        <v>381</v>
      </c>
      <c r="I17" s="108" t="s">
        <v>54</v>
      </c>
      <c r="J17" s="108" t="s">
        <v>54</v>
      </c>
      <c r="K17" s="108" t="s">
        <v>54</v>
      </c>
      <c r="L17" s="108" t="s">
        <v>364</v>
      </c>
      <c r="M17" s="108" t="s">
        <v>63</v>
      </c>
      <c r="N17" s="124" t="s">
        <v>65</v>
      </c>
      <c r="O17" s="108" t="s">
        <v>63</v>
      </c>
      <c r="P17" s="108" t="s">
        <v>54</v>
      </c>
      <c r="Q17" s="129" t="s">
        <v>396</v>
      </c>
      <c r="R17" s="108" t="s">
        <v>63</v>
      </c>
      <c r="S17" s="126" t="s">
        <v>397</v>
      </c>
      <c r="T17" s="108" t="s">
        <v>63</v>
      </c>
    </row>
    <row r="18" s="93" customFormat="1" spans="1:20">
      <c r="B18" s="113"/>
      <c r="C18" s="114" t="s">
        <v>387</v>
      </c>
      <c r="D18" s="117" t="e">
        <f>项目基准价!$C$13*PRODUCT(赋权表!F18:T18)</f>
        <v>#REF!</v>
      </c>
      <c r="E18" s="130" t="e">
        <f>D17/D18-1</f>
        <v>#REF!</v>
      </c>
      <c r="F18" s="124" t="e">
        <f>F16</f>
        <v>#REF!</v>
      </c>
      <c r="G18" s="124">
        <f t="shared" ref="G18:M18" si="3">G16</f>
        <v>1</v>
      </c>
      <c r="H18" s="124" t="e">
        <f t="shared" si="3"/>
        <v>#REF!</v>
      </c>
      <c r="I18" s="124">
        <f t="shared" si="3"/>
        <v>1</v>
      </c>
      <c r="J18" s="124">
        <f t="shared" si="3"/>
        <v>1</v>
      </c>
      <c r="K18" s="124">
        <f t="shared" si="3"/>
        <v>1</v>
      </c>
      <c r="L18" s="124" t="e">
        <f t="shared" si="3"/>
        <v>#REF!</v>
      </c>
      <c r="M18" s="124" t="e">
        <f t="shared" si="3"/>
        <v>#REF!</v>
      </c>
      <c r="N18" s="124">
        <f>【1】定价因子!F12</f>
        <v>0.95</v>
      </c>
      <c r="O18" s="124" t="e">
        <f>O16</f>
        <v>#REF!</v>
      </c>
      <c r="P18" s="124" t="e">
        <f t="shared" ref="P18:T18" si="4">P16</f>
        <v>#REF!</v>
      </c>
      <c r="Q18" s="124">
        <f t="shared" si="4"/>
        <v>0.87</v>
      </c>
      <c r="R18" s="124">
        <f t="shared" si="4"/>
        <v>1</v>
      </c>
      <c r="S18" s="124">
        <f t="shared" si="4"/>
        <v>0.96</v>
      </c>
      <c r="T18" s="124">
        <f t="shared" si="4"/>
        <v>1</v>
      </c>
    </row>
    <row r="19" s="93" customFormat="1" spans="1:20">
      <c r="B19" s="113" t="s">
        <v>399</v>
      </c>
      <c r="C19" s="114" t="s">
        <v>385</v>
      </c>
      <c r="D19" s="117">
        <v>2199</v>
      </c>
      <c r="E19" s="115"/>
      <c r="F19" s="108" t="s">
        <v>149</v>
      </c>
      <c r="G19" s="108" t="s">
        <v>146</v>
      </c>
      <c r="H19" s="124" t="s">
        <v>400</v>
      </c>
      <c r="I19" s="108" t="s">
        <v>54</v>
      </c>
      <c r="J19" s="108" t="s">
        <v>54</v>
      </c>
      <c r="K19" s="126" t="s">
        <v>51</v>
      </c>
      <c r="L19" s="108" t="s">
        <v>382</v>
      </c>
      <c r="M19" s="108" t="s">
        <v>63</v>
      </c>
      <c r="N19" s="116" t="s">
        <v>58</v>
      </c>
      <c r="O19" s="109" t="s">
        <v>63</v>
      </c>
      <c r="P19" s="108" t="s">
        <v>54</v>
      </c>
      <c r="Q19" s="129" t="s">
        <v>401</v>
      </c>
      <c r="R19" s="108" t="s">
        <v>63</v>
      </c>
      <c r="S19" s="131" t="s">
        <v>390</v>
      </c>
      <c r="T19" s="109" t="s">
        <v>154</v>
      </c>
    </row>
    <row r="20" s="93" customFormat="1" spans="1:20">
      <c r="B20" s="113"/>
      <c r="C20" s="114" t="s">
        <v>387</v>
      </c>
      <c r="D20" s="117" t="e">
        <f>项目基准价!$C$15*PRODUCT(赋权表!F20:T20)</f>
        <v>#REF!</v>
      </c>
      <c r="E20" s="115" t="e">
        <f>D19/D20-1</f>
        <v>#REF!</v>
      </c>
      <c r="F20" s="124" t="e">
        <f>F18</f>
        <v>#REF!</v>
      </c>
      <c r="G20" s="124">
        <f>G18</f>
        <v>1</v>
      </c>
      <c r="H20" s="124" t="e">
        <f>【1】定价因子!#REF!</f>
        <v>#REF!</v>
      </c>
      <c r="I20" s="124">
        <f>I12</f>
        <v>1</v>
      </c>
      <c r="J20" s="124">
        <f>J12</f>
        <v>1</v>
      </c>
      <c r="K20" s="124">
        <f>K12</f>
        <v>1.05</v>
      </c>
      <c r="L20" s="124" t="e">
        <f>L12</f>
        <v>#REF!</v>
      </c>
      <c r="M20" s="124" t="e">
        <f>M12</f>
        <v>#REF!</v>
      </c>
      <c r="N20" s="124">
        <f>N14</f>
        <v>1.1</v>
      </c>
      <c r="O20" s="124" t="e">
        <f t="shared" ref="O20:P20" si="5">O14</f>
        <v>#REF!</v>
      </c>
      <c r="P20" s="124" t="e">
        <f t="shared" si="5"/>
        <v>#REF!</v>
      </c>
      <c r="Q20" s="124">
        <f>Q12</f>
        <v>1.03</v>
      </c>
      <c r="R20" s="124">
        <f>R12</f>
        <v>1</v>
      </c>
      <c r="S20" s="124">
        <f>S14</f>
        <v>1.06</v>
      </c>
      <c r="T20" s="124">
        <f>【1】定价因子!F65</f>
        <v>1.02</v>
      </c>
    </row>
    <row r="21" s="93" customFormat="1" ht="13.8" spans="1:20">
      <c r="B21" s="132" t="s">
        <v>402</v>
      </c>
      <c r="C21" s="114" t="s">
        <v>385</v>
      </c>
      <c r="D21" s="117">
        <v>839</v>
      </c>
      <c r="E21" s="115"/>
      <c r="F21" s="108" t="s">
        <v>149</v>
      </c>
      <c r="G21" s="108" t="s">
        <v>146</v>
      </c>
      <c r="H21" s="124" t="s">
        <v>400</v>
      </c>
      <c r="I21" s="108" t="s">
        <v>54</v>
      </c>
      <c r="J21" s="108" t="s">
        <v>54</v>
      </c>
      <c r="K21" s="126" t="s">
        <v>51</v>
      </c>
      <c r="L21" s="108" t="s">
        <v>382</v>
      </c>
      <c r="M21" s="108" t="s">
        <v>63</v>
      </c>
      <c r="N21" s="133" t="s">
        <v>403</v>
      </c>
      <c r="O21" s="109" t="s">
        <v>63</v>
      </c>
      <c r="P21" s="108" t="s">
        <v>54</v>
      </c>
      <c r="Q21" s="129" t="s">
        <v>401</v>
      </c>
      <c r="R21" s="133" t="s">
        <v>404</v>
      </c>
      <c r="S21" s="131" t="s">
        <v>390</v>
      </c>
      <c r="T21" s="109" t="s">
        <v>154</v>
      </c>
    </row>
    <row r="22" s="93" customFormat="1" spans="1:20">
      <c r="B22" s="113"/>
      <c r="C22" s="114" t="s">
        <v>387</v>
      </c>
      <c r="D22" s="128" t="e">
        <f>项目基准价!$C$14*PRODUCT(赋权表!F22:T22)</f>
        <v>#REF!</v>
      </c>
      <c r="E22" s="130" t="e">
        <f>D21/D22-1</f>
        <v>#REF!</v>
      </c>
      <c r="F22" s="124" t="e">
        <f>F20</f>
        <v>#REF!</v>
      </c>
      <c r="G22" s="124">
        <f t="shared" ref="G22:M22" si="6">G20</f>
        <v>1</v>
      </c>
      <c r="H22" s="124" t="e">
        <f t="shared" si="6"/>
        <v>#REF!</v>
      </c>
      <c r="I22" s="124">
        <f t="shared" si="6"/>
        <v>1</v>
      </c>
      <c r="J22" s="124">
        <f t="shared" si="6"/>
        <v>1</v>
      </c>
      <c r="K22" s="124">
        <f t="shared" si="6"/>
        <v>1.05</v>
      </c>
      <c r="L22" s="124" t="e">
        <f t="shared" si="6"/>
        <v>#REF!</v>
      </c>
      <c r="M22" s="124" t="e">
        <f t="shared" si="6"/>
        <v>#REF!</v>
      </c>
      <c r="N22" s="134">
        <v>0.86</v>
      </c>
      <c r="O22" s="124" t="e">
        <f>O20</f>
        <v>#REF!</v>
      </c>
      <c r="P22" s="124" t="e">
        <f>P20</f>
        <v>#REF!</v>
      </c>
      <c r="Q22" s="124">
        <f>Q20</f>
        <v>1.03</v>
      </c>
      <c r="R22" s="134">
        <v>0.9</v>
      </c>
      <c r="S22" s="124">
        <f>S20</f>
        <v>1.06</v>
      </c>
      <c r="T22" s="124">
        <f>T20</f>
        <v>1.02</v>
      </c>
    </row>
    <row r="23" s="93" customFormat="1" spans="1:20">
      <c r="B23" s="113" t="s">
        <v>405</v>
      </c>
      <c r="C23" s="114" t="s">
        <v>385</v>
      </c>
      <c r="D23" s="117">
        <v>1379</v>
      </c>
      <c r="E23" s="115"/>
      <c r="F23" s="108" t="s">
        <v>149</v>
      </c>
      <c r="G23" s="108" t="s">
        <v>146</v>
      </c>
      <c r="H23" s="120" t="s">
        <v>392</v>
      </c>
      <c r="I23" s="108" t="s">
        <v>54</v>
      </c>
      <c r="J23" s="108" t="s">
        <v>54</v>
      </c>
      <c r="K23" s="120" t="s">
        <v>51</v>
      </c>
      <c r="L23" s="108" t="s">
        <v>382</v>
      </c>
      <c r="M23" s="108" t="s">
        <v>63</v>
      </c>
      <c r="N23" s="108" t="s">
        <v>63</v>
      </c>
      <c r="O23" s="109" t="s">
        <v>63</v>
      </c>
      <c r="P23" s="108" t="s">
        <v>161</v>
      </c>
      <c r="Q23" s="129" t="s">
        <v>406</v>
      </c>
      <c r="R23" s="108" t="s">
        <v>63</v>
      </c>
      <c r="S23" s="131" t="s">
        <v>390</v>
      </c>
      <c r="T23" s="108" t="s">
        <v>63</v>
      </c>
    </row>
    <row r="24" s="93" customFormat="1" spans="1:20">
      <c r="B24" s="113"/>
      <c r="C24" s="114" t="s">
        <v>387</v>
      </c>
      <c r="D24" s="117" t="e">
        <f>项目基准价!$C$14*PRODUCT(赋权表!F24:T24)</f>
        <v>#REF!</v>
      </c>
      <c r="E24" s="115" t="e">
        <f>D23/D24-1</f>
        <v>#REF!</v>
      </c>
      <c r="F24" s="124" t="e">
        <f>F12</f>
        <v>#REF!</v>
      </c>
      <c r="G24" s="124">
        <f>G12</f>
        <v>1</v>
      </c>
      <c r="H24" s="124">
        <f t="shared" ref="H24:N24" si="7">H12</f>
        <v>1.04</v>
      </c>
      <c r="I24" s="124">
        <f t="shared" si="7"/>
        <v>1</v>
      </c>
      <c r="J24" s="124">
        <f t="shared" si="7"/>
        <v>1</v>
      </c>
      <c r="K24" s="124">
        <f t="shared" si="7"/>
        <v>1.05</v>
      </c>
      <c r="L24" s="124" t="e">
        <f t="shared" si="7"/>
        <v>#REF!</v>
      </c>
      <c r="M24" s="124" t="e">
        <f t="shared" si="7"/>
        <v>#REF!</v>
      </c>
      <c r="N24" s="124">
        <f t="shared" si="7"/>
        <v>1</v>
      </c>
      <c r="O24" s="126" t="e">
        <f>O22</f>
        <v>#REF!</v>
      </c>
      <c r="P24" s="116" t="e">
        <f>P12</f>
        <v>#REF!</v>
      </c>
      <c r="Q24" s="124">
        <f>【1】定价因子!F31</f>
        <v>1.02</v>
      </c>
      <c r="R24" s="124">
        <f>R12</f>
        <v>1</v>
      </c>
      <c r="S24" s="124">
        <f t="shared" ref="S24:T24" si="8">S12</f>
        <v>1.06</v>
      </c>
      <c r="T24" s="124">
        <f t="shared" si="8"/>
        <v>1</v>
      </c>
    </row>
    <row r="25" s="93" customFormat="1" spans="1:20">
      <c r="A25" s="93" t="s">
        <v>407</v>
      </c>
      <c r="B25" s="113" t="s">
        <v>408</v>
      </c>
      <c r="C25" s="114" t="s">
        <v>385</v>
      </c>
      <c r="D25" s="117">
        <v>1439</v>
      </c>
      <c r="E25" s="115"/>
      <c r="F25" s="108" t="s">
        <v>149</v>
      </c>
      <c r="G25" s="108" t="s">
        <v>146</v>
      </c>
      <c r="H25" s="108" t="s">
        <v>363</v>
      </c>
      <c r="I25" s="108" t="s">
        <v>54</v>
      </c>
      <c r="J25" s="108" t="s">
        <v>54</v>
      </c>
      <c r="K25" s="108" t="s">
        <v>54</v>
      </c>
      <c r="L25" s="108" t="s">
        <v>364</v>
      </c>
      <c r="M25" s="108" t="s">
        <v>63</v>
      </c>
      <c r="N25" s="108" t="s">
        <v>378</v>
      </c>
      <c r="O25" s="108" t="s">
        <v>63</v>
      </c>
      <c r="P25" s="135" t="s">
        <v>409</v>
      </c>
      <c r="Q25" s="124" t="s">
        <v>389</v>
      </c>
      <c r="R25" s="108" t="s">
        <v>63</v>
      </c>
      <c r="S25" s="131" t="s">
        <v>390</v>
      </c>
      <c r="T25" s="108" t="s">
        <v>63</v>
      </c>
    </row>
    <row r="26" s="93" customFormat="1" spans="1:20">
      <c r="B26" s="113"/>
      <c r="C26" s="114" t="s">
        <v>387</v>
      </c>
      <c r="D26" s="117" t="e">
        <f>项目基准价!$C$14*PRODUCT(赋权表!F26:T26)</f>
        <v>#REF!</v>
      </c>
      <c r="E26" s="115" t="e">
        <f>D25/D26-1</f>
        <v>#REF!</v>
      </c>
      <c r="F26" s="124" t="e">
        <f>F14</f>
        <v>#REF!</v>
      </c>
      <c r="G26" s="124">
        <f t="shared" ref="G26:M26" si="9">G14</f>
        <v>1</v>
      </c>
      <c r="H26" s="124">
        <f t="shared" si="9"/>
        <v>0.96</v>
      </c>
      <c r="I26" s="124">
        <f t="shared" si="9"/>
        <v>1</v>
      </c>
      <c r="J26" s="124">
        <f t="shared" si="9"/>
        <v>1</v>
      </c>
      <c r="K26" s="124">
        <f t="shared" si="9"/>
        <v>1</v>
      </c>
      <c r="L26" s="124" t="e">
        <f>L18</f>
        <v>#REF!</v>
      </c>
      <c r="M26" s="124" t="e">
        <f t="shared" si="9"/>
        <v>#REF!</v>
      </c>
      <c r="N26" s="124">
        <f>N16</f>
        <v>1.06</v>
      </c>
      <c r="O26" s="124" t="e">
        <f>O16</f>
        <v>#REF!</v>
      </c>
      <c r="P26" s="116">
        <f>【1】定价因子!F14</f>
        <v>1.07</v>
      </c>
      <c r="Q26" s="124">
        <f>【1】定价因子!F19</f>
        <v>1.01</v>
      </c>
      <c r="R26" s="124">
        <f>R24</f>
        <v>1</v>
      </c>
      <c r="S26" s="124">
        <f>S24</f>
        <v>1.06</v>
      </c>
      <c r="T26" s="124">
        <f t="shared" ref="T26" si="10">T24</f>
        <v>1</v>
      </c>
    </row>
    <row r="27" s="93" customFormat="1" spans="1:20">
      <c r="B27" s="113" t="s">
        <v>410</v>
      </c>
      <c r="C27" s="114" t="s">
        <v>385</v>
      </c>
      <c r="D27" s="117">
        <v>1799</v>
      </c>
      <c r="E27" s="115"/>
      <c r="F27" s="108" t="s">
        <v>149</v>
      </c>
      <c r="G27" s="108" t="s">
        <v>146</v>
      </c>
      <c r="H27" s="108" t="s">
        <v>363</v>
      </c>
      <c r="I27" s="108" t="s">
        <v>54</v>
      </c>
      <c r="J27" s="108" t="s">
        <v>54</v>
      </c>
      <c r="K27" s="108" t="s">
        <v>54</v>
      </c>
      <c r="L27" s="108" t="s">
        <v>364</v>
      </c>
      <c r="M27" s="108" t="s">
        <v>377</v>
      </c>
      <c r="N27" s="108" t="s">
        <v>63</v>
      </c>
      <c r="O27" s="109" t="s">
        <v>63</v>
      </c>
      <c r="P27" s="108" t="s">
        <v>54</v>
      </c>
      <c r="Q27" s="108" t="s">
        <v>411</v>
      </c>
      <c r="R27" s="108" t="s">
        <v>63</v>
      </c>
      <c r="S27" s="108" t="s">
        <v>63</v>
      </c>
      <c r="T27" s="108" t="s">
        <v>63</v>
      </c>
    </row>
    <row r="28" s="93" customFormat="1" spans="1:20">
      <c r="B28" s="113"/>
      <c r="C28" s="114" t="s">
        <v>387</v>
      </c>
      <c r="D28" s="117" t="e">
        <f>项目基准价!$C$15*PRODUCT(赋权表!F28:T28)</f>
        <v>#REF!</v>
      </c>
      <c r="E28" s="115" t="e">
        <f>D27/D28-1</f>
        <v>#REF!</v>
      </c>
      <c r="F28" s="124" t="e">
        <f>F26</f>
        <v>#REF!</v>
      </c>
      <c r="G28" s="124">
        <f t="shared" ref="G28:L28" si="11">G26</f>
        <v>1</v>
      </c>
      <c r="H28" s="124">
        <f t="shared" si="11"/>
        <v>0.96</v>
      </c>
      <c r="I28" s="124">
        <f t="shared" si="11"/>
        <v>1</v>
      </c>
      <c r="J28" s="124">
        <f t="shared" si="11"/>
        <v>1</v>
      </c>
      <c r="K28" s="124">
        <f t="shared" si="11"/>
        <v>1</v>
      </c>
      <c r="L28" s="124" t="e">
        <f t="shared" si="11"/>
        <v>#REF!</v>
      </c>
      <c r="M28" s="124" t="e">
        <f>【1】定价因子!#REF!</f>
        <v>#REF!</v>
      </c>
      <c r="N28" s="124">
        <f>N24</f>
        <v>1</v>
      </c>
      <c r="O28" s="124" t="e">
        <f t="shared" ref="O28" si="12">O24</f>
        <v>#REF!</v>
      </c>
      <c r="P28" s="124" t="e">
        <f>P22</f>
        <v>#REF!</v>
      </c>
      <c r="Q28" s="124">
        <f>【1】定价因子!F18</f>
        <v>1.02</v>
      </c>
      <c r="R28" s="124">
        <f>R26</f>
        <v>1</v>
      </c>
      <c r="S28" s="124">
        <f>【1】定价因子!F43</f>
        <v>1.03</v>
      </c>
      <c r="T28" s="124">
        <f>T26</f>
        <v>1</v>
      </c>
    </row>
    <row r="29" s="93" customFormat="1" spans="1:20">
      <c r="B29" s="113" t="s">
        <v>412</v>
      </c>
      <c r="C29" s="114" t="s">
        <v>385</v>
      </c>
      <c r="D29" s="117">
        <v>1999</v>
      </c>
      <c r="E29" s="115"/>
      <c r="F29" s="108" t="s">
        <v>149</v>
      </c>
      <c r="G29" s="108" t="s">
        <v>146</v>
      </c>
      <c r="H29" s="108" t="s">
        <v>363</v>
      </c>
      <c r="I29" s="108" t="s">
        <v>54</v>
      </c>
      <c r="J29" s="108" t="s">
        <v>54</v>
      </c>
      <c r="K29" s="108" t="s">
        <v>54</v>
      </c>
      <c r="L29" s="108" t="s">
        <v>364</v>
      </c>
      <c r="M29" s="108" t="s">
        <v>377</v>
      </c>
      <c r="N29" s="108" t="s">
        <v>63</v>
      </c>
      <c r="O29" s="109" t="s">
        <v>63</v>
      </c>
      <c r="P29" s="109" t="s">
        <v>163</v>
      </c>
      <c r="Q29" s="108" t="s">
        <v>411</v>
      </c>
      <c r="R29" s="108" t="s">
        <v>63</v>
      </c>
      <c r="S29" s="108" t="s">
        <v>63</v>
      </c>
      <c r="T29" s="109" t="s">
        <v>152</v>
      </c>
    </row>
    <row r="30" s="93" customFormat="1" spans="1:20">
      <c r="B30" s="113"/>
      <c r="C30" s="114" t="s">
        <v>387</v>
      </c>
      <c r="D30" s="117" t="e">
        <f>项目基准价!$C$15*PRODUCT(赋权表!F30:T30)</f>
        <v>#REF!</v>
      </c>
      <c r="E30" s="115" t="e">
        <f>D29/D30-1</f>
        <v>#REF!</v>
      </c>
      <c r="F30" s="124" t="e">
        <f>F28</f>
        <v>#REF!</v>
      </c>
      <c r="G30" s="124">
        <f t="shared" ref="G30:O30" si="13">G28</f>
        <v>1</v>
      </c>
      <c r="H30" s="124">
        <f t="shared" si="13"/>
        <v>0.96</v>
      </c>
      <c r="I30" s="124">
        <f t="shared" si="13"/>
        <v>1</v>
      </c>
      <c r="J30" s="124">
        <f t="shared" si="13"/>
        <v>1</v>
      </c>
      <c r="K30" s="124">
        <f t="shared" si="13"/>
        <v>1</v>
      </c>
      <c r="L30" s="124" t="e">
        <f t="shared" si="13"/>
        <v>#REF!</v>
      </c>
      <c r="M30" s="124" t="e">
        <f t="shared" si="13"/>
        <v>#REF!</v>
      </c>
      <c r="N30" s="124">
        <f t="shared" si="13"/>
        <v>1</v>
      </c>
      <c r="O30" s="124" t="e">
        <f t="shared" si="13"/>
        <v>#REF!</v>
      </c>
      <c r="P30" s="124">
        <f>【1】定价因子!F15</f>
        <v>1</v>
      </c>
      <c r="Q30" s="124">
        <f>Q28</f>
        <v>1.02</v>
      </c>
      <c r="R30" s="124">
        <f t="shared" ref="R30:S30" si="14">R28</f>
        <v>1</v>
      </c>
      <c r="S30" s="124">
        <f t="shared" si="14"/>
        <v>1.03</v>
      </c>
      <c r="T30" s="124">
        <f>【1】定价因子!F64</f>
        <v>1.045</v>
      </c>
    </row>
    <row r="31" s="93" customFormat="1" ht="26.4" spans="1:20">
      <c r="B31" s="113" t="s">
        <v>413</v>
      </c>
      <c r="C31" s="114" t="s">
        <v>385</v>
      </c>
      <c r="D31" s="128">
        <v>1569</v>
      </c>
      <c r="E31" s="115"/>
      <c r="F31" s="108" t="s">
        <v>149</v>
      </c>
      <c r="G31" s="108" t="s">
        <v>146</v>
      </c>
      <c r="H31" s="108" t="s">
        <v>381</v>
      </c>
      <c r="I31" s="108" t="s">
        <v>54</v>
      </c>
      <c r="J31" s="108" t="s">
        <v>54</v>
      </c>
      <c r="K31" s="108" t="s">
        <v>54</v>
      </c>
      <c r="L31" s="108" t="s">
        <v>364</v>
      </c>
      <c r="M31" s="108" t="s">
        <v>63</v>
      </c>
      <c r="N31" s="108" t="s">
        <v>63</v>
      </c>
      <c r="O31" s="109" t="s">
        <v>63</v>
      </c>
      <c r="P31" s="109" t="s">
        <v>163</v>
      </c>
      <c r="Q31" s="124" t="s">
        <v>389</v>
      </c>
      <c r="R31" s="131" t="s">
        <v>112</v>
      </c>
      <c r="S31" s="109" t="s">
        <v>386</v>
      </c>
      <c r="T31" s="108" t="s">
        <v>63</v>
      </c>
    </row>
    <row r="32" s="93" customFormat="1" spans="1:20">
      <c r="A32" s="93" t="s">
        <v>414</v>
      </c>
      <c r="B32" s="113"/>
      <c r="C32" s="114" t="s">
        <v>387</v>
      </c>
      <c r="D32" s="117" t="e">
        <f>项目基准价!$C$16*PRODUCT(赋权表!F32:T32)</f>
        <v>#REF!</v>
      </c>
      <c r="E32" s="130" t="e">
        <f>D31/D32-1</f>
        <v>#REF!</v>
      </c>
      <c r="F32" s="124" t="e">
        <f>F18</f>
        <v>#REF!</v>
      </c>
      <c r="G32" s="124">
        <f t="shared" ref="G32:M32" si="15">G18</f>
        <v>1</v>
      </c>
      <c r="H32" s="124" t="e">
        <f t="shared" si="15"/>
        <v>#REF!</v>
      </c>
      <c r="I32" s="124">
        <f t="shared" si="15"/>
        <v>1</v>
      </c>
      <c r="J32" s="124">
        <f t="shared" si="15"/>
        <v>1</v>
      </c>
      <c r="K32" s="124">
        <f t="shared" si="15"/>
        <v>1</v>
      </c>
      <c r="L32" s="124" t="e">
        <f t="shared" si="15"/>
        <v>#REF!</v>
      </c>
      <c r="M32" s="124" t="e">
        <f t="shared" si="15"/>
        <v>#REF!</v>
      </c>
      <c r="N32" s="124">
        <f>N30</f>
        <v>1</v>
      </c>
      <c r="O32" s="124" t="e">
        <f>O30</f>
        <v>#REF!</v>
      </c>
      <c r="P32" s="124">
        <f>P30</f>
        <v>1</v>
      </c>
      <c r="Q32" s="124">
        <f>Q30</f>
        <v>1.02</v>
      </c>
      <c r="R32" s="124"/>
      <c r="S32" s="124">
        <f>S8</f>
        <v>1</v>
      </c>
      <c r="T32" s="124">
        <f>T28</f>
        <v>1</v>
      </c>
    </row>
    <row r="33" s="93" customFormat="1" spans="1:20">
      <c r="B33" s="132" t="s">
        <v>415</v>
      </c>
      <c r="C33" s="114" t="s">
        <v>385</v>
      </c>
      <c r="D33" s="117">
        <v>2299</v>
      </c>
      <c r="E33" s="136"/>
      <c r="F33" s="108" t="s">
        <v>149</v>
      </c>
      <c r="G33" s="108" t="s">
        <v>146</v>
      </c>
      <c r="H33" s="120" t="s">
        <v>392</v>
      </c>
      <c r="I33" s="108" t="s">
        <v>54</v>
      </c>
      <c r="J33" s="108" t="s">
        <v>54</v>
      </c>
      <c r="K33" s="120" t="s">
        <v>51</v>
      </c>
      <c r="L33" s="108" t="s">
        <v>382</v>
      </c>
      <c r="M33" s="108" t="s">
        <v>63</v>
      </c>
      <c r="N33" s="108" t="s">
        <v>378</v>
      </c>
      <c r="O33" s="109" t="s">
        <v>63</v>
      </c>
      <c r="P33" s="108" t="s">
        <v>161</v>
      </c>
      <c r="Q33" s="124" t="s">
        <v>393</v>
      </c>
      <c r="R33" s="108" t="s">
        <v>63</v>
      </c>
      <c r="S33" s="131" t="s">
        <v>390</v>
      </c>
      <c r="T33" s="109" t="s">
        <v>154</v>
      </c>
    </row>
    <row r="34" s="93" customFormat="1" spans="1:20">
      <c r="B34" s="113"/>
      <c r="C34" s="114" t="s">
        <v>387</v>
      </c>
      <c r="D34" s="117" t="e">
        <f>项目基准价!$C$15*PRODUCT(赋权表!F34:T34)</f>
        <v>#REF!</v>
      </c>
      <c r="E34" s="115" t="e">
        <f>D33/D34-1</f>
        <v>#REF!</v>
      </c>
      <c r="F34" s="124" t="e">
        <f>F24</f>
        <v>#REF!</v>
      </c>
      <c r="G34" s="124">
        <f t="shared" ref="G34:M34" si="16">G24</f>
        <v>1</v>
      </c>
      <c r="H34" s="124">
        <f t="shared" si="16"/>
        <v>1.04</v>
      </c>
      <c r="I34" s="124">
        <f t="shared" si="16"/>
        <v>1</v>
      </c>
      <c r="J34" s="124">
        <f t="shared" si="16"/>
        <v>1</v>
      </c>
      <c r="K34" s="124">
        <f t="shared" si="16"/>
        <v>1.05</v>
      </c>
      <c r="L34" s="124" t="e">
        <f t="shared" si="16"/>
        <v>#REF!</v>
      </c>
      <c r="M34" s="124" t="e">
        <f t="shared" si="16"/>
        <v>#REF!</v>
      </c>
      <c r="N34" s="124">
        <f>N26</f>
        <v>1.06</v>
      </c>
      <c r="O34" s="124" t="e">
        <f>O26</f>
        <v>#REF!</v>
      </c>
      <c r="P34" s="124" t="e">
        <f>P24</f>
        <v>#REF!</v>
      </c>
      <c r="Q34" s="124">
        <f>【1】定价因子!F32</f>
        <v>1.03</v>
      </c>
      <c r="R34" s="124">
        <f>R30</f>
        <v>1</v>
      </c>
      <c r="S34" s="124">
        <f>S10</f>
        <v>1.06</v>
      </c>
      <c r="T34" s="124">
        <f>T20</f>
        <v>1.02</v>
      </c>
    </row>
    <row r="35" s="93" customFormat="1" spans="1:20">
      <c r="A35" s="93" t="s">
        <v>407</v>
      </c>
      <c r="B35" s="113" t="s">
        <v>416</v>
      </c>
      <c r="C35" s="114" t="s">
        <v>385</v>
      </c>
      <c r="D35" s="117">
        <v>1249</v>
      </c>
      <c r="E35" s="115"/>
      <c r="F35" s="108" t="s">
        <v>149</v>
      </c>
      <c r="G35" s="108" t="s">
        <v>146</v>
      </c>
      <c r="H35" s="108" t="s">
        <v>363</v>
      </c>
      <c r="I35" s="108" t="s">
        <v>54</v>
      </c>
      <c r="J35" s="108" t="s">
        <v>54</v>
      </c>
      <c r="K35" s="108" t="s">
        <v>54</v>
      </c>
      <c r="L35" s="108" t="s">
        <v>364</v>
      </c>
      <c r="M35" s="108" t="s">
        <v>377</v>
      </c>
      <c r="N35" s="108" t="s">
        <v>63</v>
      </c>
      <c r="O35" s="109" t="s">
        <v>63</v>
      </c>
      <c r="P35" s="108" t="s">
        <v>54</v>
      </c>
      <c r="Q35" s="124" t="s">
        <v>417</v>
      </c>
      <c r="R35" s="108" t="s">
        <v>63</v>
      </c>
      <c r="S35" s="131" t="s">
        <v>390</v>
      </c>
      <c r="T35" s="108" t="s">
        <v>63</v>
      </c>
    </row>
    <row r="36" s="93" customFormat="1" spans="1:20">
      <c r="B36" s="113"/>
      <c r="C36" s="114" t="s">
        <v>387</v>
      </c>
      <c r="D36" s="117" t="e">
        <f>项目基准价!$C$14*PRODUCT(赋权表!F36:T36)</f>
        <v>#REF!</v>
      </c>
      <c r="E36" s="115" t="e">
        <f>D35/D36-1</f>
        <v>#REF!</v>
      </c>
      <c r="F36" s="124" t="e">
        <f>F30</f>
        <v>#REF!</v>
      </c>
      <c r="G36" s="124">
        <f t="shared" ref="G36:N36" si="17">G30</f>
        <v>1</v>
      </c>
      <c r="H36" s="124">
        <f t="shared" si="17"/>
        <v>0.96</v>
      </c>
      <c r="I36" s="124">
        <f>I34</f>
        <v>1</v>
      </c>
      <c r="J36" s="124">
        <f t="shared" si="17"/>
        <v>1</v>
      </c>
      <c r="K36" s="124">
        <f t="shared" si="17"/>
        <v>1</v>
      </c>
      <c r="L36" s="124" t="e">
        <f>L32</f>
        <v>#REF!</v>
      </c>
      <c r="M36" s="124" t="e">
        <f t="shared" si="17"/>
        <v>#REF!</v>
      </c>
      <c r="N36" s="124">
        <f t="shared" si="17"/>
        <v>1</v>
      </c>
      <c r="O36" s="124" t="e">
        <f>O34</f>
        <v>#REF!</v>
      </c>
      <c r="P36" s="124" t="e">
        <f>P28</f>
        <v>#REF!</v>
      </c>
      <c r="Q36" s="124">
        <f>【1】定价因子!F22</f>
        <v>0.98</v>
      </c>
      <c r="R36" s="124">
        <f>R34</f>
        <v>1</v>
      </c>
      <c r="S36" s="124">
        <f>S34</f>
        <v>1.06</v>
      </c>
      <c r="T36" s="124">
        <f>T32</f>
        <v>1</v>
      </c>
    </row>
    <row r="37" s="93" customFormat="1" spans="1:20">
      <c r="A37" s="93" t="s">
        <v>407</v>
      </c>
      <c r="B37" s="113" t="s">
        <v>418</v>
      </c>
      <c r="C37" s="114" t="s">
        <v>385</v>
      </c>
      <c r="D37" s="117">
        <v>1299</v>
      </c>
      <c r="E37" s="115"/>
      <c r="F37" s="108" t="s">
        <v>149</v>
      </c>
      <c r="G37" s="108" t="s">
        <v>146</v>
      </c>
      <c r="H37" s="108" t="s">
        <v>363</v>
      </c>
      <c r="I37" s="108" t="s">
        <v>54</v>
      </c>
      <c r="J37" s="108" t="s">
        <v>54</v>
      </c>
      <c r="K37" s="108" t="s">
        <v>54</v>
      </c>
      <c r="L37" s="108" t="s">
        <v>364</v>
      </c>
      <c r="M37" s="108" t="s">
        <v>63</v>
      </c>
      <c r="N37" s="108" t="s">
        <v>63</v>
      </c>
      <c r="O37" s="109" t="s">
        <v>63</v>
      </c>
      <c r="P37" s="108" t="s">
        <v>54</v>
      </c>
      <c r="Q37" s="124" t="s">
        <v>383</v>
      </c>
      <c r="R37" s="108" t="s">
        <v>63</v>
      </c>
      <c r="S37" s="108" t="s">
        <v>63</v>
      </c>
      <c r="T37" s="108" t="s">
        <v>63</v>
      </c>
    </row>
    <row r="38" s="93" customFormat="1" spans="1:20">
      <c r="B38" s="113"/>
      <c r="C38" s="114" t="s">
        <v>387</v>
      </c>
      <c r="D38" s="117" t="e">
        <f>项目基准价!$C$14*PRODUCT(赋权表!F38:T38)</f>
        <v>#REF!</v>
      </c>
      <c r="E38" s="130" t="e">
        <f>D37/D38-1</f>
        <v>#REF!</v>
      </c>
      <c r="F38" s="124" t="e">
        <f>F8</f>
        <v>#REF!</v>
      </c>
      <c r="G38" s="124">
        <f t="shared" ref="G38:M38" si="18">G8</f>
        <v>1</v>
      </c>
      <c r="H38" s="124">
        <f t="shared" si="18"/>
        <v>0.96</v>
      </c>
      <c r="I38" s="124">
        <f>I36</f>
        <v>1</v>
      </c>
      <c r="J38" s="124">
        <f t="shared" si="18"/>
        <v>1</v>
      </c>
      <c r="K38" s="124">
        <f t="shared" si="18"/>
        <v>1</v>
      </c>
      <c r="L38" s="124" t="e">
        <f t="shared" si="18"/>
        <v>#REF!</v>
      </c>
      <c r="M38" s="124" t="e">
        <f t="shared" si="18"/>
        <v>#REF!</v>
      </c>
      <c r="N38" s="137">
        <f>N36</f>
        <v>1</v>
      </c>
      <c r="O38" s="137" t="e">
        <f t="shared" ref="O38:P38" si="19">O36</f>
        <v>#REF!</v>
      </c>
      <c r="P38" s="137" t="e">
        <f t="shared" si="19"/>
        <v>#REF!</v>
      </c>
      <c r="Q38" s="93">
        <f>【1】定价因子!F21</f>
        <v>0.99</v>
      </c>
      <c r="R38" s="137">
        <f>R36</f>
        <v>1</v>
      </c>
      <c r="S38" s="137">
        <f>S28</f>
        <v>1.03</v>
      </c>
      <c r="T38" s="137">
        <f>T28</f>
        <v>1</v>
      </c>
    </row>
    <row r="39" s="93" customFormat="1" ht="26.4" spans="1:20">
      <c r="B39" s="113" t="s">
        <v>419</v>
      </c>
      <c r="C39" s="114" t="s">
        <v>385</v>
      </c>
      <c r="D39" s="117">
        <v>1239</v>
      </c>
      <c r="E39" s="115"/>
      <c r="F39" s="108" t="s">
        <v>149</v>
      </c>
      <c r="G39" s="108" t="s">
        <v>146</v>
      </c>
      <c r="H39" s="108" t="s">
        <v>381</v>
      </c>
      <c r="I39" s="108" t="s">
        <v>54</v>
      </c>
      <c r="J39" s="108" t="s">
        <v>54</v>
      </c>
      <c r="K39" s="108" t="s">
        <v>54</v>
      </c>
      <c r="L39" s="108" t="s">
        <v>364</v>
      </c>
      <c r="M39" s="108" t="s">
        <v>63</v>
      </c>
      <c r="N39" s="108" t="s">
        <v>63</v>
      </c>
      <c r="O39" s="109" t="s">
        <v>63</v>
      </c>
      <c r="P39" s="108" t="s">
        <v>54</v>
      </c>
      <c r="Q39" s="124" t="s">
        <v>383</v>
      </c>
      <c r="R39" s="108" t="s">
        <v>132</v>
      </c>
      <c r="S39" s="109" t="s">
        <v>386</v>
      </c>
      <c r="T39" s="108" t="s">
        <v>63</v>
      </c>
    </row>
    <row r="40" s="93" customFormat="1" spans="1:20">
      <c r="B40" s="113"/>
      <c r="C40" s="114" t="s">
        <v>387</v>
      </c>
      <c r="D40" s="117" t="e">
        <f>项目基准价!$C$13*PRODUCT(赋权表!F40:T40)</f>
        <v>#REF!</v>
      </c>
      <c r="E40" s="115" t="e">
        <f>D39/D40-1</f>
        <v>#REF!</v>
      </c>
      <c r="F40" s="124" t="e">
        <f>F32</f>
        <v>#REF!</v>
      </c>
      <c r="G40" s="124">
        <f t="shared" ref="G40:M40" si="20">G32</f>
        <v>1</v>
      </c>
      <c r="H40" s="124" t="e">
        <f t="shared" si="20"/>
        <v>#REF!</v>
      </c>
      <c r="I40" s="124">
        <f>I38</f>
        <v>1</v>
      </c>
      <c r="J40" s="124">
        <f t="shared" si="20"/>
        <v>1</v>
      </c>
      <c r="K40" s="124">
        <f t="shared" si="20"/>
        <v>1</v>
      </c>
      <c r="L40" s="124" t="e">
        <f t="shared" si="20"/>
        <v>#REF!</v>
      </c>
      <c r="M40" s="124" t="e">
        <f t="shared" si="20"/>
        <v>#REF!</v>
      </c>
      <c r="N40" s="124">
        <f>N38</f>
        <v>1</v>
      </c>
      <c r="O40" s="124" t="e">
        <f>O38</f>
        <v>#REF!</v>
      </c>
      <c r="P40" s="124" t="e">
        <f>P38</f>
        <v>#REF!</v>
      </c>
      <c r="Q40" s="124">
        <f>Q38</f>
        <v>0.99</v>
      </c>
      <c r="R40" s="124">
        <f>R14</f>
        <v>1.04</v>
      </c>
      <c r="S40" s="124">
        <f>S32</f>
        <v>1</v>
      </c>
      <c r="T40" s="124">
        <f>T38</f>
        <v>1</v>
      </c>
    </row>
    <row r="41" s="93" customFormat="1" spans="1:20">
      <c r="A41" s="93" t="s">
        <v>414</v>
      </c>
      <c r="B41" s="113" t="s">
        <v>420</v>
      </c>
      <c r="C41" s="114" t="s">
        <v>385</v>
      </c>
      <c r="D41" s="117">
        <v>1699</v>
      </c>
      <c r="E41" s="115"/>
      <c r="F41" s="108" t="s">
        <v>149</v>
      </c>
      <c r="G41" s="108" t="s">
        <v>146</v>
      </c>
      <c r="H41" s="108" t="s">
        <v>363</v>
      </c>
      <c r="I41" s="108" t="s">
        <v>54</v>
      </c>
      <c r="J41" s="108" t="s">
        <v>54</v>
      </c>
      <c r="K41" s="108" t="s">
        <v>54</v>
      </c>
      <c r="L41" s="108" t="s">
        <v>364</v>
      </c>
      <c r="M41" s="108" t="s">
        <v>63</v>
      </c>
      <c r="N41" s="108" t="s">
        <v>63</v>
      </c>
      <c r="O41" s="109" t="s">
        <v>63</v>
      </c>
      <c r="P41" s="108" t="s">
        <v>54</v>
      </c>
      <c r="Q41" s="124" t="s">
        <v>389</v>
      </c>
      <c r="R41" s="131" t="s">
        <v>112</v>
      </c>
      <c r="S41" s="109" t="s">
        <v>63</v>
      </c>
      <c r="T41" s="108" t="s">
        <v>63</v>
      </c>
    </row>
    <row r="42" s="93" customFormat="1" spans="1:20">
      <c r="B42" s="113"/>
      <c r="C42" s="114" t="s">
        <v>387</v>
      </c>
      <c r="D42" s="117" t="e">
        <f>项目基准价!$C$16*PRODUCT(赋权表!F42:T42)</f>
        <v>#REF!</v>
      </c>
      <c r="E42" s="115" t="e">
        <f>D41/D42-1</f>
        <v>#REF!</v>
      </c>
      <c r="F42" s="124" t="e">
        <f>F38</f>
        <v>#REF!</v>
      </c>
      <c r="G42" s="124">
        <f t="shared" ref="G42:N42" si="21">G38</f>
        <v>1</v>
      </c>
      <c r="H42" s="124">
        <f t="shared" si="21"/>
        <v>0.96</v>
      </c>
      <c r="I42" s="124">
        <f t="shared" si="21"/>
        <v>1</v>
      </c>
      <c r="J42" s="124">
        <f t="shared" si="21"/>
        <v>1</v>
      </c>
      <c r="K42" s="124">
        <f t="shared" si="21"/>
        <v>1</v>
      </c>
      <c r="L42" s="124" t="e">
        <f t="shared" si="21"/>
        <v>#REF!</v>
      </c>
      <c r="M42" s="124" t="e">
        <f t="shared" si="21"/>
        <v>#REF!</v>
      </c>
      <c r="N42" s="137">
        <f t="shared" si="21"/>
        <v>1</v>
      </c>
      <c r="O42" s="124" t="e">
        <f>O40</f>
        <v>#REF!</v>
      </c>
      <c r="P42" s="124" t="e">
        <f>P40</f>
        <v>#REF!</v>
      </c>
      <c r="Q42" s="124">
        <f>Q32</f>
        <v>1.02</v>
      </c>
      <c r="R42" s="124"/>
      <c r="S42" s="124">
        <f>S38</f>
        <v>1.03</v>
      </c>
      <c r="T42" s="124">
        <f>T40</f>
        <v>1</v>
      </c>
    </row>
    <row r="43" s="93" customFormat="1" ht="26.4" spans="1:20">
      <c r="B43" s="113" t="s">
        <v>421</v>
      </c>
      <c r="C43" s="114" t="s">
        <v>385</v>
      </c>
      <c r="D43" s="128">
        <v>1239</v>
      </c>
      <c r="E43" s="115"/>
      <c r="F43" s="108" t="s">
        <v>149</v>
      </c>
      <c r="G43" s="108" t="s">
        <v>146</v>
      </c>
      <c r="H43" s="108" t="s">
        <v>381</v>
      </c>
      <c r="I43" s="109" t="s">
        <v>161</v>
      </c>
      <c r="J43" s="108" t="s">
        <v>54</v>
      </c>
      <c r="K43" s="108" t="s">
        <v>54</v>
      </c>
      <c r="L43" s="108" t="s">
        <v>364</v>
      </c>
      <c r="M43" s="108" t="s">
        <v>63</v>
      </c>
      <c r="N43" s="108" t="s">
        <v>378</v>
      </c>
      <c r="O43" s="109" t="s">
        <v>63</v>
      </c>
      <c r="P43" s="108" t="s">
        <v>54</v>
      </c>
      <c r="Q43" s="124" t="s">
        <v>383</v>
      </c>
      <c r="R43" s="108" t="s">
        <v>132</v>
      </c>
      <c r="S43" s="109" t="s">
        <v>386</v>
      </c>
      <c r="T43" s="108" t="s">
        <v>63</v>
      </c>
    </row>
    <row r="44" s="93" customFormat="1" spans="1:20">
      <c r="B44" s="113"/>
      <c r="C44" s="114" t="s">
        <v>387</v>
      </c>
      <c r="D44" s="117" t="e">
        <f>项目基准价!$C$13*PRODUCT(赋权表!F44:T44)</f>
        <v>#REF!</v>
      </c>
      <c r="E44" s="130" t="e">
        <f>D43/D44-1</f>
        <v>#REF!</v>
      </c>
      <c r="F44" s="124" t="e">
        <f>F42</f>
        <v>#REF!</v>
      </c>
      <c r="G44" s="124">
        <f>G42</f>
        <v>1</v>
      </c>
      <c r="H44" s="124" t="e">
        <f>H40</f>
        <v>#REF!</v>
      </c>
      <c r="I44" s="124">
        <f>【1】定价因子!F69</f>
        <v>0.975</v>
      </c>
      <c r="J44" s="124">
        <f t="shared" ref="J44:N44" si="22">J34</f>
        <v>1</v>
      </c>
      <c r="K44" s="124">
        <f>K38</f>
        <v>1</v>
      </c>
      <c r="L44" s="124" t="e">
        <f>L36</f>
        <v>#REF!</v>
      </c>
      <c r="M44" s="124" t="e">
        <f t="shared" si="22"/>
        <v>#REF!</v>
      </c>
      <c r="N44" s="124">
        <f t="shared" si="22"/>
        <v>1.06</v>
      </c>
      <c r="O44" s="124" t="e">
        <f>O40</f>
        <v>#REF!</v>
      </c>
      <c r="P44" s="124" t="e">
        <f t="shared" ref="P44:T44" si="23">P40</f>
        <v>#REF!</v>
      </c>
      <c r="Q44" s="124">
        <f t="shared" si="23"/>
        <v>0.99</v>
      </c>
      <c r="R44" s="124">
        <f t="shared" si="23"/>
        <v>1.04</v>
      </c>
      <c r="S44" s="124">
        <f>S32</f>
        <v>1</v>
      </c>
      <c r="T44" s="124">
        <f t="shared" si="23"/>
        <v>1</v>
      </c>
    </row>
    <row r="45" s="93" customFormat="1" ht="26.4" spans="1:20">
      <c r="B45" s="113" t="s">
        <v>422</v>
      </c>
      <c r="C45" s="114" t="s">
        <v>385</v>
      </c>
      <c r="D45" s="128">
        <v>1239</v>
      </c>
      <c r="E45" s="115"/>
      <c r="F45" s="116" t="s">
        <v>150</v>
      </c>
      <c r="G45" s="108" t="s">
        <v>146</v>
      </c>
      <c r="H45" s="108" t="s">
        <v>381</v>
      </c>
      <c r="I45" s="108" t="s">
        <v>54</v>
      </c>
      <c r="J45" s="108" t="s">
        <v>54</v>
      </c>
      <c r="K45" s="108" t="s">
        <v>54</v>
      </c>
      <c r="L45" s="108" t="s">
        <v>364</v>
      </c>
      <c r="M45" s="108" t="s">
        <v>63</v>
      </c>
      <c r="N45" s="108" t="s">
        <v>378</v>
      </c>
      <c r="O45" s="109" t="s">
        <v>63</v>
      </c>
      <c r="P45" s="108" t="s">
        <v>54</v>
      </c>
      <c r="Q45" s="124" t="s">
        <v>389</v>
      </c>
      <c r="R45" s="108" t="s">
        <v>132</v>
      </c>
      <c r="S45" s="108" t="s">
        <v>63</v>
      </c>
      <c r="T45" s="108" t="s">
        <v>63</v>
      </c>
    </row>
    <row r="46" s="93" customFormat="1" spans="1:20">
      <c r="B46" s="113"/>
      <c r="C46" s="114" t="s">
        <v>387</v>
      </c>
      <c r="D46" s="117" t="e">
        <f>项目基准价!$C$13*PRODUCT(赋权表!F46:T46)</f>
        <v>#REF!</v>
      </c>
      <c r="E46" s="130" t="e">
        <f>D45/D46-1</f>
        <v>#REF!</v>
      </c>
      <c r="F46" s="124" t="e">
        <f>F10</f>
        <v>#REF!</v>
      </c>
      <c r="G46" s="124">
        <f t="shared" ref="G46:M46" si="24">G10</f>
        <v>1</v>
      </c>
      <c r="H46" s="124" t="e">
        <f t="shared" si="24"/>
        <v>#REF!</v>
      </c>
      <c r="I46" s="124">
        <f t="shared" si="24"/>
        <v>1</v>
      </c>
      <c r="J46" s="124">
        <f t="shared" si="24"/>
        <v>1</v>
      </c>
      <c r="K46" s="124">
        <f t="shared" si="24"/>
        <v>1</v>
      </c>
      <c r="L46" s="124" t="e">
        <f t="shared" si="24"/>
        <v>#REF!</v>
      </c>
      <c r="M46" s="124" t="e">
        <f t="shared" si="24"/>
        <v>#REF!</v>
      </c>
      <c r="N46" s="124">
        <f>N34</f>
        <v>1.06</v>
      </c>
      <c r="O46" s="124" t="e">
        <f>O44</f>
        <v>#REF!</v>
      </c>
      <c r="P46" s="124" t="e">
        <f>P44</f>
        <v>#REF!</v>
      </c>
      <c r="Q46" s="124">
        <f>Q42</f>
        <v>1.02</v>
      </c>
      <c r="R46" s="124">
        <f>R44</f>
        <v>1.04</v>
      </c>
      <c r="S46" s="124">
        <f>S42</f>
        <v>1.03</v>
      </c>
      <c r="T46" s="124">
        <f>T44</f>
        <v>1</v>
      </c>
    </row>
    <row r="47" s="93" customFormat="1" spans="1:20">
      <c r="B47" s="113" t="s">
        <v>423</v>
      </c>
      <c r="C47" s="114" t="s">
        <v>385</v>
      </c>
      <c r="D47" s="128">
        <v>1629</v>
      </c>
      <c r="E47" s="115"/>
      <c r="F47" s="108" t="s">
        <v>149</v>
      </c>
      <c r="G47" s="108" t="s">
        <v>146</v>
      </c>
      <c r="H47" s="108" t="s">
        <v>363</v>
      </c>
      <c r="I47" s="108" t="s">
        <v>54</v>
      </c>
      <c r="J47" s="108" t="s">
        <v>54</v>
      </c>
      <c r="K47" s="120" t="s">
        <v>51</v>
      </c>
      <c r="L47" s="108" t="s">
        <v>364</v>
      </c>
      <c r="M47" s="108" t="s">
        <v>63</v>
      </c>
      <c r="N47" s="108" t="s">
        <v>63</v>
      </c>
      <c r="O47" s="109" t="s">
        <v>63</v>
      </c>
      <c r="P47" s="108" t="s">
        <v>54</v>
      </c>
      <c r="Q47" s="124" t="s">
        <v>424</v>
      </c>
      <c r="R47" s="108" t="s">
        <v>63</v>
      </c>
      <c r="S47" s="108" t="s">
        <v>63</v>
      </c>
      <c r="T47" s="109" t="s">
        <v>154</v>
      </c>
    </row>
    <row r="48" s="93" customFormat="1" spans="1:20">
      <c r="B48" s="113"/>
      <c r="C48" s="114" t="s">
        <v>387</v>
      </c>
      <c r="D48" s="117" t="e">
        <f>项目基准价!$C$13*PRODUCT(赋权表!F48:T48)</f>
        <v>#REF!</v>
      </c>
      <c r="E48" s="130" t="e">
        <f>D47/D48-1</f>
        <v>#REF!</v>
      </c>
      <c r="F48" s="124" t="e">
        <f>F34</f>
        <v>#REF!</v>
      </c>
      <c r="G48" s="124">
        <f>G34</f>
        <v>1</v>
      </c>
      <c r="H48" s="124">
        <f>H42</f>
        <v>0.96</v>
      </c>
      <c r="I48" s="124">
        <f>I34</f>
        <v>1</v>
      </c>
      <c r="J48" s="124">
        <f t="shared" ref="J48:M48" si="25">J34</f>
        <v>1</v>
      </c>
      <c r="K48" s="124">
        <f t="shared" si="25"/>
        <v>1.05</v>
      </c>
      <c r="L48" s="124" t="e">
        <f>L46</f>
        <v>#REF!</v>
      </c>
      <c r="M48" s="124" t="e">
        <f t="shared" si="25"/>
        <v>#REF!</v>
      </c>
      <c r="N48" s="124">
        <f>N40</f>
        <v>1</v>
      </c>
      <c r="O48" s="124" t="e">
        <f t="shared" ref="O48:P48" si="26">O40</f>
        <v>#REF!</v>
      </c>
      <c r="P48" s="124" t="e">
        <f t="shared" si="26"/>
        <v>#REF!</v>
      </c>
      <c r="Q48" s="124">
        <f>【1】定价因子!F32</f>
        <v>1.03</v>
      </c>
      <c r="R48" s="124">
        <f>R38</f>
        <v>1</v>
      </c>
      <c r="S48" s="124">
        <f t="shared" ref="S48" si="27">S38</f>
        <v>1.03</v>
      </c>
      <c r="T48" s="124">
        <f>T20</f>
        <v>1.02</v>
      </c>
    </row>
    <row r="49" s="93" customFormat="1" spans="1:20">
      <c r="A49" s="93" t="s">
        <v>425</v>
      </c>
      <c r="B49" s="113" t="s">
        <v>426</v>
      </c>
      <c r="C49" s="114" t="s">
        <v>385</v>
      </c>
      <c r="D49" s="117">
        <v>1449</v>
      </c>
      <c r="E49" s="115"/>
      <c r="F49" s="108" t="s">
        <v>149</v>
      </c>
      <c r="G49" s="108" t="s">
        <v>146</v>
      </c>
      <c r="H49" s="108" t="s">
        <v>363</v>
      </c>
      <c r="I49" s="108" t="s">
        <v>54</v>
      </c>
      <c r="J49" s="108" t="s">
        <v>54</v>
      </c>
      <c r="K49" s="120" t="s">
        <v>51</v>
      </c>
      <c r="L49" s="108" t="s">
        <v>364</v>
      </c>
      <c r="M49" s="108" t="s">
        <v>63</v>
      </c>
      <c r="N49" s="108" t="s">
        <v>63</v>
      </c>
      <c r="O49" s="109" t="s">
        <v>63</v>
      </c>
      <c r="P49" s="108" t="s">
        <v>54</v>
      </c>
      <c r="Q49" s="124" t="s">
        <v>389</v>
      </c>
      <c r="R49" s="108" t="s">
        <v>132</v>
      </c>
      <c r="S49" s="109" t="s">
        <v>386</v>
      </c>
      <c r="T49" s="108" t="s">
        <v>63</v>
      </c>
    </row>
    <row r="50" s="93" customFormat="1" spans="1:20">
      <c r="B50" s="113"/>
      <c r="C50" s="114" t="s">
        <v>387</v>
      </c>
      <c r="D50" s="117" t="e">
        <f>项目基准价!$C$13*PRODUCT(赋权表!F50:T50)</f>
        <v>#REF!</v>
      </c>
      <c r="E50" s="130" t="e">
        <f>D49/D50-1</f>
        <v>#REF!</v>
      </c>
      <c r="F50" s="124" t="e">
        <f>F26</f>
        <v>#REF!</v>
      </c>
      <c r="G50" s="124">
        <f t="shared" ref="G50:M50" si="28">G26</f>
        <v>1</v>
      </c>
      <c r="H50" s="124">
        <f t="shared" si="28"/>
        <v>0.96</v>
      </c>
      <c r="I50" s="124">
        <f t="shared" si="28"/>
        <v>1</v>
      </c>
      <c r="J50" s="124">
        <f t="shared" si="28"/>
        <v>1</v>
      </c>
      <c r="K50" s="124">
        <f t="shared" si="28"/>
        <v>1</v>
      </c>
      <c r="L50" s="124" t="e">
        <f t="shared" si="28"/>
        <v>#REF!</v>
      </c>
      <c r="M50" s="124" t="e">
        <f t="shared" si="28"/>
        <v>#REF!</v>
      </c>
      <c r="N50" s="124">
        <f>N48</f>
        <v>1</v>
      </c>
      <c r="O50" s="124" t="e">
        <f>O48</f>
        <v>#REF!</v>
      </c>
      <c r="P50" s="124" t="e">
        <f>P48</f>
        <v>#REF!</v>
      </c>
      <c r="Q50" s="124">
        <f>Q46</f>
        <v>1.02</v>
      </c>
      <c r="R50" s="124">
        <f>R46</f>
        <v>1.04</v>
      </c>
      <c r="S50" s="124">
        <f>S44</f>
        <v>1</v>
      </c>
      <c r="T50" s="124">
        <f>T46</f>
        <v>1</v>
      </c>
    </row>
    <row r="51" s="93" customFormat="1" spans="1:20">
      <c r="B51" s="113" t="s">
        <v>427</v>
      </c>
      <c r="C51" s="114" t="s">
        <v>385</v>
      </c>
      <c r="D51" s="117">
        <v>1449</v>
      </c>
      <c r="E51" s="115"/>
      <c r="F51" s="108" t="s">
        <v>149</v>
      </c>
      <c r="G51" s="108" t="s">
        <v>146</v>
      </c>
      <c r="H51" s="108" t="s">
        <v>363</v>
      </c>
      <c r="I51" s="108" t="s">
        <v>54</v>
      </c>
      <c r="J51" s="108" t="s">
        <v>54</v>
      </c>
      <c r="K51" s="108" t="s">
        <v>54</v>
      </c>
      <c r="L51" s="108" t="s">
        <v>382</v>
      </c>
      <c r="M51" s="108" t="s">
        <v>63</v>
      </c>
      <c r="N51" s="108" t="s">
        <v>63</v>
      </c>
      <c r="O51" s="109" t="s">
        <v>63</v>
      </c>
      <c r="P51" s="108" t="s">
        <v>54</v>
      </c>
      <c r="Q51" s="124" t="s">
        <v>365</v>
      </c>
      <c r="R51" s="108" t="s">
        <v>63</v>
      </c>
      <c r="S51" s="108" t="s">
        <v>63</v>
      </c>
      <c r="T51" s="108" t="s">
        <v>63</v>
      </c>
    </row>
    <row r="52" s="93" customFormat="1" spans="1:20">
      <c r="B52" s="113"/>
      <c r="C52" s="114" t="s">
        <v>387</v>
      </c>
      <c r="D52" s="117" t="e">
        <f>项目基准价!$C$13*PRODUCT(赋权表!F52:T52)</f>
        <v>#REF!</v>
      </c>
      <c r="E52" s="130" t="e">
        <f>D51/D52-1</f>
        <v>#REF!</v>
      </c>
      <c r="F52" s="124" t="e">
        <f>F14</f>
        <v>#REF!</v>
      </c>
      <c r="G52" s="124">
        <f t="shared" ref="G52:M52" si="29">G14</f>
        <v>1</v>
      </c>
      <c r="H52" s="124">
        <f t="shared" si="29"/>
        <v>0.96</v>
      </c>
      <c r="I52" s="124">
        <f t="shared" si="29"/>
        <v>1</v>
      </c>
      <c r="J52" s="124">
        <f t="shared" si="29"/>
        <v>1</v>
      </c>
      <c r="K52" s="124">
        <f t="shared" si="29"/>
        <v>1</v>
      </c>
      <c r="L52" s="124" t="e">
        <f t="shared" si="29"/>
        <v>#REF!</v>
      </c>
      <c r="M52" s="124" t="e">
        <f t="shared" si="29"/>
        <v>#REF!</v>
      </c>
      <c r="N52" s="124">
        <f>N50</f>
        <v>1</v>
      </c>
      <c r="O52" s="124" t="e">
        <f t="shared" ref="O52:P52" si="30">O50</f>
        <v>#REF!</v>
      </c>
      <c r="P52" s="124" t="e">
        <f t="shared" si="30"/>
        <v>#REF!</v>
      </c>
      <c r="Q52" s="124">
        <f>Q8</f>
        <v>1</v>
      </c>
      <c r="R52" s="124">
        <f>R48</f>
        <v>1</v>
      </c>
      <c r="S52" s="124">
        <f t="shared" ref="S52" si="31">S48</f>
        <v>1.03</v>
      </c>
      <c r="T52" s="124">
        <f>T46</f>
        <v>1</v>
      </c>
    </row>
    <row r="53" s="93" customFormat="1" spans="1:20">
      <c r="B53" s="113" t="s">
        <v>428</v>
      </c>
      <c r="C53" s="114"/>
      <c r="D53" s="113"/>
      <c r="E53" s="115"/>
      <c r="F53" s="116">
        <f>SUM(F55:F71)</f>
        <v>152</v>
      </c>
      <c r="G53" s="116">
        <f t="shared" ref="G53:T53" si="32">SUM(G55:G71)</f>
        <v>65</v>
      </c>
      <c r="H53" s="116">
        <f t="shared" si="32"/>
        <v>32</v>
      </c>
      <c r="I53" s="116">
        <f t="shared" si="32"/>
        <v>125</v>
      </c>
      <c r="J53" s="116">
        <f t="shared" si="32"/>
        <v>139</v>
      </c>
      <c r="K53" s="116">
        <f t="shared" si="32"/>
        <v>51</v>
      </c>
      <c r="L53" s="116">
        <f t="shared" si="32"/>
        <v>38</v>
      </c>
      <c r="M53" s="116">
        <f t="shared" si="32"/>
        <v>26</v>
      </c>
      <c r="N53" s="116">
        <f t="shared" si="32"/>
        <v>154</v>
      </c>
      <c r="O53" s="116">
        <f t="shared" si="32"/>
        <v>123</v>
      </c>
      <c r="P53" s="116">
        <f t="shared" si="32"/>
        <v>144</v>
      </c>
      <c r="Q53" s="116">
        <f t="shared" si="32"/>
        <v>74</v>
      </c>
      <c r="R53" s="116">
        <f t="shared" si="32"/>
        <v>86</v>
      </c>
      <c r="S53" s="116">
        <f t="shared" si="32"/>
        <v>161</v>
      </c>
      <c r="T53" s="116">
        <f t="shared" si="32"/>
        <v>100</v>
      </c>
    </row>
    <row r="54" s="93" customFormat="1" spans="1:20">
      <c r="A54" s="138">
        <f>6%/150</f>
        <v>0.0004</v>
      </c>
      <c r="B54" s="113" t="s">
        <v>429</v>
      </c>
      <c r="C54" s="114"/>
      <c r="D54" s="113"/>
      <c r="E54" s="115"/>
      <c r="F54" s="139">
        <v>0.06</v>
      </c>
      <c r="G54" s="139">
        <v>0.025</v>
      </c>
      <c r="H54" s="139">
        <v>0.015</v>
      </c>
      <c r="I54" s="139">
        <v>0.05</v>
      </c>
      <c r="J54" s="139">
        <v>0.055</v>
      </c>
      <c r="K54" s="139">
        <v>0.02</v>
      </c>
      <c r="L54" s="139">
        <v>0.015</v>
      </c>
      <c r="M54" s="139">
        <v>0.01</v>
      </c>
      <c r="N54" s="139">
        <v>0.06</v>
      </c>
      <c r="O54" s="139">
        <v>0.05</v>
      </c>
      <c r="P54" s="139">
        <v>0.06</v>
      </c>
      <c r="Q54" s="139">
        <v>0.015</v>
      </c>
      <c r="R54" s="139">
        <v>0.035</v>
      </c>
      <c r="S54" s="139">
        <v>0.065</v>
      </c>
      <c r="T54" s="139">
        <v>0.04</v>
      </c>
    </row>
    <row r="55" spans="1:20">
      <c r="A55" s="95" t="s">
        <v>430</v>
      </c>
      <c r="E55" s="140"/>
      <c r="F55" s="141">
        <v>20</v>
      </c>
      <c r="G55" s="95">
        <v>2</v>
      </c>
      <c r="H55" s="95">
        <v>12</v>
      </c>
      <c r="I55" s="95">
        <v>20</v>
      </c>
      <c r="J55" s="95">
        <v>10</v>
      </c>
      <c r="K55" s="95">
        <v>8</v>
      </c>
      <c r="L55" s="95">
        <v>12</v>
      </c>
      <c r="M55" s="95">
        <v>0</v>
      </c>
      <c r="N55" s="95">
        <v>26</v>
      </c>
      <c r="O55" s="95">
        <v>18</v>
      </c>
      <c r="P55" s="95">
        <v>26</v>
      </c>
      <c r="Q55" s="95">
        <v>10</v>
      </c>
      <c r="R55" s="95">
        <v>4</v>
      </c>
      <c r="S55" s="95">
        <v>26</v>
      </c>
      <c r="T55" s="95">
        <v>16</v>
      </c>
    </row>
    <row r="56" spans="1:20">
      <c r="A56" s="95" t="s">
        <v>431</v>
      </c>
      <c r="E56" s="140"/>
      <c r="F56" s="141">
        <v>13</v>
      </c>
      <c r="G56" s="95">
        <v>7</v>
      </c>
      <c r="H56" s="95">
        <v>1</v>
      </c>
      <c r="I56" s="95">
        <v>10</v>
      </c>
      <c r="J56" s="95">
        <v>14</v>
      </c>
      <c r="K56" s="95">
        <v>2</v>
      </c>
      <c r="L56" s="95">
        <v>3</v>
      </c>
      <c r="M56" s="95">
        <v>0</v>
      </c>
      <c r="N56" s="95">
        <v>9</v>
      </c>
      <c r="O56" s="95">
        <v>8</v>
      </c>
      <c r="P56" s="95">
        <v>11</v>
      </c>
      <c r="Q56" s="95">
        <v>4</v>
      </c>
      <c r="R56" s="95">
        <v>6</v>
      </c>
      <c r="S56" s="95">
        <v>11</v>
      </c>
      <c r="T56" s="95">
        <v>6</v>
      </c>
    </row>
    <row r="57" spans="1:20">
      <c r="A57" s="95" t="s">
        <v>432</v>
      </c>
      <c r="E57" s="140"/>
      <c r="F57" s="141">
        <v>20</v>
      </c>
      <c r="G57" s="95">
        <v>4</v>
      </c>
      <c r="H57" s="95">
        <v>8</v>
      </c>
      <c r="I57" s="95">
        <v>12</v>
      </c>
      <c r="J57" s="95">
        <v>18</v>
      </c>
      <c r="K57" s="95">
        <v>6</v>
      </c>
      <c r="L57" s="95">
        <v>0</v>
      </c>
      <c r="M57" s="95">
        <v>2</v>
      </c>
      <c r="N57" s="95">
        <v>26</v>
      </c>
      <c r="O57" s="95">
        <v>12</v>
      </c>
      <c r="P57" s="95">
        <v>24</v>
      </c>
      <c r="Q57" s="95">
        <v>20</v>
      </c>
      <c r="R57" s="95">
        <v>16</v>
      </c>
      <c r="S57" s="95">
        <v>28</v>
      </c>
      <c r="T57" s="95">
        <v>14</v>
      </c>
    </row>
    <row r="58" spans="1:20">
      <c r="A58" s="95" t="s">
        <v>433</v>
      </c>
      <c r="E58" s="140"/>
      <c r="F58" s="141">
        <v>14</v>
      </c>
      <c r="G58" s="95">
        <v>13</v>
      </c>
      <c r="H58" s="95">
        <v>4</v>
      </c>
      <c r="I58" s="95">
        <v>5</v>
      </c>
      <c r="J58" s="95">
        <v>5</v>
      </c>
      <c r="K58" s="95">
        <v>8</v>
      </c>
      <c r="L58" s="95">
        <v>1</v>
      </c>
      <c r="M58" s="95">
        <v>2</v>
      </c>
      <c r="N58" s="95">
        <v>4</v>
      </c>
      <c r="O58" s="95">
        <v>10</v>
      </c>
      <c r="P58" s="95">
        <v>12</v>
      </c>
      <c r="Q58" s="95">
        <v>0</v>
      </c>
      <c r="R58" s="95">
        <v>7</v>
      </c>
      <c r="S58" s="95">
        <v>11</v>
      </c>
      <c r="T58" s="95">
        <v>9</v>
      </c>
    </row>
    <row r="59" spans="1:20">
      <c r="A59" s="95" t="s">
        <v>434</v>
      </c>
      <c r="E59" s="140"/>
      <c r="F59" s="141">
        <v>13</v>
      </c>
      <c r="G59" s="95">
        <v>5</v>
      </c>
      <c r="H59" s="95">
        <v>3</v>
      </c>
      <c r="I59" s="95">
        <v>12</v>
      </c>
      <c r="J59" s="95">
        <v>14</v>
      </c>
      <c r="K59" s="95">
        <v>2</v>
      </c>
      <c r="L59" s="95">
        <v>0</v>
      </c>
      <c r="M59" s="95">
        <v>1</v>
      </c>
      <c r="N59" s="95">
        <v>7</v>
      </c>
      <c r="O59" s="95">
        <v>6</v>
      </c>
      <c r="P59" s="95">
        <v>9</v>
      </c>
      <c r="Q59" s="95">
        <v>4</v>
      </c>
      <c r="R59" s="95">
        <v>10</v>
      </c>
      <c r="S59" s="95">
        <v>10</v>
      </c>
      <c r="T59" s="95">
        <v>9</v>
      </c>
    </row>
    <row r="60" spans="1:20">
      <c r="A60" s="95" t="s">
        <v>435</v>
      </c>
      <c r="E60" s="140"/>
      <c r="F60" s="141">
        <v>24</v>
      </c>
      <c r="G60" s="95">
        <v>8</v>
      </c>
      <c r="H60" s="95">
        <v>0</v>
      </c>
      <c r="I60" s="95">
        <v>20</v>
      </c>
      <c r="J60" s="95">
        <v>26</v>
      </c>
      <c r="K60" s="95">
        <v>4</v>
      </c>
      <c r="L60" s="95">
        <v>8</v>
      </c>
      <c r="M60" s="95">
        <v>10</v>
      </c>
      <c r="N60" s="95">
        <v>18</v>
      </c>
      <c r="O60" s="95">
        <v>20</v>
      </c>
      <c r="P60" s="95">
        <v>16</v>
      </c>
      <c r="Q60" s="95">
        <v>8</v>
      </c>
      <c r="R60" s="95">
        <v>8</v>
      </c>
      <c r="S60" s="95">
        <v>24</v>
      </c>
      <c r="T60" s="95">
        <v>16</v>
      </c>
    </row>
    <row r="61" spans="1:20">
      <c r="A61" s="95" t="s">
        <v>436</v>
      </c>
      <c r="E61" s="140"/>
      <c r="F61" s="141">
        <v>22</v>
      </c>
      <c r="G61" s="95">
        <v>10</v>
      </c>
      <c r="H61" s="95">
        <v>2</v>
      </c>
      <c r="I61" s="95">
        <v>10</v>
      </c>
      <c r="J61" s="95">
        <v>10</v>
      </c>
      <c r="K61" s="95">
        <v>6</v>
      </c>
      <c r="L61" s="95">
        <v>4</v>
      </c>
      <c r="M61" s="95">
        <v>0</v>
      </c>
      <c r="N61" s="95">
        <v>26</v>
      </c>
      <c r="O61" s="95">
        <v>28</v>
      </c>
      <c r="P61" s="95">
        <v>22</v>
      </c>
      <c r="Q61" s="95">
        <v>14</v>
      </c>
      <c r="R61" s="95">
        <v>18</v>
      </c>
      <c r="S61" s="95">
        <v>22</v>
      </c>
      <c r="T61" s="95">
        <v>16</v>
      </c>
    </row>
    <row r="62" spans="1:20">
      <c r="A62" s="95" t="s">
        <v>437</v>
      </c>
      <c r="E62" s="140"/>
      <c r="F62" s="141">
        <v>8</v>
      </c>
      <c r="G62" s="95">
        <v>2</v>
      </c>
      <c r="H62" s="95">
        <v>0</v>
      </c>
      <c r="I62" s="95">
        <v>10</v>
      </c>
      <c r="J62" s="95">
        <v>14</v>
      </c>
      <c r="K62" s="95">
        <v>1</v>
      </c>
      <c r="L62" s="95">
        <v>4</v>
      </c>
      <c r="M62" s="95">
        <v>9</v>
      </c>
      <c r="N62" s="95">
        <v>6</v>
      </c>
      <c r="O62" s="95">
        <v>11</v>
      </c>
      <c r="P62" s="95">
        <v>6</v>
      </c>
      <c r="Q62" s="95">
        <v>4</v>
      </c>
      <c r="R62" s="95">
        <v>5</v>
      </c>
      <c r="S62" s="95">
        <v>13</v>
      </c>
      <c r="T62" s="95">
        <v>12</v>
      </c>
    </row>
    <row r="63" spans="1:20">
      <c r="A63" s="95" t="s">
        <v>438</v>
      </c>
      <c r="E63" s="140"/>
      <c r="F63" s="141">
        <v>18</v>
      </c>
      <c r="G63" s="95">
        <v>14</v>
      </c>
      <c r="H63" s="95">
        <v>2</v>
      </c>
      <c r="I63" s="95">
        <v>26</v>
      </c>
      <c r="J63" s="95">
        <v>28</v>
      </c>
      <c r="K63" s="95">
        <v>14</v>
      </c>
      <c r="L63" s="95">
        <v>6</v>
      </c>
      <c r="M63" s="95">
        <v>2</v>
      </c>
      <c r="N63" s="95">
        <v>32</v>
      </c>
      <c r="O63" s="95">
        <v>10</v>
      </c>
      <c r="P63" s="95">
        <v>18</v>
      </c>
      <c r="Q63" s="95">
        <v>10</v>
      </c>
      <c r="R63" s="95">
        <v>12</v>
      </c>
      <c r="S63" s="95">
        <v>16</v>
      </c>
      <c r="T63" s="95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3.8"/>
  <cols>
    <col min="1" max="1" width="14.3333333333333" style="3" customWidth="1"/>
  </cols>
  <sheetData>
    <row r="1" spans="1:1">
      <c r="A1" s="89" t="s">
        <v>353</v>
      </c>
    </row>
    <row r="2" spans="1:1">
      <c r="A2" s="89" t="s">
        <v>145</v>
      </c>
    </row>
    <row r="3" spans="1:1">
      <c r="A3" s="89" t="s">
        <v>354</v>
      </c>
    </row>
    <row r="4" spans="1:1">
      <c r="A4" s="89" t="s">
        <v>159</v>
      </c>
    </row>
    <row r="5" spans="1:1">
      <c r="A5" s="89" t="s">
        <v>164</v>
      </c>
    </row>
    <row r="6" spans="1:1">
      <c r="A6" s="89" t="s">
        <v>439</v>
      </c>
    </row>
    <row r="7" spans="1:1">
      <c r="A7" s="89" t="s">
        <v>357</v>
      </c>
    </row>
    <row r="8" spans="1:1">
      <c r="A8" s="90" t="s">
        <v>358</v>
      </c>
    </row>
    <row r="9" spans="1:1">
      <c r="A9" s="91" t="s">
        <v>57</v>
      </c>
    </row>
    <row r="10" spans="1:1">
      <c r="A10" s="91" t="s">
        <v>359</v>
      </c>
    </row>
    <row r="11" spans="1:1">
      <c r="A11" s="91" t="s">
        <v>67</v>
      </c>
    </row>
    <row r="12" spans="1:1">
      <c r="A12" s="92" t="s">
        <v>68</v>
      </c>
    </row>
    <row r="13" spans="1:1">
      <c r="A13" s="92" t="s">
        <v>104</v>
      </c>
    </row>
    <row r="14" spans="1:1">
      <c r="A14" s="91" t="s">
        <v>360</v>
      </c>
    </row>
    <row r="15" spans="1:1">
      <c r="A15" s="91" t="s">
        <v>118</v>
      </c>
    </row>
    <row r="16" spans="1:1">
      <c r="A16" s="92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J28" sqref="J28"/>
    </sheetView>
  </sheetViews>
  <sheetFormatPr defaultColWidth="8.41666666666667" defaultRowHeight="13.8" outlineLevelCol="7"/>
  <cols>
    <col min="1" max="1" width="19.9166666666667" customWidth="1"/>
    <col min="2" max="2" width="9.58333333333333" customWidth="1"/>
    <col min="3" max="3" width="16.0833333333333" customWidth="1"/>
    <col min="4" max="4" width="11.6666666666667" style="35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56" customWidth="1"/>
  </cols>
  <sheetData>
    <row r="1" ht="16.25" customHeight="1" spans="1:8">
      <c r="A1" s="84" t="s">
        <v>440</v>
      </c>
      <c r="B1" s="84" t="s">
        <v>36</v>
      </c>
      <c r="C1" s="85" t="s">
        <v>441</v>
      </c>
      <c r="D1" s="84" t="s">
        <v>33</v>
      </c>
      <c r="E1" s="86" t="s">
        <v>442</v>
      </c>
      <c r="F1" s="84" t="s">
        <v>50</v>
      </c>
      <c r="G1" s="87" t="s">
        <v>443</v>
      </c>
      <c r="H1" s="88" t="s">
        <v>444</v>
      </c>
    </row>
    <row r="2" s="2" customFormat="1" ht="17" customHeight="1" spans="1:8">
      <c r="A2" s="2" t="str">
        <f>'【2】运营中心填-基本信息&amp;审核标准'!$E$2</f>
        <v>福围广生7-16、17栋</v>
      </c>
      <c r="B2" s="2" t="str">
        <f>'【3-2】大区&amp;运营中心填-房间模型价'!K2</f>
        <v>一居室</v>
      </c>
      <c r="C2" s="2">
        <f>VLOOKUP(B2,【1】定价因子!L:M,2,0)</f>
        <v>2402.5</v>
      </c>
      <c r="D2" s="35" t="s">
        <v>44</v>
      </c>
      <c r="E2" s="2">
        <f>VLOOKUP(D2,【1】定价因子!$D:$F,3,0)</f>
        <v>0.98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37">
        <f>C2*PRODUCT(G2,,E2)</f>
        <v>2472.1725</v>
      </c>
    </row>
    <row r="3" s="35" customFormat="1" spans="1:8">
      <c r="A3" s="2" t="str">
        <f>'【2】运营中心填-基本信息&amp;审核标准'!$E$2</f>
        <v>福围广生7-16、17栋</v>
      </c>
      <c r="B3" s="2" t="str">
        <f>'【3-2】大区&amp;运营中心填-房间模型价'!K3</f>
        <v>开间</v>
      </c>
      <c r="C3" s="2">
        <f>VLOOKUP(B3,【1】定价因子!L:M,2,0)</f>
        <v>1612.1</v>
      </c>
      <c r="D3" s="35" t="s">
        <v>44</v>
      </c>
      <c r="E3" s="2">
        <f>VLOOKUP(D3,【1】定价因子!$D:$F,3,0)</f>
        <v>0.98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37">
        <f t="shared" ref="H3:H10" si="0">C3*PRODUCT(G3,,E3)</f>
        <v>1658.8509</v>
      </c>
    </row>
    <row r="4" spans="1:8">
      <c r="A4" s="2" t="str">
        <f>'【2】运营中心填-基本信息&amp;审核标准'!$E$2</f>
        <v>福围广生7-16、17栋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35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37" t="e">
        <f t="shared" si="0"/>
        <v>#N/A</v>
      </c>
    </row>
    <row r="5" spans="1:8">
      <c r="A5" s="2" t="str">
        <f>'【2】运营中心填-基本信息&amp;审核标准'!$E$2</f>
        <v>福围广生7-16、17栋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35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37" t="e">
        <f t="shared" si="0"/>
        <v>#N/A</v>
      </c>
    </row>
    <row r="6" spans="1:8">
      <c r="A6" s="2" t="str">
        <f>'【2】运营中心填-基本信息&amp;审核标准'!$E$2</f>
        <v>福围广生7-16、17栋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5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37" t="e">
        <f t="shared" si="0"/>
        <v>#N/A</v>
      </c>
    </row>
    <row r="7" spans="1:8">
      <c r="A7" s="2" t="str">
        <f>'【2】运营中心填-基本信息&amp;审核标准'!$E$2</f>
        <v>福围广生7-16、17栋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5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37" t="e">
        <f t="shared" si="0"/>
        <v>#N/A</v>
      </c>
    </row>
    <row r="8" spans="1:8">
      <c r="A8" s="2" t="str">
        <f>'【2】运营中心填-基本信息&amp;审核标准'!$E$2</f>
        <v>福围广生7-16、17栋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5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37" t="e">
        <f t="shared" si="0"/>
        <v>#N/A</v>
      </c>
    </row>
    <row r="9" spans="1:8">
      <c r="A9" s="2" t="str">
        <f>'【2】运营中心填-基本信息&amp;审核标准'!$E$2</f>
        <v>福围广生7-16、17栋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5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37" t="e">
        <f t="shared" si="0"/>
        <v>#N/A</v>
      </c>
    </row>
    <row r="10" spans="1:8">
      <c r="A10" s="2" t="str">
        <f>'【2】运营中心填-基本信息&amp;审核标准'!$E$2</f>
        <v>福围广生7-16、17栋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5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37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191"/>
  <sheetViews>
    <sheetView zoomScale="90" zoomScaleNormal="90" workbookViewId="0">
      <selection activeCell="G33" sqref="G33"/>
    </sheetView>
  </sheetViews>
  <sheetFormatPr defaultColWidth="8.66666666666667" defaultRowHeight="13.8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7.4" spans="1:35">
      <c r="D1" s="68" t="s">
        <v>445</v>
      </c>
      <c r="E1" s="68"/>
      <c r="F1" s="68"/>
      <c r="G1" s="68"/>
      <c r="H1" s="3"/>
    </row>
    <row r="2" ht="16.2" spans="1:35">
      <c r="A2" s="69" t="s">
        <v>446</v>
      </c>
      <c r="B2" s="69" t="s">
        <v>359</v>
      </c>
      <c r="C2" s="69" t="s">
        <v>271</v>
      </c>
      <c r="D2" s="70" t="s">
        <v>447</v>
      </c>
      <c r="E2" s="70" t="s">
        <v>448</v>
      </c>
      <c r="F2" s="71" t="s">
        <v>449</v>
      </c>
      <c r="G2" s="70" t="s">
        <v>450</v>
      </c>
      <c r="H2" s="69" t="s">
        <v>451</v>
      </c>
      <c r="I2" s="70" t="s">
        <v>452</v>
      </c>
      <c r="J2" s="72"/>
      <c r="K2" s="72"/>
      <c r="L2" s="73" t="s">
        <v>453</v>
      </c>
      <c r="M2" s="73"/>
      <c r="N2" s="73"/>
      <c r="O2" s="73"/>
    </row>
    <row r="3" ht="16.2" spans="1:35">
      <c r="A3" s="40">
        <f>'【3-2】大区&amp;运营中心填-房间模型价'!H2</f>
        <v>201</v>
      </c>
      <c r="B3" s="40" t="str">
        <f>'【3-2】大区&amp;运营中心填-房间模型价'!I2</f>
        <v>B</v>
      </c>
      <c r="C3" s="74" t="str">
        <f>VLOOKUP(A3,'【3-2】大区&amp;运营中心填-房间模型价'!H:J,3,0)</f>
        <v>一居室</v>
      </c>
      <c r="D3" s="75">
        <v>1</v>
      </c>
      <c r="E3" s="75">
        <v>0</v>
      </c>
      <c r="F3" s="75">
        <v>0</v>
      </c>
      <c r="G3" s="75">
        <v>0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76"/>
      <c r="J3" s="77"/>
      <c r="K3" s="77"/>
      <c r="L3" s="73" t="s">
        <v>454</v>
      </c>
      <c r="M3" s="73"/>
      <c r="N3" s="73"/>
      <c r="O3" s="73" t="s">
        <v>455</v>
      </c>
    </row>
    <row r="4" ht="15.6" spans="1:35">
      <c r="A4" s="40">
        <f>'【3-2】大区&amp;运营中心填-房间模型价'!H3</f>
        <v>202</v>
      </c>
      <c r="B4" s="40" t="str">
        <f>'【3-2】大区&amp;运营中心填-房间模型价'!I3</f>
        <v>A</v>
      </c>
      <c r="C4" s="74" t="str">
        <f>VLOOKUP(A4,'【3-2】大区&amp;运营中心填-房间模型价'!H:J,3,0)</f>
        <v>开间</v>
      </c>
      <c r="D4" s="75">
        <v>0.5</v>
      </c>
      <c r="E4" s="75">
        <v>0</v>
      </c>
      <c r="F4" s="75">
        <v>0</v>
      </c>
      <c r="G4" s="75">
        <v>0</v>
      </c>
      <c r="H4" s="13" t="str">
        <f t="shared" ref="H4:H25" si="0">IF(C4="开间",IF(D4+E4*2-G4&lt;=0,"1",IF(D4+E4*2-G4&lt;=1,"2",IF(D4+E4*2-G4&lt;=2,"3",IF(D4+E4*2-G4&lt;=3,"4","5")))),IF(D4+E4*2-G4&lt;1.1,"1",IF(D4+E4*2-G4&lt;=2,"2",IF(D4+E4*2-G4&lt;=3,"3",IF(D4+E4*2-G4&lt;=4,"4","5")))))</f>
        <v>2</v>
      </c>
      <c r="I4" s="76"/>
      <c r="J4" s="77"/>
      <c r="K4" s="77"/>
      <c r="L4" s="4" t="s">
        <v>456</v>
      </c>
      <c r="M4" s="4"/>
      <c r="N4" s="4"/>
      <c r="O4" s="4">
        <v>-1</v>
      </c>
    </row>
    <row r="5" ht="15.6" spans="1:35">
      <c r="A5" s="40">
        <f>'【3-2】大区&amp;运营中心填-房间模型价'!H4</f>
        <v>203</v>
      </c>
      <c r="B5" s="40" t="str">
        <f>'【3-2】大区&amp;运营中心填-房间模型价'!I4</f>
        <v>A</v>
      </c>
      <c r="C5" s="74" t="str">
        <f>VLOOKUP(A5,'【3-2】大区&amp;运营中心填-房间模型价'!H:J,3,0)</f>
        <v>开间</v>
      </c>
      <c r="D5" s="75">
        <v>0.5</v>
      </c>
      <c r="E5" s="75">
        <v>0</v>
      </c>
      <c r="F5" s="75">
        <v>0</v>
      </c>
      <c r="G5" s="75">
        <v>0</v>
      </c>
      <c r="H5" s="13" t="str">
        <f t="shared" si="0"/>
        <v>2</v>
      </c>
      <c r="I5" s="78"/>
      <c r="L5" s="79" t="s">
        <v>457</v>
      </c>
      <c r="M5" s="4" t="s">
        <v>458</v>
      </c>
      <c r="N5" s="4"/>
      <c r="O5" s="4">
        <v>0</v>
      </c>
    </row>
    <row r="6" ht="15.6" spans="1:35">
      <c r="A6" s="40">
        <f>'【3-2】大区&amp;运营中心填-房间模型价'!H5</f>
        <v>204</v>
      </c>
      <c r="B6" s="40" t="str">
        <f>'【3-2】大区&amp;运营中心填-房间模型价'!I5</f>
        <v>B</v>
      </c>
      <c r="C6" s="74" t="str">
        <f>VLOOKUP(A6,'【3-2】大区&amp;运营中心填-房间模型价'!H:J,3,0)</f>
        <v>一居室</v>
      </c>
      <c r="D6" s="75">
        <v>1</v>
      </c>
      <c r="E6" s="75">
        <v>0</v>
      </c>
      <c r="F6" s="75">
        <v>0</v>
      </c>
      <c r="G6" s="75">
        <v>0</v>
      </c>
      <c r="H6" s="13" t="str">
        <f t="shared" si="0"/>
        <v>1</v>
      </c>
      <c r="I6" s="78"/>
      <c r="L6" s="80"/>
      <c r="M6" s="81" t="s">
        <v>459</v>
      </c>
      <c r="N6" s="10"/>
      <c r="O6" s="4">
        <v>0</v>
      </c>
    </row>
    <row r="7" ht="15.6" spans="1:35">
      <c r="A7" s="40">
        <f>'【3-2】大区&amp;运营中心填-房间模型价'!H6</f>
        <v>205</v>
      </c>
      <c r="B7" s="40" t="str">
        <f>'【3-2】大区&amp;运营中心填-房间模型价'!I6</f>
        <v>C</v>
      </c>
      <c r="C7" s="74" t="str">
        <f>VLOOKUP(A7,'【3-2】大区&amp;运营中心填-房间模型价'!H:J,3,0)</f>
        <v>一居室</v>
      </c>
      <c r="D7" s="75">
        <v>1</v>
      </c>
      <c r="E7" s="75">
        <v>0</v>
      </c>
      <c r="F7" s="75">
        <v>0</v>
      </c>
      <c r="G7" s="75">
        <v>1</v>
      </c>
      <c r="H7" s="13" t="str">
        <f t="shared" si="0"/>
        <v>1</v>
      </c>
      <c r="I7" s="78"/>
      <c r="L7" s="80"/>
      <c r="M7" s="81" t="s">
        <v>460</v>
      </c>
      <c r="N7" s="10"/>
      <c r="O7" s="4" t="s">
        <v>461</v>
      </c>
    </row>
    <row r="8" ht="15.6" spans="1:35">
      <c r="A8" s="40">
        <f>'【3-2】大区&amp;运营中心填-房间模型价'!H7</f>
        <v>206</v>
      </c>
      <c r="B8" s="40" t="str">
        <f>'【3-2】大区&amp;运营中心填-房间模型价'!I7</f>
        <v>D</v>
      </c>
      <c r="C8" s="74" t="str">
        <f>VLOOKUP(A8,'【3-2】大区&amp;运营中心填-房间模型价'!H:J,3,0)</f>
        <v>开间</v>
      </c>
      <c r="D8" s="75">
        <v>1</v>
      </c>
      <c r="E8" s="75">
        <v>0</v>
      </c>
      <c r="F8" s="75">
        <v>0</v>
      </c>
      <c r="G8" s="75">
        <v>1</v>
      </c>
      <c r="H8" s="13" t="str">
        <f t="shared" si="0"/>
        <v>1</v>
      </c>
      <c r="I8" s="78"/>
      <c r="L8" s="82"/>
      <c r="M8" s="81" t="s">
        <v>462</v>
      </c>
      <c r="N8" s="10"/>
      <c r="O8" s="4" t="s">
        <v>461</v>
      </c>
    </row>
    <row r="9" ht="15.6" spans="1:35">
      <c r="A9" s="40">
        <f>'【3-2】大区&amp;运营中心填-房间模型价'!H8</f>
        <v>207</v>
      </c>
      <c r="B9" s="40" t="str">
        <f>'【3-2】大区&amp;运营中心填-房间模型价'!I8</f>
        <v>A</v>
      </c>
      <c r="C9" s="74" t="str">
        <f>VLOOKUP(A9,'【3-2】大区&amp;运营中心填-房间模型价'!H:J,3,0)</f>
        <v>开间</v>
      </c>
      <c r="D9" s="75">
        <v>0.5</v>
      </c>
      <c r="E9" s="75">
        <v>0</v>
      </c>
      <c r="F9" s="75">
        <v>0</v>
      </c>
      <c r="G9" s="75">
        <v>0</v>
      </c>
      <c r="H9" s="13" t="str">
        <f t="shared" si="0"/>
        <v>2</v>
      </c>
      <c r="I9" s="78"/>
      <c r="L9" s="4"/>
      <c r="M9" s="4"/>
      <c r="N9" s="4"/>
      <c r="O9" s="4"/>
    </row>
    <row r="10" spans="1:35">
      <c r="A10" s="40">
        <f>'【3-2】大区&amp;运营中心填-房间模型价'!H9</f>
        <v>208</v>
      </c>
      <c r="B10" s="40" t="str">
        <f>'【3-2】大区&amp;运营中心填-房间模型价'!I9</f>
        <v>A</v>
      </c>
      <c r="C10" s="74" t="str">
        <f>VLOOKUP(A10,'【3-2】大区&amp;运营中心填-房间模型价'!H:J,3,0)</f>
        <v>开间</v>
      </c>
      <c r="D10" s="75">
        <v>0.5</v>
      </c>
      <c r="E10" s="75">
        <v>0</v>
      </c>
      <c r="F10" s="75">
        <v>0</v>
      </c>
      <c r="G10" s="75">
        <v>0</v>
      </c>
      <c r="H10" s="13" t="str">
        <f t="shared" si="0"/>
        <v>2</v>
      </c>
      <c r="I10" s="78"/>
    </row>
    <row r="11" spans="1:35">
      <c r="A11" s="40">
        <f>'【3-2】大区&amp;运营中心填-房间模型价'!H10</f>
        <v>209</v>
      </c>
      <c r="B11" s="40" t="str">
        <f>'【3-2】大区&amp;运营中心填-房间模型价'!I10</f>
        <v>E</v>
      </c>
      <c r="C11" s="74" t="str">
        <f>VLOOKUP(A11,'【3-2】大区&amp;运营中心填-房间模型价'!H:J,3,0)</f>
        <v>一居室</v>
      </c>
      <c r="D11" s="75">
        <v>1</v>
      </c>
      <c r="E11" s="75">
        <v>0</v>
      </c>
      <c r="F11" s="75">
        <v>0</v>
      </c>
      <c r="G11" s="75">
        <v>0</v>
      </c>
      <c r="H11" s="13" t="str">
        <f t="shared" si="0"/>
        <v>1</v>
      </c>
      <c r="I11" s="78"/>
    </row>
    <row r="12" spans="1:35">
      <c r="A12" s="40">
        <f>'【3-2】大区&amp;运营中心填-房间模型价'!H11</f>
        <v>210</v>
      </c>
      <c r="B12" s="40" t="str">
        <f>'【3-2】大区&amp;运营中心填-房间模型价'!I11</f>
        <v>A</v>
      </c>
      <c r="C12" s="74" t="str">
        <f>VLOOKUP(A12,'【3-2】大区&amp;运营中心填-房间模型价'!H:J,3,0)</f>
        <v>开间</v>
      </c>
      <c r="D12" s="75">
        <v>0.5</v>
      </c>
      <c r="E12" s="75">
        <v>0</v>
      </c>
      <c r="F12" s="75">
        <v>0</v>
      </c>
      <c r="G12" s="75">
        <v>0</v>
      </c>
      <c r="H12" s="13" t="str">
        <f t="shared" si="0"/>
        <v>2</v>
      </c>
      <c r="I12" s="78"/>
    </row>
    <row r="13" spans="1:35">
      <c r="A13" s="40">
        <f>'【3-2】大区&amp;运营中心填-房间模型价'!H12</f>
        <v>211</v>
      </c>
      <c r="B13" s="40" t="str">
        <f>'【3-2】大区&amp;运营中心填-房间模型价'!I12</f>
        <v>A</v>
      </c>
      <c r="C13" s="74" t="str">
        <f>VLOOKUP(A13,'【3-2】大区&amp;运营中心填-房间模型价'!H:J,3,0)</f>
        <v>开间</v>
      </c>
      <c r="D13" s="75">
        <v>0.5</v>
      </c>
      <c r="E13" s="75">
        <v>0</v>
      </c>
      <c r="F13" s="75">
        <v>0</v>
      </c>
      <c r="G13" s="75">
        <v>0</v>
      </c>
      <c r="H13" s="13" t="str">
        <f t="shared" si="0"/>
        <v>2</v>
      </c>
      <c r="I13" s="78"/>
    </row>
    <row r="14" spans="1:35">
      <c r="A14" s="40">
        <f>'【3-2】大区&amp;运营中心填-房间模型价'!H13</f>
        <v>212</v>
      </c>
      <c r="B14" s="40" t="str">
        <f>'【3-2】大区&amp;运营中心填-房间模型价'!I13</f>
        <v>D</v>
      </c>
      <c r="C14" s="74" t="str">
        <f>VLOOKUP(A14,'【3-2】大区&amp;运营中心填-房间模型价'!H:J,3,0)</f>
        <v>开间</v>
      </c>
      <c r="D14" s="75">
        <v>1</v>
      </c>
      <c r="E14" s="75">
        <v>0</v>
      </c>
      <c r="F14" s="75">
        <v>0</v>
      </c>
      <c r="G14" s="75">
        <v>0</v>
      </c>
      <c r="H14" s="13" t="str">
        <f t="shared" si="0"/>
        <v>2</v>
      </c>
      <c r="I14" s="78"/>
    </row>
    <row r="15" spans="1:35">
      <c r="A15" s="40">
        <f>'【3-2】大区&amp;运营中心填-房间模型价'!H14</f>
        <v>213</v>
      </c>
      <c r="B15" s="40" t="str">
        <f>'【3-2】大区&amp;运营中心填-房间模型价'!I14</f>
        <v>C</v>
      </c>
      <c r="C15" s="74" t="str">
        <f>VLOOKUP(A15,'【3-2】大区&amp;运营中心填-房间模型价'!H:J,3,0)</f>
        <v>一居室</v>
      </c>
      <c r="D15" s="75">
        <v>1</v>
      </c>
      <c r="E15" s="75">
        <v>0</v>
      </c>
      <c r="F15" s="75">
        <v>0</v>
      </c>
      <c r="G15" s="75">
        <v>0</v>
      </c>
      <c r="H15" s="13" t="str">
        <f t="shared" si="0"/>
        <v>1</v>
      </c>
      <c r="I15" s="78"/>
    </row>
    <row r="16" ht="23.4" spans="1:35">
      <c r="A16" s="40">
        <f>'【3-2】大区&amp;运营中心填-房间模型价'!H15</f>
        <v>214</v>
      </c>
      <c r="B16" s="40" t="str">
        <f>'【3-2】大区&amp;运营中心填-房间模型价'!I15</f>
        <v>B</v>
      </c>
      <c r="C16" s="74" t="str">
        <f>VLOOKUP(A16,'【3-2】大区&amp;运营中心填-房间模型价'!H:J,3,0)</f>
        <v>一居室</v>
      </c>
      <c r="D16" s="75">
        <v>1</v>
      </c>
      <c r="E16" s="75">
        <v>0</v>
      </c>
      <c r="F16" s="75">
        <v>0</v>
      </c>
      <c r="G16" s="75">
        <v>0</v>
      </c>
      <c r="H16" s="13" t="str">
        <f t="shared" si="0"/>
        <v>1</v>
      </c>
      <c r="I16" s="78"/>
      <c r="L16" s="83" t="s">
        <v>463</v>
      </c>
      <c r="M16" s="83"/>
      <c r="N16" s="83"/>
      <c r="O16" s="83"/>
      <c r="P16" s="83"/>
      <c r="R16" s="83" t="s">
        <v>464</v>
      </c>
      <c r="S16" s="83"/>
      <c r="T16" s="83"/>
      <c r="U16" s="83"/>
      <c r="V16" s="83"/>
      <c r="W16" s="83"/>
      <c r="X16" s="83"/>
      <c r="Y16" s="83"/>
      <c r="Z16" s="83"/>
      <c r="AB16" s="83" t="s">
        <v>465</v>
      </c>
      <c r="AC16" s="83"/>
      <c r="AD16" s="83"/>
      <c r="AE16" s="83"/>
      <c r="AF16" s="83"/>
      <c r="AG16" s="83"/>
      <c r="AH16" s="83"/>
      <c r="AI16" s="83"/>
    </row>
    <row r="17" spans="1:9">
      <c r="A17" s="40">
        <f>'【3-2】大区&amp;运营中心填-房间模型价'!H16</f>
        <v>301</v>
      </c>
      <c r="B17" s="40" t="str">
        <f>'【3-2】大区&amp;运营中心填-房间模型价'!I16</f>
        <v>B</v>
      </c>
      <c r="C17" s="74" t="str">
        <f>VLOOKUP(A17,'【3-2】大区&amp;运营中心填-房间模型价'!H:J,3,0)</f>
        <v>一居室</v>
      </c>
      <c r="D17" s="75">
        <v>1</v>
      </c>
      <c r="E17" s="75">
        <v>0</v>
      </c>
      <c r="F17" s="75">
        <v>0</v>
      </c>
      <c r="G17" s="75">
        <v>0</v>
      </c>
      <c r="H17" s="13" t="str">
        <f t="shared" si="0"/>
        <v>1</v>
      </c>
      <c r="I17" s="78"/>
    </row>
    <row r="18" spans="1:9">
      <c r="A18" s="40">
        <f>'【3-2】大区&amp;运营中心填-房间模型价'!H17</f>
        <v>302</v>
      </c>
      <c r="B18" s="40" t="str">
        <f>'【3-2】大区&amp;运营中心填-房间模型价'!I17</f>
        <v>A</v>
      </c>
      <c r="C18" s="74" t="str">
        <f>VLOOKUP(A18,'【3-2】大区&amp;运营中心填-房间模型价'!H:J,3,0)</f>
        <v>开间</v>
      </c>
      <c r="D18" s="75">
        <v>0.5</v>
      </c>
      <c r="E18" s="75">
        <v>0</v>
      </c>
      <c r="F18" s="75">
        <v>0</v>
      </c>
      <c r="G18" s="75">
        <v>0</v>
      </c>
      <c r="H18" s="13" t="str">
        <f t="shared" si="0"/>
        <v>2</v>
      </c>
      <c r="I18" s="78"/>
    </row>
    <row r="19" spans="1:9">
      <c r="A19" s="40">
        <f>'【3-2】大区&amp;运营中心填-房间模型价'!H18</f>
        <v>303</v>
      </c>
      <c r="B19" s="40" t="str">
        <f>'【3-2】大区&amp;运营中心填-房间模型价'!I18</f>
        <v>A</v>
      </c>
      <c r="C19" s="74" t="str">
        <f>VLOOKUP(A19,'【3-2】大区&amp;运营中心填-房间模型价'!H:J,3,0)</f>
        <v>开间</v>
      </c>
      <c r="D19" s="75">
        <v>0.5</v>
      </c>
      <c r="E19" s="75">
        <v>0</v>
      </c>
      <c r="F19" s="75">
        <v>0</v>
      </c>
      <c r="G19" s="75">
        <v>0</v>
      </c>
      <c r="H19" s="13" t="str">
        <f t="shared" si="0"/>
        <v>2</v>
      </c>
      <c r="I19" s="78"/>
    </row>
    <row r="20" spans="1:9">
      <c r="A20" s="40">
        <f>'【3-2】大区&amp;运营中心填-房间模型价'!H19</f>
        <v>304</v>
      </c>
      <c r="B20" s="40" t="str">
        <f>'【3-2】大区&amp;运营中心填-房间模型价'!I19</f>
        <v>B</v>
      </c>
      <c r="C20" s="74" t="str">
        <f>VLOOKUP(A20,'【3-2】大区&amp;运营中心填-房间模型价'!H:J,3,0)</f>
        <v>一居室</v>
      </c>
      <c r="D20" s="75">
        <v>1</v>
      </c>
      <c r="E20" s="75">
        <v>0</v>
      </c>
      <c r="F20" s="75">
        <v>0</v>
      </c>
      <c r="G20" s="75">
        <v>0</v>
      </c>
      <c r="H20" s="13" t="str">
        <f t="shared" si="0"/>
        <v>1</v>
      </c>
      <c r="I20" s="78"/>
    </row>
    <row r="21" spans="1:9">
      <c r="A21" s="40">
        <f>'【3-2】大区&amp;运营中心填-房间模型价'!H20</f>
        <v>305</v>
      </c>
      <c r="B21" s="40" t="str">
        <f>'【3-2】大区&amp;运营中心填-房间模型价'!I20</f>
        <v>C</v>
      </c>
      <c r="C21" s="74" t="str">
        <f>VLOOKUP(A21,'【3-2】大区&amp;运营中心填-房间模型价'!H:J,3,0)</f>
        <v>一居室</v>
      </c>
      <c r="D21" s="75">
        <v>1</v>
      </c>
      <c r="E21" s="75">
        <v>0</v>
      </c>
      <c r="F21" s="75">
        <v>0</v>
      </c>
      <c r="G21" s="75">
        <v>1</v>
      </c>
      <c r="H21" s="13" t="str">
        <f t="shared" si="0"/>
        <v>1</v>
      </c>
      <c r="I21" s="78"/>
    </row>
    <row r="22" spans="1:9">
      <c r="A22" s="40">
        <f>'【3-2】大区&amp;运营中心填-房间模型价'!H21</f>
        <v>306</v>
      </c>
      <c r="B22" s="40" t="str">
        <f>'【3-2】大区&amp;运营中心填-房间模型价'!I21</f>
        <v>D</v>
      </c>
      <c r="C22" s="74" t="str">
        <f>VLOOKUP(A22,'【3-2】大区&amp;运营中心填-房间模型价'!H:J,3,0)</f>
        <v>开间</v>
      </c>
      <c r="D22" s="75">
        <v>1</v>
      </c>
      <c r="E22" s="75">
        <v>0</v>
      </c>
      <c r="F22" s="75">
        <v>0</v>
      </c>
      <c r="G22" s="75">
        <v>1</v>
      </c>
      <c r="H22" s="13" t="str">
        <f t="shared" si="0"/>
        <v>1</v>
      </c>
      <c r="I22" s="78"/>
    </row>
    <row r="23" spans="1:9">
      <c r="A23" s="40">
        <f>'【3-2】大区&amp;运营中心填-房间模型价'!H22</f>
        <v>307</v>
      </c>
      <c r="B23" s="40" t="str">
        <f>'【3-2】大区&amp;运营中心填-房间模型价'!I22</f>
        <v>A</v>
      </c>
      <c r="C23" s="74" t="str">
        <f>VLOOKUP(A23,'【3-2】大区&amp;运营中心填-房间模型价'!H:J,3,0)</f>
        <v>开间</v>
      </c>
      <c r="D23" s="75">
        <v>0.5</v>
      </c>
      <c r="E23" s="75">
        <v>0</v>
      </c>
      <c r="F23" s="75">
        <v>0</v>
      </c>
      <c r="G23" s="75">
        <v>0</v>
      </c>
      <c r="H23" s="13" t="str">
        <f t="shared" si="0"/>
        <v>2</v>
      </c>
      <c r="I23" s="78"/>
    </row>
    <row r="24" spans="1:9">
      <c r="A24" s="40">
        <f>'【3-2】大区&amp;运营中心填-房间模型价'!H23</f>
        <v>308</v>
      </c>
      <c r="B24" s="40" t="str">
        <f>'【3-2】大区&amp;运营中心填-房间模型价'!I23</f>
        <v>A</v>
      </c>
      <c r="C24" s="74" t="str">
        <f>VLOOKUP(A24,'【3-2】大区&amp;运营中心填-房间模型价'!H:J,3,0)</f>
        <v>开间</v>
      </c>
      <c r="D24" s="75">
        <v>0.5</v>
      </c>
      <c r="E24" s="75">
        <v>0</v>
      </c>
      <c r="F24" s="75">
        <v>0</v>
      </c>
      <c r="G24" s="75">
        <v>0</v>
      </c>
      <c r="H24" s="13" t="str">
        <f t="shared" si="0"/>
        <v>2</v>
      </c>
      <c r="I24" s="78"/>
    </row>
    <row r="25" spans="1:9">
      <c r="A25" s="40">
        <f>'【3-2】大区&amp;运营中心填-房间模型价'!H24</f>
        <v>309</v>
      </c>
      <c r="B25" s="40" t="str">
        <f>'【3-2】大区&amp;运营中心填-房间模型价'!I24</f>
        <v>E</v>
      </c>
      <c r="C25" s="74" t="str">
        <f>VLOOKUP(A25,'【3-2】大区&amp;运营中心填-房间模型价'!H:J,3,0)</f>
        <v>一居室</v>
      </c>
      <c r="D25" s="75">
        <v>1</v>
      </c>
      <c r="E25" s="75">
        <v>0</v>
      </c>
      <c r="F25" s="75">
        <v>0</v>
      </c>
      <c r="G25" s="75">
        <v>0</v>
      </c>
      <c r="H25" s="13" t="str">
        <f t="shared" si="0"/>
        <v>1</v>
      </c>
      <c r="I25" s="78"/>
    </row>
    <row r="26" spans="1:9">
      <c r="A26" s="40">
        <f>'【3-2】大区&amp;运营中心填-房间模型价'!H25</f>
        <v>310</v>
      </c>
      <c r="B26" s="40" t="str">
        <f>'【3-2】大区&amp;运营中心填-房间模型价'!I25</f>
        <v>A</v>
      </c>
      <c r="C26" s="74" t="str">
        <f>VLOOKUP(A26,'【3-2】大区&amp;运营中心填-房间模型价'!H:J,3,0)</f>
        <v>开间</v>
      </c>
      <c r="D26" s="75">
        <v>0.5</v>
      </c>
      <c r="E26" s="75">
        <v>0</v>
      </c>
      <c r="F26" s="75">
        <v>0</v>
      </c>
      <c r="G26" s="75">
        <v>0</v>
      </c>
      <c r="H26" s="13" t="str">
        <f t="shared" ref="H26:H40" si="1">IF(C26="开间",IF(D26+E26*2-G26&lt;=0,"1",IF(D26+E26*2-G26&lt;=1,"2",IF(D26+E26*2-G26&lt;=2,"3",IF(D26+E26*2-G26&lt;=3,"4","5")))),IF(D26+E26*2-G26&lt;1.1,"1",IF(D26+E26*2-G26&lt;=2,"2",IF(D26+E26*2-G26&lt;=3,"3",IF(D26+E26*2-G26&lt;=4,"4","5")))))</f>
        <v>2</v>
      </c>
      <c r="I26" s="78"/>
    </row>
    <row r="27" spans="1:9">
      <c r="A27" s="40">
        <f>'【3-2】大区&amp;运营中心填-房间模型价'!H26</f>
        <v>311</v>
      </c>
      <c r="B27" s="40" t="str">
        <f>'【3-2】大区&amp;运营中心填-房间模型价'!I26</f>
        <v>A</v>
      </c>
      <c r="C27" s="74" t="str">
        <f>VLOOKUP(A27,'【3-2】大区&amp;运营中心填-房间模型价'!H:J,3,0)</f>
        <v>开间</v>
      </c>
      <c r="D27" s="75">
        <v>0.5</v>
      </c>
      <c r="E27" s="75">
        <v>0</v>
      </c>
      <c r="F27" s="75">
        <v>0</v>
      </c>
      <c r="G27" s="75">
        <v>0</v>
      </c>
      <c r="H27" s="13" t="str">
        <f t="shared" si="1"/>
        <v>2</v>
      </c>
      <c r="I27" s="78"/>
    </row>
    <row r="28" spans="1:9">
      <c r="A28" s="40">
        <f>'【3-2】大区&amp;运营中心填-房间模型价'!H27</f>
        <v>312</v>
      </c>
      <c r="B28" s="40" t="str">
        <f>'【3-2】大区&amp;运营中心填-房间模型价'!I27</f>
        <v>D</v>
      </c>
      <c r="C28" s="74" t="str">
        <f>VLOOKUP(A28,'【3-2】大区&amp;运营中心填-房间模型价'!H:J,3,0)</f>
        <v>开间</v>
      </c>
      <c r="D28" s="75">
        <v>1</v>
      </c>
      <c r="E28" s="75">
        <v>0</v>
      </c>
      <c r="F28" s="75">
        <v>0</v>
      </c>
      <c r="G28" s="75">
        <v>0</v>
      </c>
      <c r="H28" s="13" t="str">
        <f t="shared" si="1"/>
        <v>2</v>
      </c>
      <c r="I28" s="78"/>
    </row>
    <row r="29" spans="1:9">
      <c r="A29" s="40">
        <f>'【3-2】大区&amp;运营中心填-房间模型价'!H28</f>
        <v>313</v>
      </c>
      <c r="B29" s="40" t="str">
        <f>'【3-2】大区&amp;运营中心填-房间模型价'!I28</f>
        <v>C</v>
      </c>
      <c r="C29" s="74" t="str">
        <f>VLOOKUP(A29,'【3-2】大区&amp;运营中心填-房间模型价'!H:J,3,0)</f>
        <v>一居室</v>
      </c>
      <c r="D29" s="75">
        <v>1</v>
      </c>
      <c r="E29" s="75">
        <v>0</v>
      </c>
      <c r="F29" s="75">
        <v>0</v>
      </c>
      <c r="G29" s="75">
        <v>0</v>
      </c>
      <c r="H29" s="13" t="str">
        <f t="shared" si="1"/>
        <v>1</v>
      </c>
      <c r="I29" s="78"/>
    </row>
    <row r="30" spans="1:9">
      <c r="A30" s="40">
        <f>'【3-2】大区&amp;运营中心填-房间模型价'!H29</f>
        <v>314</v>
      </c>
      <c r="B30" s="40" t="str">
        <f>'【3-2】大区&amp;运营中心填-房间模型价'!I29</f>
        <v>B</v>
      </c>
      <c r="C30" s="74" t="str">
        <f>VLOOKUP(A30,'【3-2】大区&amp;运营中心填-房间模型价'!H:J,3,0)</f>
        <v>一居室</v>
      </c>
      <c r="D30" s="75">
        <v>1</v>
      </c>
      <c r="E30" s="75">
        <v>0</v>
      </c>
      <c r="F30" s="75">
        <v>0</v>
      </c>
      <c r="G30" s="75">
        <v>0</v>
      </c>
      <c r="H30" s="13" t="str">
        <f t="shared" si="1"/>
        <v>1</v>
      </c>
      <c r="I30" s="78"/>
    </row>
    <row r="31" spans="1:9">
      <c r="A31" s="40">
        <f>'【3-2】大区&amp;运营中心填-房间模型价'!H30</f>
        <v>401</v>
      </c>
      <c r="B31" s="40" t="str">
        <f>'【3-2】大区&amp;运营中心填-房间模型价'!I30</f>
        <v>B</v>
      </c>
      <c r="C31" s="74" t="str">
        <f>VLOOKUP(A31,'【3-2】大区&amp;运营中心填-房间模型价'!H:J,3,0)</f>
        <v>一居室</v>
      </c>
      <c r="D31" s="75">
        <v>1</v>
      </c>
      <c r="E31" s="75">
        <v>0</v>
      </c>
      <c r="F31" s="75">
        <v>0</v>
      </c>
      <c r="G31" s="75">
        <v>0</v>
      </c>
      <c r="H31" s="13" t="str">
        <f t="shared" si="1"/>
        <v>1</v>
      </c>
      <c r="I31" s="78"/>
    </row>
    <row r="32" spans="1:9">
      <c r="A32" s="40">
        <f>'【3-2】大区&amp;运营中心填-房间模型价'!H31</f>
        <v>402</v>
      </c>
      <c r="B32" s="40" t="str">
        <f>'【3-2】大区&amp;运营中心填-房间模型价'!I31</f>
        <v>A</v>
      </c>
      <c r="C32" s="74" t="str">
        <f>VLOOKUP(A32,'【3-2】大区&amp;运营中心填-房间模型价'!H:J,3,0)</f>
        <v>开间</v>
      </c>
      <c r="D32" s="75">
        <v>0.5</v>
      </c>
      <c r="E32" s="75">
        <v>0</v>
      </c>
      <c r="F32" s="75">
        <v>0</v>
      </c>
      <c r="G32" s="75">
        <v>0</v>
      </c>
      <c r="H32" s="13" t="str">
        <f t="shared" si="1"/>
        <v>2</v>
      </c>
      <c r="I32" s="78"/>
    </row>
    <row r="33" spans="1:9">
      <c r="A33" s="40">
        <f>'【3-2】大区&amp;运营中心填-房间模型价'!H32</f>
        <v>403</v>
      </c>
      <c r="B33" s="40" t="str">
        <f>'【3-2】大区&amp;运营中心填-房间模型价'!I32</f>
        <v>A</v>
      </c>
      <c r="C33" s="74" t="str">
        <f>VLOOKUP(A33,'【3-2】大区&amp;运营中心填-房间模型价'!H:J,3,0)</f>
        <v>开间</v>
      </c>
      <c r="D33" s="75">
        <v>0.5</v>
      </c>
      <c r="E33" s="75">
        <v>0</v>
      </c>
      <c r="F33" s="75">
        <v>0</v>
      </c>
      <c r="G33" s="75">
        <v>0</v>
      </c>
      <c r="H33" s="13" t="str">
        <f t="shared" si="1"/>
        <v>2</v>
      </c>
      <c r="I33" s="78"/>
    </row>
    <row r="34" spans="1:9">
      <c r="A34" s="40">
        <f>'【3-2】大区&amp;运营中心填-房间模型价'!H33</f>
        <v>404</v>
      </c>
      <c r="B34" s="40" t="str">
        <f>'【3-2】大区&amp;运营中心填-房间模型价'!I33</f>
        <v>B</v>
      </c>
      <c r="C34" s="74" t="str">
        <f>VLOOKUP(A34,'【3-2】大区&amp;运营中心填-房间模型价'!H:J,3,0)</f>
        <v>一居室</v>
      </c>
      <c r="D34" s="75">
        <v>1</v>
      </c>
      <c r="E34" s="75">
        <v>0</v>
      </c>
      <c r="F34" s="75">
        <v>0</v>
      </c>
      <c r="G34" s="75">
        <v>0</v>
      </c>
      <c r="H34" s="13" t="str">
        <f t="shared" si="1"/>
        <v>1</v>
      </c>
      <c r="I34" s="78"/>
    </row>
    <row r="35" spans="1:9">
      <c r="A35" s="40">
        <f>'【3-2】大区&amp;运营中心填-房间模型价'!H34</f>
        <v>405</v>
      </c>
      <c r="B35" s="40" t="str">
        <f>'【3-2】大区&amp;运营中心填-房间模型价'!I34</f>
        <v>C</v>
      </c>
      <c r="C35" s="74" t="str">
        <f>VLOOKUP(A35,'【3-2】大区&amp;运营中心填-房间模型价'!H:J,3,0)</f>
        <v>一居室</v>
      </c>
      <c r="D35" s="75">
        <v>1</v>
      </c>
      <c r="E35" s="75">
        <v>0</v>
      </c>
      <c r="F35" s="75">
        <v>0</v>
      </c>
      <c r="G35" s="75">
        <v>1</v>
      </c>
      <c r="H35" s="13" t="str">
        <f t="shared" si="1"/>
        <v>1</v>
      </c>
      <c r="I35" s="78"/>
    </row>
    <row r="36" spans="1:9">
      <c r="A36" s="40">
        <f>'【3-2】大区&amp;运营中心填-房间模型价'!H35</f>
        <v>406</v>
      </c>
      <c r="B36" s="40" t="str">
        <f>'【3-2】大区&amp;运营中心填-房间模型价'!I35</f>
        <v>D</v>
      </c>
      <c r="C36" s="74" t="str">
        <f>VLOOKUP(A36,'【3-2】大区&amp;运营中心填-房间模型价'!H:J,3,0)</f>
        <v>开间</v>
      </c>
      <c r="D36" s="75">
        <v>1</v>
      </c>
      <c r="E36" s="75">
        <v>0</v>
      </c>
      <c r="F36" s="75">
        <v>0</v>
      </c>
      <c r="G36" s="75">
        <v>1</v>
      </c>
      <c r="H36" s="13" t="str">
        <f t="shared" si="1"/>
        <v>1</v>
      </c>
      <c r="I36" s="78"/>
    </row>
    <row r="37" spans="1:9">
      <c r="A37" s="40">
        <f>'【3-2】大区&amp;运营中心填-房间模型价'!H36</f>
        <v>407</v>
      </c>
      <c r="B37" s="40" t="str">
        <f>'【3-2】大区&amp;运营中心填-房间模型价'!I36</f>
        <v>A</v>
      </c>
      <c r="C37" s="74" t="str">
        <f>VLOOKUP(A37,'【3-2】大区&amp;运营中心填-房间模型价'!H:J,3,0)</f>
        <v>开间</v>
      </c>
      <c r="D37" s="75">
        <v>0.5</v>
      </c>
      <c r="E37" s="75">
        <v>0</v>
      </c>
      <c r="F37" s="75">
        <v>0</v>
      </c>
      <c r="G37" s="75">
        <v>0</v>
      </c>
      <c r="H37" s="13" t="str">
        <f t="shared" si="1"/>
        <v>2</v>
      </c>
      <c r="I37" s="78"/>
    </row>
    <row r="38" spans="1:9">
      <c r="A38" s="40">
        <f>'【3-2】大区&amp;运营中心填-房间模型价'!H37</f>
        <v>408</v>
      </c>
      <c r="B38" s="40" t="str">
        <f>'【3-2】大区&amp;运营中心填-房间模型价'!I37</f>
        <v>A</v>
      </c>
      <c r="C38" s="74" t="str">
        <f>VLOOKUP(A38,'【3-2】大区&amp;运营中心填-房间模型价'!H:J,3,0)</f>
        <v>开间</v>
      </c>
      <c r="D38" s="75">
        <v>0.5</v>
      </c>
      <c r="E38" s="75">
        <v>0</v>
      </c>
      <c r="F38" s="75">
        <v>0</v>
      </c>
      <c r="G38" s="75">
        <v>0</v>
      </c>
      <c r="H38" s="13" t="str">
        <f t="shared" si="1"/>
        <v>2</v>
      </c>
      <c r="I38" s="78"/>
    </row>
    <row r="39" spans="1:9">
      <c r="A39" s="40">
        <f>'【3-2】大区&amp;运营中心填-房间模型价'!H38</f>
        <v>409</v>
      </c>
      <c r="B39" s="40" t="str">
        <f>'【3-2】大区&amp;运营中心填-房间模型价'!I38</f>
        <v>E</v>
      </c>
      <c r="C39" s="74" t="str">
        <f>VLOOKUP(A39,'【3-2】大区&amp;运营中心填-房间模型价'!H:J,3,0)</f>
        <v>一居室</v>
      </c>
      <c r="D39" s="75">
        <v>1</v>
      </c>
      <c r="E39" s="75">
        <v>0</v>
      </c>
      <c r="F39" s="75">
        <v>0</v>
      </c>
      <c r="G39" s="75">
        <v>0</v>
      </c>
      <c r="H39" s="13" t="str">
        <f t="shared" si="1"/>
        <v>1</v>
      </c>
      <c r="I39" s="78"/>
    </row>
    <row r="40" spans="1:9">
      <c r="A40" s="40">
        <f>'【3-2】大区&amp;运营中心填-房间模型价'!H39</f>
        <v>410</v>
      </c>
      <c r="B40" s="40" t="str">
        <f>'【3-2】大区&amp;运营中心填-房间模型价'!I39</f>
        <v>A</v>
      </c>
      <c r="C40" s="74" t="str">
        <f>VLOOKUP(A40,'【3-2】大区&amp;运营中心填-房间模型价'!H:J,3,0)</f>
        <v>开间</v>
      </c>
      <c r="D40" s="75">
        <v>0.5</v>
      </c>
      <c r="E40" s="75">
        <v>0</v>
      </c>
      <c r="F40" s="75">
        <v>0</v>
      </c>
      <c r="G40" s="75">
        <v>0</v>
      </c>
      <c r="H40" s="13" t="str">
        <f t="shared" si="1"/>
        <v>2</v>
      </c>
      <c r="I40" s="78"/>
    </row>
    <row r="41" spans="1:9">
      <c r="A41" s="40">
        <f>'【3-2】大区&amp;运营中心填-房间模型价'!H40</f>
        <v>411</v>
      </c>
      <c r="B41" s="40" t="str">
        <f>'【3-2】大区&amp;运营中心填-房间模型价'!I40</f>
        <v>A</v>
      </c>
      <c r="C41" s="74" t="str">
        <f>VLOOKUP(A41,'【3-2】大区&amp;运营中心填-房间模型价'!H:J,3,0)</f>
        <v>开间</v>
      </c>
      <c r="D41" s="75">
        <v>0.5</v>
      </c>
      <c r="E41" s="75">
        <v>0</v>
      </c>
      <c r="F41" s="75">
        <v>0</v>
      </c>
      <c r="G41" s="75">
        <v>0</v>
      </c>
      <c r="H41" s="13" t="str">
        <f t="shared" ref="H41:H75" si="2">IF(C41="开间",IF(D41+E41*2-G41&lt;=0,"1",IF(D41+E41*2-G41&lt;=1,"2",IF(D41+E41*2-G41&lt;=2,"3",IF(D41+E41*2-G41&lt;=3,"4","5")))),IF(D41+E41*2-G41&lt;1.1,"1",IF(D41+E41*2-G41&lt;=2,"2",IF(D41+E41*2-G41&lt;=3,"3",IF(D41+E41*2-G41&lt;=4,"4","5")))))</f>
        <v>2</v>
      </c>
      <c r="I41" s="78"/>
    </row>
    <row r="42" spans="1:9">
      <c r="A42" s="40">
        <f>'【3-2】大区&amp;运营中心填-房间模型价'!H41</f>
        <v>412</v>
      </c>
      <c r="B42" s="40" t="str">
        <f>'【3-2】大区&amp;运营中心填-房间模型价'!I41</f>
        <v>D</v>
      </c>
      <c r="C42" s="74" t="str">
        <f>VLOOKUP(A42,'【3-2】大区&amp;运营中心填-房间模型价'!H:J,3,0)</f>
        <v>开间</v>
      </c>
      <c r="D42" s="75">
        <v>1</v>
      </c>
      <c r="E42" s="75">
        <v>0</v>
      </c>
      <c r="F42" s="75">
        <v>0</v>
      </c>
      <c r="G42" s="75">
        <v>0</v>
      </c>
      <c r="H42" s="13" t="str">
        <f t="shared" si="2"/>
        <v>2</v>
      </c>
      <c r="I42" s="78"/>
    </row>
    <row r="43" spans="1:9">
      <c r="A43" s="40">
        <f>'【3-2】大区&amp;运营中心填-房间模型价'!H42</f>
        <v>413</v>
      </c>
      <c r="B43" s="40" t="str">
        <f>'【3-2】大区&amp;运营中心填-房间模型价'!I42</f>
        <v>C</v>
      </c>
      <c r="C43" s="74" t="str">
        <f>VLOOKUP(A43,'【3-2】大区&amp;运营中心填-房间模型价'!H:J,3,0)</f>
        <v>一居室</v>
      </c>
      <c r="D43" s="75">
        <v>1</v>
      </c>
      <c r="E43" s="75">
        <v>0</v>
      </c>
      <c r="F43" s="75">
        <v>0</v>
      </c>
      <c r="G43" s="75">
        <v>-1</v>
      </c>
      <c r="H43" s="13" t="str">
        <f t="shared" si="2"/>
        <v>2</v>
      </c>
      <c r="I43" s="78"/>
    </row>
    <row r="44" spans="1:9">
      <c r="A44" s="40">
        <f>'【3-2】大区&amp;运营中心填-房间模型价'!H43</f>
        <v>414</v>
      </c>
      <c r="B44" s="40" t="str">
        <f>'【3-2】大区&amp;运营中心填-房间模型价'!I43</f>
        <v>B</v>
      </c>
      <c r="C44" s="74" t="str">
        <f>VLOOKUP(A44,'【3-2】大区&amp;运营中心填-房间模型价'!H:J,3,0)</f>
        <v>一居室</v>
      </c>
      <c r="D44" s="75">
        <v>1</v>
      </c>
      <c r="E44" s="75">
        <v>0</v>
      </c>
      <c r="F44" s="75">
        <v>0</v>
      </c>
      <c r="G44" s="75">
        <v>-1</v>
      </c>
      <c r="H44" s="13" t="str">
        <f t="shared" si="2"/>
        <v>2</v>
      </c>
      <c r="I44" s="78"/>
    </row>
    <row r="45" spans="1:9">
      <c r="A45" s="40">
        <f>'【3-2】大区&amp;运营中心填-房间模型价'!H44</f>
        <v>501</v>
      </c>
      <c r="B45" s="40" t="str">
        <f>'【3-2】大区&amp;运营中心填-房间模型价'!I44</f>
        <v>B</v>
      </c>
      <c r="C45" s="74" t="str">
        <f>VLOOKUP(A45,'【3-2】大区&amp;运营中心填-房间模型价'!H:J,3,0)</f>
        <v>一居室</v>
      </c>
      <c r="D45" s="75">
        <v>1</v>
      </c>
      <c r="E45" s="75">
        <v>0</v>
      </c>
      <c r="F45" s="75">
        <v>0</v>
      </c>
      <c r="G45" s="75">
        <v>0</v>
      </c>
      <c r="H45" s="13" t="str">
        <f t="shared" si="2"/>
        <v>1</v>
      </c>
      <c r="I45" s="78"/>
    </row>
    <row r="46" spans="1:9">
      <c r="A46" s="40">
        <f>'【3-2】大区&amp;运营中心填-房间模型价'!H45</f>
        <v>502</v>
      </c>
      <c r="B46" s="40" t="str">
        <f>'【3-2】大区&amp;运营中心填-房间模型价'!I45</f>
        <v>A</v>
      </c>
      <c r="C46" s="74" t="str">
        <f>VLOOKUP(A46,'【3-2】大区&amp;运营中心填-房间模型价'!H:J,3,0)</f>
        <v>开间</v>
      </c>
      <c r="D46" s="75">
        <v>0.5</v>
      </c>
      <c r="E46" s="75">
        <v>0</v>
      </c>
      <c r="F46" s="75">
        <v>0</v>
      </c>
      <c r="G46" s="75">
        <v>0</v>
      </c>
      <c r="H46" s="13" t="str">
        <f t="shared" si="2"/>
        <v>2</v>
      </c>
      <c r="I46" s="78"/>
    </row>
    <row r="47" spans="1:9">
      <c r="A47" s="40">
        <f>'【3-2】大区&amp;运营中心填-房间模型价'!H46</f>
        <v>503</v>
      </c>
      <c r="B47" s="40" t="str">
        <f>'【3-2】大区&amp;运营中心填-房间模型价'!I46</f>
        <v>A</v>
      </c>
      <c r="C47" s="74" t="str">
        <f>VLOOKUP(A47,'【3-2】大区&amp;运营中心填-房间模型价'!H:J,3,0)</f>
        <v>开间</v>
      </c>
      <c r="D47" s="75">
        <v>0.5</v>
      </c>
      <c r="E47" s="75">
        <v>0</v>
      </c>
      <c r="F47" s="75">
        <v>0</v>
      </c>
      <c r="G47" s="75">
        <v>0</v>
      </c>
      <c r="H47" s="13" t="str">
        <f t="shared" si="2"/>
        <v>2</v>
      </c>
      <c r="I47" s="78"/>
    </row>
    <row r="48" spans="1:9">
      <c r="A48" s="40">
        <f>'【3-2】大区&amp;运营中心填-房间模型价'!H47</f>
        <v>504</v>
      </c>
      <c r="B48" s="40" t="str">
        <f>'【3-2】大区&amp;运营中心填-房间模型价'!I47</f>
        <v>B</v>
      </c>
      <c r="C48" s="74" t="str">
        <f>VLOOKUP(A48,'【3-2】大区&amp;运营中心填-房间模型价'!H:J,3,0)</f>
        <v>一居室</v>
      </c>
      <c r="D48" s="75">
        <v>1</v>
      </c>
      <c r="E48" s="75">
        <v>0</v>
      </c>
      <c r="F48" s="75">
        <v>0</v>
      </c>
      <c r="G48" s="75">
        <v>0</v>
      </c>
      <c r="H48" s="13" t="str">
        <f t="shared" si="2"/>
        <v>1</v>
      </c>
      <c r="I48" s="78"/>
    </row>
    <row r="49" spans="1:9">
      <c r="A49" s="40">
        <f>'【3-2】大区&amp;运营中心填-房间模型价'!H48</f>
        <v>505</v>
      </c>
      <c r="B49" s="40" t="str">
        <f>'【3-2】大区&amp;运营中心填-房间模型价'!I48</f>
        <v>C</v>
      </c>
      <c r="C49" s="74" t="str">
        <f>VLOOKUP(A49,'【3-2】大区&amp;运营中心填-房间模型价'!H:J,3,0)</f>
        <v>一居室</v>
      </c>
      <c r="D49" s="75">
        <v>1</v>
      </c>
      <c r="E49" s="75">
        <v>0</v>
      </c>
      <c r="F49" s="75">
        <v>0</v>
      </c>
      <c r="G49" s="75">
        <v>-1</v>
      </c>
      <c r="H49" s="13" t="str">
        <f t="shared" si="2"/>
        <v>2</v>
      </c>
      <c r="I49" s="78"/>
    </row>
    <row r="50" spans="1:9">
      <c r="A50" s="40">
        <f>'【3-2】大区&amp;运营中心填-房间模型价'!H49</f>
        <v>506</v>
      </c>
      <c r="B50" s="40" t="str">
        <f>'【3-2】大区&amp;运营中心填-房间模型价'!I49</f>
        <v>D</v>
      </c>
      <c r="C50" s="74" t="str">
        <f>VLOOKUP(A50,'【3-2】大区&amp;运营中心填-房间模型价'!H:J,3,0)</f>
        <v>开间</v>
      </c>
      <c r="D50" s="75">
        <v>1</v>
      </c>
      <c r="E50" s="75">
        <v>0</v>
      </c>
      <c r="F50" s="75">
        <v>0</v>
      </c>
      <c r="G50" s="75">
        <v>-1</v>
      </c>
      <c r="H50" s="13" t="str">
        <f t="shared" si="2"/>
        <v>3</v>
      </c>
      <c r="I50" s="78"/>
    </row>
    <row r="51" spans="1:9">
      <c r="A51" s="40">
        <f>'【3-2】大区&amp;运营中心填-房间模型价'!H50</f>
        <v>507</v>
      </c>
      <c r="B51" s="40" t="str">
        <f>'【3-2】大区&amp;运营中心填-房间模型价'!I50</f>
        <v>A</v>
      </c>
      <c r="C51" s="74" t="str">
        <f>VLOOKUP(A51,'【3-2】大区&amp;运营中心填-房间模型价'!H:J,3,0)</f>
        <v>开间</v>
      </c>
      <c r="D51" s="75">
        <v>0.5</v>
      </c>
      <c r="E51" s="75">
        <v>0</v>
      </c>
      <c r="F51" s="75">
        <v>0</v>
      </c>
      <c r="G51" s="75">
        <v>-1</v>
      </c>
      <c r="H51" s="13" t="str">
        <f t="shared" si="2"/>
        <v>3</v>
      </c>
      <c r="I51" s="78"/>
    </row>
    <row r="52" spans="1:9">
      <c r="A52" s="40">
        <f>'【3-2】大区&amp;运营中心填-房间模型价'!H51</f>
        <v>508</v>
      </c>
      <c r="B52" s="40" t="str">
        <f>'【3-2】大区&amp;运营中心填-房间模型价'!I51</f>
        <v>A</v>
      </c>
      <c r="C52" s="74" t="str">
        <f>VLOOKUP(A52,'【3-2】大区&amp;运营中心填-房间模型价'!H:J,3,0)</f>
        <v>开间</v>
      </c>
      <c r="D52" s="75">
        <v>0.5</v>
      </c>
      <c r="E52" s="75">
        <v>0</v>
      </c>
      <c r="F52" s="75">
        <v>0</v>
      </c>
      <c r="G52" s="75">
        <v>-1</v>
      </c>
      <c r="H52" s="13" t="str">
        <f t="shared" si="2"/>
        <v>3</v>
      </c>
      <c r="I52" s="78"/>
    </row>
    <row r="53" spans="1:9">
      <c r="A53" s="40">
        <f>'【3-2】大区&amp;运营中心填-房间模型价'!H52</f>
        <v>509</v>
      </c>
      <c r="B53" s="40" t="str">
        <f>'【3-2】大区&amp;运营中心填-房间模型价'!I52</f>
        <v>E</v>
      </c>
      <c r="C53" s="74" t="str">
        <f>VLOOKUP(A53,'【3-2】大区&amp;运营中心填-房间模型价'!H:J,3,0)</f>
        <v>一居室</v>
      </c>
      <c r="D53" s="75">
        <v>1</v>
      </c>
      <c r="E53" s="75">
        <v>0</v>
      </c>
      <c r="F53" s="75">
        <v>0</v>
      </c>
      <c r="G53" s="75">
        <v>-1</v>
      </c>
      <c r="H53" s="13" t="str">
        <f t="shared" si="2"/>
        <v>2</v>
      </c>
      <c r="I53" s="78"/>
    </row>
    <row r="54" spans="1:9">
      <c r="A54" s="40">
        <f>'【3-2】大区&amp;运营中心填-房间模型价'!H53</f>
        <v>510</v>
      </c>
      <c r="B54" s="40" t="str">
        <f>'【3-2】大区&amp;运营中心填-房间模型价'!I53</f>
        <v>A</v>
      </c>
      <c r="C54" s="74" t="str">
        <f>VLOOKUP(A54,'【3-2】大区&amp;运营中心填-房间模型价'!H:J,3,0)</f>
        <v>开间</v>
      </c>
      <c r="D54" s="75">
        <v>0.5</v>
      </c>
      <c r="E54" s="75">
        <v>0</v>
      </c>
      <c r="F54" s="75">
        <v>0</v>
      </c>
      <c r="G54" s="75">
        <v>0</v>
      </c>
      <c r="H54" s="13" t="str">
        <f t="shared" si="2"/>
        <v>2</v>
      </c>
      <c r="I54" s="78"/>
    </row>
    <row r="55" spans="1:9">
      <c r="A55" s="40">
        <f>'【3-2】大区&amp;运营中心填-房间模型价'!H54</f>
        <v>511</v>
      </c>
      <c r="B55" s="40" t="str">
        <f>'【3-2】大区&amp;运营中心填-房间模型价'!I54</f>
        <v>A</v>
      </c>
      <c r="C55" s="74" t="str">
        <f>VLOOKUP(A55,'【3-2】大区&amp;运营中心填-房间模型价'!H:J,3,0)</f>
        <v>开间</v>
      </c>
      <c r="D55" s="75">
        <v>0.5</v>
      </c>
      <c r="E55" s="75">
        <v>0</v>
      </c>
      <c r="F55" s="75">
        <v>0</v>
      </c>
      <c r="G55" s="75">
        <v>0</v>
      </c>
      <c r="H55" s="13" t="str">
        <f t="shared" si="2"/>
        <v>2</v>
      </c>
      <c r="I55" s="78"/>
    </row>
    <row r="56" spans="1:9">
      <c r="A56" s="40">
        <f>'【3-2】大区&amp;运营中心填-房间模型价'!H55</f>
        <v>512</v>
      </c>
      <c r="B56" s="40" t="str">
        <f>'【3-2】大区&amp;运营中心填-房间模型价'!I55</f>
        <v>D</v>
      </c>
      <c r="C56" s="74" t="str">
        <f>VLOOKUP(A56,'【3-2】大区&amp;运营中心填-房间模型价'!H:J,3,0)</f>
        <v>开间</v>
      </c>
      <c r="D56" s="75">
        <v>1</v>
      </c>
      <c r="E56" s="75">
        <v>0</v>
      </c>
      <c r="F56" s="75">
        <v>0</v>
      </c>
      <c r="G56" s="75">
        <v>0</v>
      </c>
      <c r="H56" s="13" t="str">
        <f t="shared" si="2"/>
        <v>2</v>
      </c>
      <c r="I56" s="78"/>
    </row>
    <row r="57" spans="1:9">
      <c r="A57" s="40">
        <f>'【3-2】大区&amp;运营中心填-房间模型价'!H56</f>
        <v>513</v>
      </c>
      <c r="B57" s="40" t="str">
        <f>'【3-2】大区&amp;运营中心填-房间模型价'!I56</f>
        <v>C</v>
      </c>
      <c r="C57" s="74" t="str">
        <f>VLOOKUP(A57,'【3-2】大区&amp;运营中心填-房间模型价'!H:J,3,0)</f>
        <v>一居室</v>
      </c>
      <c r="D57" s="75">
        <v>1</v>
      </c>
      <c r="E57" s="75">
        <v>0</v>
      </c>
      <c r="F57" s="75">
        <v>0</v>
      </c>
      <c r="G57" s="75">
        <v>-1</v>
      </c>
      <c r="H57" s="13" t="str">
        <f t="shared" si="2"/>
        <v>2</v>
      </c>
      <c r="I57" s="78"/>
    </row>
    <row r="58" spans="1:9">
      <c r="A58" s="40">
        <f>'【3-2】大区&amp;运营中心填-房间模型价'!H57</f>
        <v>514</v>
      </c>
      <c r="B58" s="40" t="str">
        <f>'【3-2】大区&amp;运营中心填-房间模型价'!I57</f>
        <v>B</v>
      </c>
      <c r="C58" s="74" t="str">
        <f>VLOOKUP(A58,'【3-2】大区&amp;运营中心填-房间模型价'!H:J,3,0)</f>
        <v>一居室</v>
      </c>
      <c r="D58" s="75">
        <v>1</v>
      </c>
      <c r="E58" s="75">
        <v>0</v>
      </c>
      <c r="F58" s="75">
        <v>0</v>
      </c>
      <c r="G58" s="75">
        <v>-1</v>
      </c>
      <c r="H58" s="13" t="str">
        <f t="shared" si="2"/>
        <v>2</v>
      </c>
      <c r="I58" s="78"/>
    </row>
    <row r="59" spans="1:9">
      <c r="A59" s="40">
        <f>'【3-2】大区&amp;运营中心填-房间模型价'!H58</f>
        <v>601</v>
      </c>
      <c r="B59" s="40" t="str">
        <f>'【3-2】大区&amp;运营中心填-房间模型价'!I58</f>
        <v>B</v>
      </c>
      <c r="C59" s="74" t="str">
        <f>VLOOKUP(A59,'【3-2】大区&amp;运营中心填-房间模型价'!H:J,3,0)</f>
        <v>一居室</v>
      </c>
      <c r="D59" s="75">
        <v>1</v>
      </c>
      <c r="E59" s="75">
        <v>0</v>
      </c>
      <c r="F59" s="75">
        <v>0</v>
      </c>
      <c r="G59" s="75">
        <v>-1</v>
      </c>
      <c r="H59" s="13" t="str">
        <f t="shared" si="2"/>
        <v>2</v>
      </c>
      <c r="I59" s="78"/>
    </row>
    <row r="60" spans="1:9">
      <c r="A60" s="40">
        <f>'【3-2】大区&amp;运营中心填-房间模型价'!H59</f>
        <v>602</v>
      </c>
      <c r="B60" s="40" t="str">
        <f>'【3-2】大区&amp;运营中心填-房间模型价'!I59</f>
        <v>A</v>
      </c>
      <c r="C60" s="74" t="str">
        <f>VLOOKUP(A60,'【3-2】大区&amp;运营中心填-房间模型价'!H:J,3,0)</f>
        <v>开间</v>
      </c>
      <c r="D60" s="75">
        <v>0.5</v>
      </c>
      <c r="E60" s="75">
        <v>0</v>
      </c>
      <c r="F60" s="75">
        <v>0</v>
      </c>
      <c r="G60" s="75">
        <v>0</v>
      </c>
      <c r="H60" s="13" t="str">
        <f t="shared" si="2"/>
        <v>2</v>
      </c>
      <c r="I60" s="78"/>
    </row>
    <row r="61" spans="1:9">
      <c r="A61" s="40">
        <f>'【3-2】大区&amp;运营中心填-房间模型价'!H60</f>
        <v>603</v>
      </c>
      <c r="B61" s="40" t="str">
        <f>'【3-2】大区&amp;运营中心填-房间模型价'!I60</f>
        <v>A</v>
      </c>
      <c r="C61" s="74" t="str">
        <f>VLOOKUP(A61,'【3-2】大区&amp;运营中心填-房间模型价'!H:J,3,0)</f>
        <v>开间</v>
      </c>
      <c r="D61" s="75">
        <v>0.5</v>
      </c>
      <c r="E61" s="75">
        <v>0</v>
      </c>
      <c r="F61" s="75">
        <v>0</v>
      </c>
      <c r="G61" s="75">
        <v>0</v>
      </c>
      <c r="H61" s="13" t="str">
        <f t="shared" si="2"/>
        <v>2</v>
      </c>
      <c r="I61" s="78"/>
    </row>
    <row r="62" spans="1:9">
      <c r="A62" s="40">
        <f>'【3-2】大区&amp;运营中心填-房间模型价'!H61</f>
        <v>604</v>
      </c>
      <c r="B62" s="40" t="str">
        <f>'【3-2】大区&amp;运营中心填-房间模型价'!I61</f>
        <v>B</v>
      </c>
      <c r="C62" s="74" t="str">
        <f>VLOOKUP(A62,'【3-2】大区&amp;运营中心填-房间模型价'!H:J,3,0)</f>
        <v>一居室</v>
      </c>
      <c r="D62" s="75">
        <v>1</v>
      </c>
      <c r="E62" s="75">
        <v>0</v>
      </c>
      <c r="F62" s="75">
        <v>0</v>
      </c>
      <c r="G62" s="75">
        <v>0</v>
      </c>
      <c r="H62" s="13" t="str">
        <f t="shared" si="2"/>
        <v>1</v>
      </c>
      <c r="I62" s="78"/>
    </row>
    <row r="63" spans="1:9">
      <c r="A63" s="40">
        <f>'【3-2】大区&amp;运营中心填-房间模型价'!H62</f>
        <v>605</v>
      </c>
      <c r="B63" s="40" t="str">
        <f>'【3-2】大区&amp;运营中心填-房间模型价'!I62</f>
        <v>C</v>
      </c>
      <c r="C63" s="74" t="str">
        <f>VLOOKUP(A63,'【3-2】大区&amp;运营中心填-房间模型价'!H:J,3,0)</f>
        <v>一居室</v>
      </c>
      <c r="D63" s="75">
        <v>1</v>
      </c>
      <c r="E63" s="75">
        <v>0</v>
      </c>
      <c r="F63" s="75">
        <v>0</v>
      </c>
      <c r="G63" s="75">
        <v>-1</v>
      </c>
      <c r="H63" s="13" t="str">
        <f t="shared" si="2"/>
        <v>2</v>
      </c>
      <c r="I63" s="78"/>
    </row>
    <row r="64" spans="1:9">
      <c r="A64" s="40">
        <f>'【3-2】大区&amp;运营中心填-房间模型价'!H63</f>
        <v>606</v>
      </c>
      <c r="B64" s="40" t="str">
        <f>'【3-2】大区&amp;运营中心填-房间模型价'!I63</f>
        <v>D</v>
      </c>
      <c r="C64" s="74" t="str">
        <f>VLOOKUP(A64,'【3-2】大区&amp;运营中心填-房间模型价'!H:J,3,0)</f>
        <v>开间</v>
      </c>
      <c r="D64" s="75">
        <v>1</v>
      </c>
      <c r="E64" s="75">
        <v>0</v>
      </c>
      <c r="F64" s="75">
        <v>0</v>
      </c>
      <c r="G64" s="75">
        <v>-1</v>
      </c>
      <c r="H64" s="13" t="str">
        <f t="shared" si="2"/>
        <v>3</v>
      </c>
      <c r="I64" s="78"/>
    </row>
    <row r="65" spans="1:9">
      <c r="A65" s="40">
        <f>'【3-2】大区&amp;运营中心填-房间模型价'!H64</f>
        <v>607</v>
      </c>
      <c r="B65" s="40" t="str">
        <f>'【3-2】大区&amp;运营中心填-房间模型价'!I64</f>
        <v>A</v>
      </c>
      <c r="C65" s="74" t="str">
        <f>VLOOKUP(A65,'【3-2】大区&amp;运营中心填-房间模型价'!H:J,3,0)</f>
        <v>开间</v>
      </c>
      <c r="D65" s="75">
        <v>0.5</v>
      </c>
      <c r="E65" s="75">
        <v>0</v>
      </c>
      <c r="F65" s="75">
        <v>0</v>
      </c>
      <c r="G65" s="75">
        <v>0</v>
      </c>
      <c r="H65" s="13" t="str">
        <f t="shared" si="2"/>
        <v>2</v>
      </c>
      <c r="I65" s="78"/>
    </row>
    <row r="66" spans="1:9">
      <c r="A66" s="40">
        <f>'【3-2】大区&amp;运营中心填-房间模型价'!H65</f>
        <v>608</v>
      </c>
      <c r="B66" s="40" t="str">
        <f>'【3-2】大区&amp;运营中心填-房间模型价'!I65</f>
        <v>A</v>
      </c>
      <c r="C66" s="74" t="str">
        <f>VLOOKUP(A66,'【3-2】大区&amp;运营中心填-房间模型价'!H:J,3,0)</f>
        <v>开间</v>
      </c>
      <c r="D66" s="75">
        <v>0.5</v>
      </c>
      <c r="E66" s="75">
        <v>0</v>
      </c>
      <c r="F66" s="75">
        <v>0</v>
      </c>
      <c r="G66" s="75">
        <v>0</v>
      </c>
      <c r="H66" s="13" t="str">
        <f t="shared" si="2"/>
        <v>2</v>
      </c>
      <c r="I66" s="78"/>
    </row>
    <row r="67" spans="1:9">
      <c r="A67" s="40">
        <f>'【3-2】大区&amp;运营中心填-房间模型价'!H66</f>
        <v>609</v>
      </c>
      <c r="B67" s="40" t="str">
        <f>'【3-2】大区&amp;运营中心填-房间模型价'!I66</f>
        <v>E</v>
      </c>
      <c r="C67" s="74" t="str">
        <f>VLOOKUP(A67,'【3-2】大区&amp;运营中心填-房间模型价'!H:J,3,0)</f>
        <v>一居室</v>
      </c>
      <c r="D67" s="75">
        <v>1</v>
      </c>
      <c r="E67" s="75">
        <v>0</v>
      </c>
      <c r="F67" s="75">
        <v>0</v>
      </c>
      <c r="G67" s="75">
        <v>-1</v>
      </c>
      <c r="H67" s="13" t="str">
        <f t="shared" si="2"/>
        <v>2</v>
      </c>
      <c r="I67" s="78"/>
    </row>
    <row r="68" spans="1:9">
      <c r="A68" s="40">
        <f>'【3-2】大区&amp;运营中心填-房间模型价'!H67</f>
        <v>610</v>
      </c>
      <c r="B68" s="40" t="str">
        <f>'【3-2】大区&amp;运营中心填-房间模型价'!I67</f>
        <v>A</v>
      </c>
      <c r="C68" s="74" t="str">
        <f>VLOOKUP(A68,'【3-2】大区&amp;运营中心填-房间模型价'!H:J,3,0)</f>
        <v>开间</v>
      </c>
      <c r="D68" s="75">
        <v>0.5</v>
      </c>
      <c r="E68" s="75">
        <v>0</v>
      </c>
      <c r="F68" s="75">
        <v>0</v>
      </c>
      <c r="G68" s="75">
        <v>0</v>
      </c>
      <c r="H68" s="13" t="str">
        <f t="shared" si="2"/>
        <v>2</v>
      </c>
      <c r="I68" s="78"/>
    </row>
    <row r="69" spans="1:9">
      <c r="A69" s="40">
        <f>'【3-2】大区&amp;运营中心填-房间模型价'!H68</f>
        <v>611</v>
      </c>
      <c r="B69" s="40" t="str">
        <f>'【3-2】大区&amp;运营中心填-房间模型价'!I68</f>
        <v>A</v>
      </c>
      <c r="C69" s="74" t="str">
        <f>VLOOKUP(A69,'【3-2】大区&amp;运营中心填-房间模型价'!H:J,3,0)</f>
        <v>开间</v>
      </c>
      <c r="D69" s="75">
        <v>0.5</v>
      </c>
      <c r="E69" s="75">
        <v>0</v>
      </c>
      <c r="F69" s="75">
        <v>0</v>
      </c>
      <c r="G69" s="75">
        <v>0</v>
      </c>
      <c r="H69" s="13" t="str">
        <f t="shared" si="2"/>
        <v>2</v>
      </c>
      <c r="I69" s="78"/>
    </row>
    <row r="70" spans="1:9">
      <c r="A70" s="40">
        <f>'【3-2】大区&amp;运营中心填-房间模型价'!H69</f>
        <v>612</v>
      </c>
      <c r="B70" s="40" t="str">
        <f>'【3-2】大区&amp;运营中心填-房间模型价'!I69</f>
        <v>D</v>
      </c>
      <c r="C70" s="74" t="str">
        <f>VLOOKUP(A70,'【3-2】大区&amp;运营中心填-房间模型价'!H:J,3,0)</f>
        <v>开间</v>
      </c>
      <c r="D70" s="75">
        <v>1</v>
      </c>
      <c r="E70" s="75">
        <v>0</v>
      </c>
      <c r="F70" s="75">
        <v>0</v>
      </c>
      <c r="G70" s="75">
        <v>0</v>
      </c>
      <c r="H70" s="13" t="str">
        <f t="shared" si="2"/>
        <v>2</v>
      </c>
      <c r="I70" s="78"/>
    </row>
    <row r="71" spans="1:9">
      <c r="A71" s="40">
        <f>'【3-2】大区&amp;运营中心填-房间模型价'!H70</f>
        <v>613</v>
      </c>
      <c r="B71" s="40" t="str">
        <f>'【3-2】大区&amp;运营中心填-房间模型价'!I70</f>
        <v>C</v>
      </c>
      <c r="C71" s="74" t="str">
        <f>VLOOKUP(A71,'【3-2】大区&amp;运营中心填-房间模型价'!H:J,3,0)</f>
        <v>一居室</v>
      </c>
      <c r="D71" s="75">
        <v>1</v>
      </c>
      <c r="E71" s="75">
        <v>0</v>
      </c>
      <c r="F71" s="75">
        <v>0</v>
      </c>
      <c r="G71" s="75">
        <v>-1</v>
      </c>
      <c r="H71" s="13" t="str">
        <f t="shared" si="2"/>
        <v>2</v>
      </c>
      <c r="I71" s="78"/>
    </row>
    <row r="72" spans="1:9">
      <c r="A72" s="40">
        <f>'【3-2】大区&amp;运营中心填-房间模型价'!H71</f>
        <v>614</v>
      </c>
      <c r="B72" s="40" t="str">
        <f>'【3-2】大区&amp;运营中心填-房间模型价'!I71</f>
        <v>B</v>
      </c>
      <c r="C72" s="74" t="str">
        <f>VLOOKUP(A72,'【3-2】大区&amp;运营中心填-房间模型价'!H:J,3,0)</f>
        <v>一居室</v>
      </c>
      <c r="D72" s="75">
        <v>1</v>
      </c>
      <c r="E72" s="75">
        <v>0</v>
      </c>
      <c r="F72" s="75">
        <v>0</v>
      </c>
      <c r="G72" s="75">
        <v>-1</v>
      </c>
      <c r="H72" s="13" t="str">
        <f t="shared" si="2"/>
        <v>2</v>
      </c>
      <c r="I72" s="78"/>
    </row>
    <row r="73" spans="1:9">
      <c r="A73" s="40">
        <f>'【3-2】大区&amp;运营中心填-房间模型价'!H72</f>
        <v>701</v>
      </c>
      <c r="B73" s="40" t="str">
        <f>'【3-2】大区&amp;运营中心填-房间模型价'!I72</f>
        <v>B</v>
      </c>
      <c r="C73" s="74" t="str">
        <f>VLOOKUP(A73,'【3-2】大区&amp;运营中心填-房间模型价'!H:J,3,0)</f>
        <v>一居室</v>
      </c>
      <c r="D73" s="75">
        <v>1</v>
      </c>
      <c r="E73" s="75">
        <v>0</v>
      </c>
      <c r="F73" s="75">
        <v>0</v>
      </c>
      <c r="G73" s="75">
        <v>-1</v>
      </c>
      <c r="H73" s="13" t="str">
        <f t="shared" si="2"/>
        <v>2</v>
      </c>
      <c r="I73" s="78"/>
    </row>
    <row r="74" spans="1:9">
      <c r="A74" s="40">
        <f>'【3-2】大区&amp;运营中心填-房间模型价'!H73</f>
        <v>702</v>
      </c>
      <c r="B74" s="40" t="str">
        <f>'【3-2】大区&amp;运营中心填-房间模型价'!I73</f>
        <v>A</v>
      </c>
      <c r="C74" s="74" t="str">
        <f>VLOOKUP(A74,'【3-2】大区&amp;运营中心填-房间模型价'!H:J,3,0)</f>
        <v>开间</v>
      </c>
      <c r="D74" s="75">
        <v>0.5</v>
      </c>
      <c r="E74" s="75">
        <v>0</v>
      </c>
      <c r="F74" s="75">
        <v>0</v>
      </c>
      <c r="G74" s="75">
        <v>0</v>
      </c>
      <c r="H74" s="13" t="str">
        <f t="shared" si="2"/>
        <v>2</v>
      </c>
      <c r="I74" s="78"/>
    </row>
    <row r="75" spans="1:9">
      <c r="A75" s="40">
        <f>'【3-2】大区&amp;运营中心填-房间模型价'!H74</f>
        <v>703</v>
      </c>
      <c r="B75" s="40" t="str">
        <f>'【3-2】大区&amp;运营中心填-房间模型价'!I74</f>
        <v>A</v>
      </c>
      <c r="C75" s="74" t="str">
        <f>VLOOKUP(A75,'【3-2】大区&amp;运营中心填-房间模型价'!H:J,3,0)</f>
        <v>开间</v>
      </c>
      <c r="D75" s="75">
        <v>0.5</v>
      </c>
      <c r="E75" s="75">
        <v>0</v>
      </c>
      <c r="F75" s="75">
        <v>0</v>
      </c>
      <c r="G75" s="75">
        <v>0</v>
      </c>
      <c r="H75" s="13" t="str">
        <f t="shared" si="2"/>
        <v>2</v>
      </c>
      <c r="I75" s="78"/>
    </row>
    <row r="76" spans="1:9">
      <c r="A76" s="40">
        <f>'【3-2】大区&amp;运营中心填-房间模型价'!H75</f>
        <v>704</v>
      </c>
      <c r="B76" s="40" t="str">
        <f>'【3-2】大区&amp;运营中心填-房间模型价'!I75</f>
        <v>B</v>
      </c>
      <c r="C76" s="74" t="str">
        <f>VLOOKUP(A76,'【3-2】大区&amp;运营中心填-房间模型价'!H:J,3,0)</f>
        <v>一居室</v>
      </c>
      <c r="D76" s="75">
        <v>1</v>
      </c>
      <c r="E76" s="75">
        <v>0</v>
      </c>
      <c r="F76" s="75">
        <v>0</v>
      </c>
      <c r="G76" s="75">
        <v>0</v>
      </c>
      <c r="H76" s="13" t="str">
        <f t="shared" ref="H76:H139" si="3">IF(C76="开间",IF(D76+E76*2-G76&lt;=0,"1",IF(D76+E76*2-G76&lt;=1,"2",IF(D76+E76*2-G76&lt;=2,"3",IF(D76+E76*2-G76&lt;=3,"4","5")))),IF(D76+E76*2-G76&lt;1.1,"1",IF(D76+E76*2-G76&lt;=2,"2",IF(D76+E76*2-G76&lt;=3,"3",IF(D76+E76*2-G76&lt;=4,"4","5")))))</f>
        <v>1</v>
      </c>
      <c r="I76" s="78"/>
    </row>
    <row r="77" spans="1:9">
      <c r="A77" s="40">
        <f>'【3-2】大区&amp;运营中心填-房间模型价'!H76</f>
        <v>705</v>
      </c>
      <c r="B77" s="40" t="str">
        <f>'【3-2】大区&amp;运营中心填-房间模型价'!I76</f>
        <v>C</v>
      </c>
      <c r="C77" s="74" t="str">
        <f>VLOOKUP(A77,'【3-2】大区&amp;运营中心填-房间模型价'!H:J,3,0)</f>
        <v>一居室</v>
      </c>
      <c r="D77" s="75">
        <v>1</v>
      </c>
      <c r="E77" s="75">
        <v>0</v>
      </c>
      <c r="F77" s="75">
        <v>0</v>
      </c>
      <c r="G77" s="75">
        <v>1</v>
      </c>
      <c r="H77" s="13" t="str">
        <f t="shared" si="3"/>
        <v>1</v>
      </c>
      <c r="I77" s="78"/>
    </row>
    <row r="78" spans="1:9">
      <c r="A78" s="40">
        <f>'【3-2】大区&amp;运营中心填-房间模型价'!H77</f>
        <v>706</v>
      </c>
      <c r="B78" s="40" t="str">
        <f>'【3-2】大区&amp;运营中心填-房间模型价'!I77</f>
        <v>D</v>
      </c>
      <c r="C78" s="74" t="str">
        <f>VLOOKUP(A78,'【3-2】大区&amp;运营中心填-房间模型价'!H:J,3,0)</f>
        <v>开间</v>
      </c>
      <c r="D78" s="75">
        <v>1</v>
      </c>
      <c r="E78" s="75">
        <v>0</v>
      </c>
      <c r="F78" s="75">
        <v>0</v>
      </c>
      <c r="G78" s="75">
        <v>-1</v>
      </c>
      <c r="H78" s="13" t="str">
        <f t="shared" si="3"/>
        <v>3</v>
      </c>
      <c r="I78" s="78"/>
    </row>
    <row r="79" spans="1:9">
      <c r="A79" s="40">
        <f>'【3-2】大区&amp;运营中心填-房间模型价'!H78</f>
        <v>707</v>
      </c>
      <c r="B79" s="40" t="str">
        <f>'【3-2】大区&amp;运营中心填-房间模型价'!I78</f>
        <v>A</v>
      </c>
      <c r="C79" s="74" t="str">
        <f>VLOOKUP(A79,'【3-2】大区&amp;运营中心填-房间模型价'!H:J,3,0)</f>
        <v>开间</v>
      </c>
      <c r="D79" s="75">
        <v>0.5</v>
      </c>
      <c r="E79" s="75">
        <v>0</v>
      </c>
      <c r="F79" s="75">
        <v>0</v>
      </c>
      <c r="G79" s="75">
        <v>0</v>
      </c>
      <c r="H79" s="13" t="str">
        <f t="shared" si="3"/>
        <v>2</v>
      </c>
      <c r="I79" s="78"/>
    </row>
    <row r="80" spans="1:9">
      <c r="A80" s="40">
        <f>'【3-2】大区&amp;运营中心填-房间模型价'!H79</f>
        <v>708</v>
      </c>
      <c r="B80" s="40" t="str">
        <f>'【3-2】大区&amp;运营中心填-房间模型价'!I79</f>
        <v>A</v>
      </c>
      <c r="C80" s="74" t="str">
        <f>VLOOKUP(A80,'【3-2】大区&amp;运营中心填-房间模型价'!H:J,3,0)</f>
        <v>开间</v>
      </c>
      <c r="D80" s="75">
        <v>0.5</v>
      </c>
      <c r="E80" s="75">
        <v>0</v>
      </c>
      <c r="F80" s="75">
        <v>0</v>
      </c>
      <c r="G80" s="75">
        <v>0</v>
      </c>
      <c r="H80" s="13" t="str">
        <f t="shared" si="3"/>
        <v>2</v>
      </c>
      <c r="I80" s="78"/>
    </row>
    <row r="81" spans="1:9">
      <c r="A81" s="40">
        <f>'【3-2】大区&amp;运营中心填-房间模型价'!H80</f>
        <v>709</v>
      </c>
      <c r="B81" s="40" t="str">
        <f>'【3-2】大区&amp;运营中心填-房间模型价'!I80</f>
        <v>E</v>
      </c>
      <c r="C81" s="74" t="str">
        <f>VLOOKUP(A81,'【3-2】大区&amp;运营中心填-房间模型价'!H:J,3,0)</f>
        <v>一居室</v>
      </c>
      <c r="D81" s="75">
        <v>1</v>
      </c>
      <c r="E81" s="75">
        <v>0</v>
      </c>
      <c r="F81" s="75">
        <v>0</v>
      </c>
      <c r="G81" s="75">
        <v>-1</v>
      </c>
      <c r="H81" s="13" t="str">
        <f t="shared" si="3"/>
        <v>2</v>
      </c>
      <c r="I81" s="78"/>
    </row>
    <row r="82" spans="1:9">
      <c r="A82" s="40">
        <f>'【3-2】大区&amp;运营中心填-房间模型价'!H81</f>
        <v>710</v>
      </c>
      <c r="B82" s="40" t="str">
        <f>'【3-2】大区&amp;运营中心填-房间模型价'!I81</f>
        <v>A</v>
      </c>
      <c r="C82" s="74" t="str">
        <f>VLOOKUP(A82,'【3-2】大区&amp;运营中心填-房间模型价'!H:J,3,0)</f>
        <v>开间</v>
      </c>
      <c r="D82" s="75">
        <v>0.5</v>
      </c>
      <c r="E82" s="75">
        <v>0</v>
      </c>
      <c r="F82" s="75">
        <v>0</v>
      </c>
      <c r="G82" s="75">
        <v>0</v>
      </c>
      <c r="H82" s="13" t="str">
        <f t="shared" si="3"/>
        <v>2</v>
      </c>
      <c r="I82" s="78"/>
    </row>
    <row r="83" spans="1:9">
      <c r="A83" s="40">
        <f>'【3-2】大区&amp;运营中心填-房间模型价'!H82</f>
        <v>711</v>
      </c>
      <c r="B83" s="40" t="str">
        <f>'【3-2】大区&amp;运营中心填-房间模型价'!I82</f>
        <v>A</v>
      </c>
      <c r="C83" s="74" t="str">
        <f>VLOOKUP(A83,'【3-2】大区&amp;运营中心填-房间模型价'!H:J,3,0)</f>
        <v>开间</v>
      </c>
      <c r="D83" s="75">
        <v>0.5</v>
      </c>
      <c r="E83" s="75">
        <v>0</v>
      </c>
      <c r="F83" s="75">
        <v>0</v>
      </c>
      <c r="G83" s="75">
        <v>0</v>
      </c>
      <c r="H83" s="13" t="str">
        <f t="shared" si="3"/>
        <v>2</v>
      </c>
      <c r="I83" s="78"/>
    </row>
    <row r="84" spans="1:9">
      <c r="A84" s="40">
        <f>'【3-2】大区&amp;运营中心填-房间模型价'!H83</f>
        <v>712</v>
      </c>
      <c r="B84" s="40" t="str">
        <f>'【3-2】大区&amp;运营中心填-房间模型价'!I83</f>
        <v>D</v>
      </c>
      <c r="C84" s="74" t="str">
        <f>VLOOKUP(A84,'【3-2】大区&amp;运营中心填-房间模型价'!H:J,3,0)</f>
        <v>开间</v>
      </c>
      <c r="D84" s="75">
        <v>1</v>
      </c>
      <c r="E84" s="75">
        <v>0</v>
      </c>
      <c r="F84" s="75">
        <v>0</v>
      </c>
      <c r="G84" s="75">
        <v>0</v>
      </c>
      <c r="H84" s="13" t="str">
        <f t="shared" si="3"/>
        <v>2</v>
      </c>
      <c r="I84" s="78"/>
    </row>
    <row r="85" spans="1:9">
      <c r="A85" s="40">
        <f>'【3-2】大区&amp;运营中心填-房间模型价'!H84</f>
        <v>713</v>
      </c>
      <c r="B85" s="40" t="str">
        <f>'【3-2】大区&amp;运营中心填-房间模型价'!I84</f>
        <v>C</v>
      </c>
      <c r="C85" s="74" t="str">
        <f>VLOOKUP(A85,'【3-2】大区&amp;运营中心填-房间模型价'!H:J,3,0)</f>
        <v>一居室</v>
      </c>
      <c r="D85" s="75">
        <v>1</v>
      </c>
      <c r="E85" s="75">
        <v>0</v>
      </c>
      <c r="F85" s="75">
        <v>0</v>
      </c>
      <c r="G85" s="75">
        <v>-1</v>
      </c>
      <c r="H85" s="13" t="str">
        <f t="shared" si="3"/>
        <v>2</v>
      </c>
      <c r="I85" s="78"/>
    </row>
    <row r="86" spans="1:9">
      <c r="A86" s="40">
        <f>'【3-2】大区&amp;运营中心填-房间模型价'!H85</f>
        <v>714</v>
      </c>
      <c r="B86" s="40" t="str">
        <f>'【3-2】大区&amp;运营中心填-房间模型价'!I85</f>
        <v>B</v>
      </c>
      <c r="C86" s="74" t="str">
        <f>VLOOKUP(A86,'【3-2】大区&amp;运营中心填-房间模型价'!H:J,3,0)</f>
        <v>一居室</v>
      </c>
      <c r="D86" s="75">
        <v>1</v>
      </c>
      <c r="E86" s="75">
        <v>0</v>
      </c>
      <c r="F86" s="75">
        <v>0</v>
      </c>
      <c r="G86" s="75">
        <v>-1</v>
      </c>
      <c r="H86" s="13" t="str">
        <f t="shared" si="3"/>
        <v>2</v>
      </c>
      <c r="I86" s="78"/>
    </row>
    <row r="87" spans="1:9">
      <c r="A87" s="40">
        <f>'【3-2】大区&amp;运营中心填-房间模型价'!H86</f>
        <v>801</v>
      </c>
      <c r="B87" s="40" t="str">
        <f>'【3-2】大区&amp;运营中心填-房间模型价'!I86</f>
        <v>B</v>
      </c>
      <c r="C87" s="74" t="str">
        <f>VLOOKUP(A87,'【3-2】大区&amp;运营中心填-房间模型价'!H:J,3,0)</f>
        <v>一居室</v>
      </c>
      <c r="D87" s="75">
        <v>1</v>
      </c>
      <c r="E87" s="75">
        <v>0</v>
      </c>
      <c r="F87" s="75">
        <v>0</v>
      </c>
      <c r="G87" s="75">
        <v>-1</v>
      </c>
      <c r="H87" s="13" t="str">
        <f t="shared" si="3"/>
        <v>2</v>
      </c>
      <c r="I87" s="78"/>
    </row>
    <row r="88" spans="1:9">
      <c r="A88" s="40">
        <f>'【3-2】大区&amp;运营中心填-房间模型价'!H87</f>
        <v>802</v>
      </c>
      <c r="B88" s="40" t="str">
        <f>'【3-2】大区&amp;运营中心填-房间模型价'!I87</f>
        <v>A</v>
      </c>
      <c r="C88" s="74" t="str">
        <f>VLOOKUP(A88,'【3-2】大区&amp;运营中心填-房间模型价'!H:J,3,0)</f>
        <v>开间</v>
      </c>
      <c r="D88" s="75">
        <v>0.5</v>
      </c>
      <c r="E88" s="75">
        <v>0</v>
      </c>
      <c r="F88" s="75">
        <v>0</v>
      </c>
      <c r="G88" s="75">
        <v>0</v>
      </c>
      <c r="H88" s="13" t="str">
        <f t="shared" si="3"/>
        <v>2</v>
      </c>
      <c r="I88" s="78"/>
    </row>
    <row r="89" spans="1:9">
      <c r="A89" s="40">
        <f>'【3-2】大区&amp;运营中心填-房间模型价'!H88</f>
        <v>803</v>
      </c>
      <c r="B89" s="40" t="str">
        <f>'【3-2】大区&amp;运营中心填-房间模型价'!I88</f>
        <v>A</v>
      </c>
      <c r="C89" s="74" t="str">
        <f>VLOOKUP(A89,'【3-2】大区&amp;运营中心填-房间模型价'!H:J,3,0)</f>
        <v>开间</v>
      </c>
      <c r="D89" s="75">
        <v>0.5</v>
      </c>
      <c r="E89" s="75">
        <v>0</v>
      </c>
      <c r="F89" s="75">
        <v>0</v>
      </c>
      <c r="G89" s="75">
        <v>0</v>
      </c>
      <c r="H89" s="13" t="str">
        <f t="shared" si="3"/>
        <v>2</v>
      </c>
      <c r="I89" s="78"/>
    </row>
    <row r="90" spans="1:9">
      <c r="A90" s="40">
        <f>'【3-2】大区&amp;运营中心填-房间模型价'!H89</f>
        <v>804</v>
      </c>
      <c r="B90" s="40" t="str">
        <f>'【3-2】大区&amp;运营中心填-房间模型价'!I89</f>
        <v>B</v>
      </c>
      <c r="C90" s="74" t="str">
        <f>VLOOKUP(A90,'【3-2】大区&amp;运营中心填-房间模型价'!H:J,3,0)</f>
        <v>一居室</v>
      </c>
      <c r="D90" s="75">
        <v>1</v>
      </c>
      <c r="E90" s="75">
        <v>0</v>
      </c>
      <c r="F90" s="75">
        <v>0</v>
      </c>
      <c r="G90" s="75">
        <v>-1</v>
      </c>
      <c r="H90" s="13" t="str">
        <f t="shared" si="3"/>
        <v>2</v>
      </c>
      <c r="I90" s="78"/>
    </row>
    <row r="91" spans="1:9">
      <c r="A91" s="40">
        <f>'【3-2】大区&amp;运营中心填-房间模型价'!H90</f>
        <v>805</v>
      </c>
      <c r="B91" s="40" t="str">
        <f>'【3-2】大区&amp;运营中心填-房间模型价'!I90</f>
        <v>C</v>
      </c>
      <c r="C91" s="74" t="str">
        <f>VLOOKUP(A91,'【3-2】大区&amp;运营中心填-房间模型价'!H:J,3,0)</f>
        <v>一居室</v>
      </c>
      <c r="D91" s="75">
        <v>1</v>
      </c>
      <c r="E91" s="75">
        <v>0</v>
      </c>
      <c r="F91" s="75">
        <v>0</v>
      </c>
      <c r="G91" s="75">
        <v>-1</v>
      </c>
      <c r="H91" s="13" t="str">
        <f t="shared" si="3"/>
        <v>2</v>
      </c>
      <c r="I91" s="78"/>
    </row>
    <row r="92" spans="1:9">
      <c r="A92" s="40">
        <f>'【3-2】大区&amp;运营中心填-房间模型价'!H91</f>
        <v>806</v>
      </c>
      <c r="B92" s="40" t="str">
        <f>'【3-2】大区&amp;运营中心填-房间模型价'!I91</f>
        <v>D</v>
      </c>
      <c r="C92" s="74" t="str">
        <f>VLOOKUP(A92,'【3-2】大区&amp;运营中心填-房间模型价'!H:J,3,0)</f>
        <v>开间</v>
      </c>
      <c r="D92" s="75">
        <v>1</v>
      </c>
      <c r="E92" s="75">
        <v>0</v>
      </c>
      <c r="F92" s="75">
        <v>0</v>
      </c>
      <c r="G92" s="75">
        <v>-1</v>
      </c>
      <c r="H92" s="13" t="str">
        <f t="shared" si="3"/>
        <v>3</v>
      </c>
      <c r="I92" s="78"/>
    </row>
    <row r="93" spans="1:9">
      <c r="A93" s="40">
        <f>'【3-2】大区&amp;运营中心填-房间模型价'!H92</f>
        <v>807</v>
      </c>
      <c r="B93" s="40" t="str">
        <f>'【3-2】大区&amp;运营中心填-房间模型价'!I92</f>
        <v>A</v>
      </c>
      <c r="C93" s="74" t="str">
        <f>VLOOKUP(A93,'【3-2】大区&amp;运营中心填-房间模型价'!H:J,3,0)</f>
        <v>开间</v>
      </c>
      <c r="D93" s="75">
        <v>0.5</v>
      </c>
      <c r="E93" s="75">
        <v>0</v>
      </c>
      <c r="F93" s="75">
        <v>0</v>
      </c>
      <c r="G93" s="75">
        <v>0</v>
      </c>
      <c r="H93" s="13" t="str">
        <f t="shared" si="3"/>
        <v>2</v>
      </c>
      <c r="I93" s="78"/>
    </row>
    <row r="94" spans="1:9">
      <c r="A94" s="40">
        <f>'【3-2】大区&amp;运营中心填-房间模型价'!H93</f>
        <v>808</v>
      </c>
      <c r="B94" s="40" t="str">
        <f>'【3-2】大区&amp;运营中心填-房间模型价'!I93</f>
        <v>A</v>
      </c>
      <c r="C94" s="74" t="str">
        <f>VLOOKUP(A94,'【3-2】大区&amp;运营中心填-房间模型价'!H:J,3,0)</f>
        <v>开间</v>
      </c>
      <c r="D94" s="75">
        <v>0.5</v>
      </c>
      <c r="E94" s="75">
        <v>0</v>
      </c>
      <c r="F94" s="75">
        <v>0</v>
      </c>
      <c r="G94" s="75">
        <v>0</v>
      </c>
      <c r="H94" s="13" t="str">
        <f t="shared" si="3"/>
        <v>2</v>
      </c>
      <c r="I94" s="78"/>
    </row>
    <row r="95" spans="1:9">
      <c r="A95" s="40">
        <f>'【3-2】大区&amp;运营中心填-房间模型价'!H94</f>
        <v>809</v>
      </c>
      <c r="B95" s="40" t="str">
        <f>'【3-2】大区&amp;运营中心填-房间模型价'!I94</f>
        <v>E</v>
      </c>
      <c r="C95" s="74" t="str">
        <f>VLOOKUP(A95,'【3-2】大区&amp;运营中心填-房间模型价'!H:J,3,0)</f>
        <v>一居室</v>
      </c>
      <c r="D95" s="75">
        <v>1</v>
      </c>
      <c r="E95" s="75">
        <v>0</v>
      </c>
      <c r="F95" s="75">
        <v>0</v>
      </c>
      <c r="G95" s="75">
        <v>-1</v>
      </c>
      <c r="H95" s="13" t="str">
        <f t="shared" si="3"/>
        <v>2</v>
      </c>
      <c r="I95" s="78"/>
    </row>
    <row r="96" spans="1:9">
      <c r="A96" s="40">
        <f>'【3-2】大区&amp;运营中心填-房间模型价'!H95</f>
        <v>810</v>
      </c>
      <c r="B96" s="40" t="str">
        <f>'【3-2】大区&amp;运营中心填-房间模型价'!I95</f>
        <v>A</v>
      </c>
      <c r="C96" s="74" t="str">
        <f>VLOOKUP(A96,'【3-2】大区&amp;运营中心填-房间模型价'!H:J,3,0)</f>
        <v>开间</v>
      </c>
      <c r="D96" s="75">
        <v>0.5</v>
      </c>
      <c r="E96" s="75">
        <v>0</v>
      </c>
      <c r="F96" s="75">
        <v>0</v>
      </c>
      <c r="G96" s="75">
        <v>0</v>
      </c>
      <c r="H96" s="13" t="str">
        <f t="shared" si="3"/>
        <v>2</v>
      </c>
      <c r="I96" s="78"/>
    </row>
    <row r="97" spans="1:9">
      <c r="A97" s="40">
        <f>'【3-2】大区&amp;运营中心填-房间模型价'!H96</f>
        <v>811</v>
      </c>
      <c r="B97" s="40" t="str">
        <f>'【3-2】大区&amp;运营中心填-房间模型价'!I96</f>
        <v>A</v>
      </c>
      <c r="C97" s="74" t="str">
        <f>VLOOKUP(A97,'【3-2】大区&amp;运营中心填-房间模型价'!H:J,3,0)</f>
        <v>开间</v>
      </c>
      <c r="D97" s="75">
        <v>0.5</v>
      </c>
      <c r="E97" s="75">
        <v>0</v>
      </c>
      <c r="F97" s="75">
        <v>0</v>
      </c>
      <c r="G97" s="75">
        <v>0</v>
      </c>
      <c r="H97" s="13" t="str">
        <f t="shared" si="3"/>
        <v>2</v>
      </c>
      <c r="I97" s="78"/>
    </row>
    <row r="98" spans="1:9">
      <c r="A98" s="40">
        <f>'【3-2】大区&amp;运营中心填-房间模型价'!H97</f>
        <v>812</v>
      </c>
      <c r="B98" s="40" t="str">
        <f>'【3-2】大区&amp;运营中心填-房间模型价'!I97</f>
        <v>D</v>
      </c>
      <c r="C98" s="74" t="str">
        <f>VLOOKUP(A98,'【3-2】大区&amp;运营中心填-房间模型价'!H:J,3,0)</f>
        <v>开间</v>
      </c>
      <c r="D98" s="75">
        <v>1</v>
      </c>
      <c r="E98" s="75">
        <v>0</v>
      </c>
      <c r="F98" s="75">
        <v>0</v>
      </c>
      <c r="G98" s="75">
        <v>0</v>
      </c>
      <c r="H98" s="13" t="str">
        <f t="shared" si="3"/>
        <v>2</v>
      </c>
      <c r="I98" s="78"/>
    </row>
    <row r="99" spans="1:9">
      <c r="A99" s="40">
        <f>'【3-2】大区&amp;运营中心填-房间模型价'!H98</f>
        <v>813</v>
      </c>
      <c r="B99" s="40" t="str">
        <f>'【3-2】大区&amp;运营中心填-房间模型价'!I98</f>
        <v>C</v>
      </c>
      <c r="C99" s="74" t="str">
        <f>VLOOKUP(A99,'【3-2】大区&amp;运营中心填-房间模型价'!H:J,3,0)</f>
        <v>一居室</v>
      </c>
      <c r="D99" s="75">
        <v>1</v>
      </c>
      <c r="E99" s="75">
        <v>0</v>
      </c>
      <c r="F99" s="75">
        <v>0</v>
      </c>
      <c r="G99" s="75">
        <v>-1</v>
      </c>
      <c r="H99" s="13" t="str">
        <f t="shared" si="3"/>
        <v>2</v>
      </c>
      <c r="I99" s="78"/>
    </row>
    <row r="100" spans="1:9">
      <c r="A100" s="40">
        <f>'【3-2】大区&amp;运营中心填-房间模型价'!H99</f>
        <v>814</v>
      </c>
      <c r="B100" s="40" t="str">
        <f>'【3-2】大区&amp;运营中心填-房间模型价'!I99</f>
        <v>B</v>
      </c>
      <c r="C100" s="74" t="str">
        <f>VLOOKUP(A100,'【3-2】大区&amp;运营中心填-房间模型价'!H:J,3,0)</f>
        <v>一居室</v>
      </c>
      <c r="D100" s="75">
        <v>1</v>
      </c>
      <c r="E100" s="75">
        <v>0</v>
      </c>
      <c r="F100" s="75">
        <v>0</v>
      </c>
      <c r="G100" s="75">
        <v>-1</v>
      </c>
      <c r="H100" s="13" t="str">
        <f t="shared" si="3"/>
        <v>2</v>
      </c>
      <c r="I100" s="78"/>
    </row>
    <row r="101" spans="1:9">
      <c r="A101" s="40">
        <f>'【3-2】大区&amp;运营中心填-房间模型价'!H100</f>
        <v>901</v>
      </c>
      <c r="B101" s="40" t="str">
        <f>'【3-2】大区&amp;运营中心填-房间模型价'!I100</f>
        <v>B</v>
      </c>
      <c r="C101" s="74" t="str">
        <f>VLOOKUP(A101,'【3-2】大区&amp;运营中心填-房间模型价'!H:J,3,0)</f>
        <v>一居室</v>
      </c>
      <c r="D101" s="75">
        <v>1</v>
      </c>
      <c r="E101" s="75">
        <v>0</v>
      </c>
      <c r="F101" s="75">
        <v>0</v>
      </c>
      <c r="G101" s="75">
        <v>-1</v>
      </c>
      <c r="H101" s="13" t="str">
        <f t="shared" si="3"/>
        <v>2</v>
      </c>
      <c r="I101" s="78"/>
    </row>
    <row r="102" spans="1:9">
      <c r="A102" s="40">
        <f>'【3-2】大区&amp;运营中心填-房间模型价'!H101</f>
        <v>902</v>
      </c>
      <c r="B102" s="40" t="str">
        <f>'【3-2】大区&amp;运营中心填-房间模型价'!I101</f>
        <v>A</v>
      </c>
      <c r="C102" s="74" t="str">
        <f>VLOOKUP(A102,'【3-2】大区&amp;运营中心填-房间模型价'!H:J,3,0)</f>
        <v>开间</v>
      </c>
      <c r="D102" s="75">
        <v>0.5</v>
      </c>
      <c r="E102" s="75">
        <v>0</v>
      </c>
      <c r="F102" s="75">
        <v>0</v>
      </c>
      <c r="G102" s="75">
        <v>0</v>
      </c>
      <c r="H102" s="13" t="str">
        <f t="shared" si="3"/>
        <v>2</v>
      </c>
      <c r="I102" s="78"/>
    </row>
    <row r="103" spans="1:9">
      <c r="A103" s="40">
        <f>'【3-2】大区&amp;运营中心填-房间模型价'!H102</f>
        <v>903</v>
      </c>
      <c r="B103" s="40" t="str">
        <f>'【3-2】大区&amp;运营中心填-房间模型价'!I102</f>
        <v>A</v>
      </c>
      <c r="C103" s="74" t="str">
        <f>VLOOKUP(A103,'【3-2】大区&amp;运营中心填-房间模型价'!H:J,3,0)</f>
        <v>开间</v>
      </c>
      <c r="D103" s="75">
        <v>0.5</v>
      </c>
      <c r="E103" s="75">
        <v>0</v>
      </c>
      <c r="F103" s="75">
        <v>0</v>
      </c>
      <c r="G103" s="75">
        <v>0</v>
      </c>
      <c r="H103" s="13" t="str">
        <f t="shared" si="3"/>
        <v>2</v>
      </c>
      <c r="I103" s="78"/>
    </row>
    <row r="104" spans="1:9">
      <c r="A104" s="40">
        <f>'【3-2】大区&amp;运营中心填-房间模型价'!H103</f>
        <v>904</v>
      </c>
      <c r="B104" s="40" t="str">
        <f>'【3-2】大区&amp;运营中心填-房间模型价'!I103</f>
        <v>B</v>
      </c>
      <c r="C104" s="74" t="str">
        <f>VLOOKUP(A104,'【3-2】大区&amp;运营中心填-房间模型价'!H:J,3,0)</f>
        <v>一居室</v>
      </c>
      <c r="D104" s="75">
        <v>1</v>
      </c>
      <c r="E104" s="75">
        <v>0</v>
      </c>
      <c r="F104" s="75">
        <v>0</v>
      </c>
      <c r="G104" s="75">
        <v>0</v>
      </c>
      <c r="H104" s="13" t="str">
        <f t="shared" si="3"/>
        <v>1</v>
      </c>
      <c r="I104" s="78"/>
    </row>
    <row r="105" spans="1:9">
      <c r="A105" s="40">
        <f>'【3-2】大区&amp;运营中心填-房间模型价'!H104</f>
        <v>905</v>
      </c>
      <c r="B105" s="40" t="str">
        <f>'【3-2】大区&amp;运营中心填-房间模型价'!I104</f>
        <v>C</v>
      </c>
      <c r="C105" s="74" t="str">
        <f>VLOOKUP(A105,'【3-2】大区&amp;运营中心填-房间模型价'!H:J,3,0)</f>
        <v>一居室</v>
      </c>
      <c r="D105" s="75">
        <v>1</v>
      </c>
      <c r="E105" s="75">
        <v>0</v>
      </c>
      <c r="F105" s="75">
        <v>0</v>
      </c>
      <c r="G105" s="75">
        <v>-1</v>
      </c>
      <c r="H105" s="13" t="str">
        <f t="shared" si="3"/>
        <v>2</v>
      </c>
      <c r="I105" s="78"/>
    </row>
    <row r="106" spans="1:9">
      <c r="A106" s="40">
        <f>'【3-2】大区&amp;运营中心填-房间模型价'!H105</f>
        <v>906</v>
      </c>
      <c r="B106" s="40" t="str">
        <f>'【3-2】大区&amp;运营中心填-房间模型价'!I105</f>
        <v>D</v>
      </c>
      <c r="C106" s="74" t="str">
        <f>VLOOKUP(A106,'【3-2】大区&amp;运营中心填-房间模型价'!H:J,3,0)</f>
        <v>开间</v>
      </c>
      <c r="D106" s="75">
        <v>1</v>
      </c>
      <c r="E106" s="75">
        <v>0</v>
      </c>
      <c r="F106" s="75">
        <v>0</v>
      </c>
      <c r="G106" s="75">
        <v>-1</v>
      </c>
      <c r="H106" s="13" t="str">
        <f t="shared" si="3"/>
        <v>3</v>
      </c>
      <c r="I106" s="78"/>
    </row>
    <row r="107" spans="1:9">
      <c r="A107" s="40">
        <f>'【3-2】大区&amp;运营中心填-房间模型价'!H106</f>
        <v>907</v>
      </c>
      <c r="B107" s="40" t="str">
        <f>'【3-2】大区&amp;运营中心填-房间模型价'!I106</f>
        <v>A</v>
      </c>
      <c r="C107" s="74" t="str">
        <f>VLOOKUP(A107,'【3-2】大区&amp;运营中心填-房间模型价'!H:J,3,0)</f>
        <v>开间</v>
      </c>
      <c r="D107" s="75">
        <v>0.5</v>
      </c>
      <c r="E107" s="75">
        <v>0</v>
      </c>
      <c r="F107" s="75">
        <v>0</v>
      </c>
      <c r="G107" s="75">
        <v>0</v>
      </c>
      <c r="H107" s="13" t="str">
        <f t="shared" si="3"/>
        <v>2</v>
      </c>
      <c r="I107" s="78"/>
    </row>
    <row r="108" spans="1:9">
      <c r="A108" s="40">
        <f>'【3-2】大区&amp;运营中心填-房间模型价'!H107</f>
        <v>908</v>
      </c>
      <c r="B108" s="40" t="str">
        <f>'【3-2】大区&amp;运营中心填-房间模型价'!I107</f>
        <v>A</v>
      </c>
      <c r="C108" s="74" t="str">
        <f>VLOOKUP(A108,'【3-2】大区&amp;运营中心填-房间模型价'!H:J,3,0)</f>
        <v>开间</v>
      </c>
      <c r="D108" s="75">
        <v>0.5</v>
      </c>
      <c r="E108" s="75">
        <v>0</v>
      </c>
      <c r="F108" s="75">
        <v>0</v>
      </c>
      <c r="G108" s="75">
        <v>0</v>
      </c>
      <c r="H108" s="13" t="str">
        <f t="shared" si="3"/>
        <v>2</v>
      </c>
      <c r="I108" s="78"/>
    </row>
    <row r="109" spans="1:9">
      <c r="A109" s="40">
        <f>'【3-2】大区&amp;运营中心填-房间模型价'!H108</f>
        <v>909</v>
      </c>
      <c r="B109" s="40" t="str">
        <f>'【3-2】大区&amp;运营中心填-房间模型价'!I108</f>
        <v>E</v>
      </c>
      <c r="C109" s="74" t="str">
        <f>VLOOKUP(A109,'【3-2】大区&amp;运营中心填-房间模型价'!H:J,3,0)</f>
        <v>一居室</v>
      </c>
      <c r="D109" s="75">
        <v>1</v>
      </c>
      <c r="E109" s="75">
        <v>0</v>
      </c>
      <c r="F109" s="75">
        <v>0</v>
      </c>
      <c r="G109" s="75">
        <v>-1</v>
      </c>
      <c r="H109" s="13" t="str">
        <f t="shared" si="3"/>
        <v>2</v>
      </c>
      <c r="I109" s="78"/>
    </row>
    <row r="110" spans="1:9">
      <c r="A110" s="40">
        <f>'【3-2】大区&amp;运营中心填-房间模型价'!H109</f>
        <v>910</v>
      </c>
      <c r="B110" s="40" t="str">
        <f>'【3-2】大区&amp;运营中心填-房间模型价'!I109</f>
        <v>A</v>
      </c>
      <c r="C110" s="74" t="str">
        <f>VLOOKUP(A110,'【3-2】大区&amp;运营中心填-房间模型价'!H:J,3,0)</f>
        <v>开间</v>
      </c>
      <c r="D110" s="75">
        <v>0.5</v>
      </c>
      <c r="E110" s="75">
        <v>0</v>
      </c>
      <c r="F110" s="75">
        <v>0</v>
      </c>
      <c r="G110" s="75">
        <v>0</v>
      </c>
      <c r="H110" s="13" t="str">
        <f t="shared" si="3"/>
        <v>2</v>
      </c>
      <c r="I110" s="78"/>
    </row>
    <row r="111" spans="1:9">
      <c r="A111" s="40">
        <f>'【3-2】大区&amp;运营中心填-房间模型价'!H110</f>
        <v>911</v>
      </c>
      <c r="B111" s="40" t="str">
        <f>'【3-2】大区&amp;运营中心填-房间模型价'!I110</f>
        <v>A</v>
      </c>
      <c r="C111" s="74" t="str">
        <f>VLOOKUP(A111,'【3-2】大区&amp;运营中心填-房间模型价'!H:J,3,0)</f>
        <v>开间</v>
      </c>
      <c r="D111" s="75">
        <v>0.5</v>
      </c>
      <c r="E111" s="75">
        <v>0</v>
      </c>
      <c r="F111" s="75">
        <v>0</v>
      </c>
      <c r="G111" s="75">
        <v>0</v>
      </c>
      <c r="H111" s="13" t="str">
        <f t="shared" si="3"/>
        <v>2</v>
      </c>
      <c r="I111" s="78"/>
    </row>
    <row r="112" spans="1:9">
      <c r="A112" s="40">
        <f>'【3-2】大区&amp;运营中心填-房间模型价'!H111</f>
        <v>912</v>
      </c>
      <c r="B112" s="40" t="str">
        <f>'【3-2】大区&amp;运营中心填-房间模型价'!I111</f>
        <v>D</v>
      </c>
      <c r="C112" s="74" t="str">
        <f>VLOOKUP(A112,'【3-2】大区&amp;运营中心填-房间模型价'!H:J,3,0)</f>
        <v>开间</v>
      </c>
      <c r="D112" s="75">
        <v>1</v>
      </c>
      <c r="E112" s="75">
        <v>0</v>
      </c>
      <c r="F112" s="75">
        <v>0</v>
      </c>
      <c r="G112" s="75">
        <v>0</v>
      </c>
      <c r="H112" s="13" t="str">
        <f t="shared" si="3"/>
        <v>2</v>
      </c>
      <c r="I112" s="78"/>
    </row>
    <row r="113" spans="1:9">
      <c r="A113" s="40">
        <f>'【3-2】大区&amp;运营中心填-房间模型价'!H112</f>
        <v>913</v>
      </c>
      <c r="B113" s="40" t="str">
        <f>'【3-2】大区&amp;运营中心填-房间模型价'!I112</f>
        <v>C</v>
      </c>
      <c r="C113" s="74" t="str">
        <f>VLOOKUP(A113,'【3-2】大区&amp;运营中心填-房间模型价'!H:J,3,0)</f>
        <v>一居室</v>
      </c>
      <c r="D113" s="75">
        <v>1</v>
      </c>
      <c r="E113" s="75">
        <v>0</v>
      </c>
      <c r="F113" s="75">
        <v>0</v>
      </c>
      <c r="G113" s="75">
        <v>-1</v>
      </c>
      <c r="H113" s="13" t="str">
        <f t="shared" si="3"/>
        <v>2</v>
      </c>
      <c r="I113" s="78"/>
    </row>
    <row r="114" spans="1:9">
      <c r="A114" s="40">
        <f>'【3-2】大区&amp;运营中心填-房间模型价'!H113</f>
        <v>914</v>
      </c>
      <c r="B114" s="40" t="str">
        <f>'【3-2】大区&amp;运营中心填-房间模型价'!I113</f>
        <v>B</v>
      </c>
      <c r="C114" s="74" t="str">
        <f>VLOOKUP(A114,'【3-2】大区&amp;运营中心填-房间模型价'!H:J,3,0)</f>
        <v>一居室</v>
      </c>
      <c r="D114" s="75">
        <v>1</v>
      </c>
      <c r="E114" s="75">
        <v>0</v>
      </c>
      <c r="F114" s="75">
        <v>0</v>
      </c>
      <c r="G114" s="75">
        <v>-1</v>
      </c>
      <c r="H114" s="13" t="str">
        <f t="shared" si="3"/>
        <v>2</v>
      </c>
      <c r="I114" s="78"/>
    </row>
    <row r="115" spans="1:9">
      <c r="A115" s="40">
        <f>'【3-2】大区&amp;运营中心填-房间模型价'!H114</f>
        <v>1001</v>
      </c>
      <c r="B115" s="40" t="str">
        <f>'【3-2】大区&amp;运营中心填-房间模型价'!I114</f>
        <v>B</v>
      </c>
      <c r="C115" s="74" t="str">
        <f>VLOOKUP(A115,'【3-2】大区&amp;运营中心填-房间模型价'!H:J,3,0)</f>
        <v>一居室</v>
      </c>
      <c r="D115" s="75">
        <v>1</v>
      </c>
      <c r="E115" s="75">
        <v>0</v>
      </c>
      <c r="F115" s="75">
        <v>0</v>
      </c>
      <c r="G115" s="75">
        <v>-1</v>
      </c>
      <c r="H115" s="13" t="str">
        <f t="shared" si="3"/>
        <v>2</v>
      </c>
      <c r="I115" s="78"/>
    </row>
    <row r="116" spans="1:9">
      <c r="A116" s="40">
        <f>'【3-2】大区&amp;运营中心填-房间模型价'!H115</f>
        <v>1002</v>
      </c>
      <c r="B116" s="40" t="str">
        <f>'【3-2】大区&amp;运营中心填-房间模型价'!I115</f>
        <v>A</v>
      </c>
      <c r="C116" s="74" t="str">
        <f>VLOOKUP(A116,'【3-2】大区&amp;运营中心填-房间模型价'!H:J,3,0)</f>
        <v>开间</v>
      </c>
      <c r="D116" s="75">
        <v>0.5</v>
      </c>
      <c r="E116" s="75">
        <v>0</v>
      </c>
      <c r="F116" s="75">
        <v>0</v>
      </c>
      <c r="G116" s="75">
        <v>-0.5</v>
      </c>
      <c r="H116" s="13" t="str">
        <f t="shared" si="3"/>
        <v>2</v>
      </c>
      <c r="I116" s="78"/>
    </row>
    <row r="117" spans="1:9">
      <c r="A117" s="40">
        <f>'【3-2】大区&amp;运营中心填-房间模型价'!H116</f>
        <v>1003</v>
      </c>
      <c r="B117" s="40" t="str">
        <f>'【3-2】大区&amp;运营中心填-房间模型价'!I116</f>
        <v>A</v>
      </c>
      <c r="C117" s="74" t="str">
        <f>VLOOKUP(A117,'【3-2】大区&amp;运营中心填-房间模型价'!H:J,3,0)</f>
        <v>开间</v>
      </c>
      <c r="D117" s="75">
        <v>0.5</v>
      </c>
      <c r="E117" s="75">
        <v>0</v>
      </c>
      <c r="F117" s="75">
        <v>0</v>
      </c>
      <c r="G117" s="75">
        <v>-0.5</v>
      </c>
      <c r="H117" s="13" t="str">
        <f t="shared" si="3"/>
        <v>2</v>
      </c>
      <c r="I117" s="78"/>
    </row>
    <row r="118" spans="1:9">
      <c r="A118" s="40">
        <f>'【3-2】大区&amp;运营中心填-房间模型价'!H117</f>
        <v>1004</v>
      </c>
      <c r="B118" s="40" t="str">
        <f>'【3-2】大区&amp;运营中心填-房间模型价'!I117</f>
        <v>B</v>
      </c>
      <c r="C118" s="74" t="str">
        <f>VLOOKUP(A118,'【3-2】大区&amp;运营中心填-房间模型价'!H:J,3,0)</f>
        <v>一居室</v>
      </c>
      <c r="D118" s="75">
        <v>1</v>
      </c>
      <c r="E118" s="75">
        <v>0</v>
      </c>
      <c r="F118" s="75">
        <v>0</v>
      </c>
      <c r="G118" s="75">
        <v>-1</v>
      </c>
      <c r="H118" s="13" t="str">
        <f t="shared" si="3"/>
        <v>2</v>
      </c>
      <c r="I118" s="78"/>
    </row>
    <row r="119" spans="1:9">
      <c r="A119" s="40">
        <f>'【3-2】大区&amp;运营中心填-房间模型价'!H118</f>
        <v>1005</v>
      </c>
      <c r="B119" s="40" t="str">
        <f>'【3-2】大区&amp;运营中心填-房间模型价'!I118</f>
        <v>C</v>
      </c>
      <c r="C119" s="74" t="str">
        <f>VLOOKUP(A119,'【3-2】大区&amp;运营中心填-房间模型价'!H:J,3,0)</f>
        <v>一居室</v>
      </c>
      <c r="D119" s="75">
        <v>1</v>
      </c>
      <c r="E119" s="75">
        <v>0</v>
      </c>
      <c r="F119" s="75">
        <v>0</v>
      </c>
      <c r="G119" s="75">
        <v>-1</v>
      </c>
      <c r="H119" s="13" t="str">
        <f t="shared" si="3"/>
        <v>2</v>
      </c>
      <c r="I119" s="78"/>
    </row>
    <row r="120" spans="1:9">
      <c r="A120" s="40">
        <f>'【3-2】大区&amp;运营中心填-房间模型价'!H119</f>
        <v>1006</v>
      </c>
      <c r="B120" s="40" t="str">
        <f>'【3-2】大区&amp;运营中心填-房间模型价'!I119</f>
        <v>D</v>
      </c>
      <c r="C120" s="74" t="str">
        <f>VLOOKUP(A120,'【3-2】大区&amp;运营中心填-房间模型价'!H:J,3,0)</f>
        <v>开间</v>
      </c>
      <c r="D120" s="75">
        <v>1</v>
      </c>
      <c r="E120" s="75">
        <v>0</v>
      </c>
      <c r="F120" s="75">
        <v>0</v>
      </c>
      <c r="G120" s="75">
        <v>-1</v>
      </c>
      <c r="H120" s="13" t="str">
        <f t="shared" si="3"/>
        <v>3</v>
      </c>
      <c r="I120" s="78"/>
    </row>
    <row r="121" spans="1:9">
      <c r="A121" s="40">
        <f>'【3-2】大区&amp;运营中心填-房间模型价'!H120</f>
        <v>1007</v>
      </c>
      <c r="B121" s="40" t="str">
        <f>'【3-2】大区&amp;运营中心填-房间模型价'!I120</f>
        <v>A</v>
      </c>
      <c r="C121" s="74" t="str">
        <f>VLOOKUP(A121,'【3-2】大区&amp;运营中心填-房间模型价'!H:J,3,0)</f>
        <v>开间</v>
      </c>
      <c r="D121" s="75">
        <v>0.5</v>
      </c>
      <c r="E121" s="75">
        <v>0</v>
      </c>
      <c r="F121" s="75">
        <v>0</v>
      </c>
      <c r="G121" s="75">
        <v>-0.5</v>
      </c>
      <c r="H121" s="13" t="str">
        <f t="shared" si="3"/>
        <v>2</v>
      </c>
      <c r="I121" s="78"/>
    </row>
    <row r="122" spans="1:9">
      <c r="A122" s="40">
        <f>'【3-2】大区&amp;运营中心填-房间模型价'!H121</f>
        <v>1008</v>
      </c>
      <c r="B122" s="40" t="str">
        <f>'【3-2】大区&amp;运营中心填-房间模型价'!I121</f>
        <v>A</v>
      </c>
      <c r="C122" s="74" t="str">
        <f>VLOOKUP(A122,'【3-2】大区&amp;运营中心填-房间模型价'!H:J,3,0)</f>
        <v>开间</v>
      </c>
      <c r="D122" s="75">
        <v>0.5</v>
      </c>
      <c r="E122" s="75">
        <v>0</v>
      </c>
      <c r="F122" s="75">
        <v>0</v>
      </c>
      <c r="G122" s="75">
        <v>-0.5</v>
      </c>
      <c r="H122" s="13" t="str">
        <f t="shared" si="3"/>
        <v>2</v>
      </c>
      <c r="I122" s="78"/>
    </row>
    <row r="123" spans="1:9">
      <c r="A123" s="40">
        <f>'【3-2】大区&amp;运营中心填-房间模型价'!H122</f>
        <v>1009</v>
      </c>
      <c r="B123" s="40" t="str">
        <f>'【3-2】大区&amp;运营中心填-房间模型价'!I122</f>
        <v>E</v>
      </c>
      <c r="C123" s="74" t="str">
        <f>VLOOKUP(A123,'【3-2】大区&amp;运营中心填-房间模型价'!H:J,3,0)</f>
        <v>一居室</v>
      </c>
      <c r="D123" s="75">
        <v>1</v>
      </c>
      <c r="E123" s="75">
        <v>0</v>
      </c>
      <c r="F123" s="75">
        <v>0</v>
      </c>
      <c r="G123" s="75">
        <v>-1</v>
      </c>
      <c r="H123" s="13" t="str">
        <f t="shared" si="3"/>
        <v>2</v>
      </c>
      <c r="I123" s="78"/>
    </row>
    <row r="124" spans="1:9">
      <c r="A124" s="40">
        <f>'【3-2】大区&amp;运营中心填-房间模型价'!H123</f>
        <v>1010</v>
      </c>
      <c r="B124" s="40" t="str">
        <f>'【3-2】大区&amp;运营中心填-房间模型价'!I123</f>
        <v>A</v>
      </c>
      <c r="C124" s="74" t="str">
        <f>VLOOKUP(A124,'【3-2】大区&amp;运营中心填-房间模型价'!H:J,3,0)</f>
        <v>开间</v>
      </c>
      <c r="D124" s="75">
        <v>0.5</v>
      </c>
      <c r="E124" s="75">
        <v>0</v>
      </c>
      <c r="F124" s="75">
        <v>0</v>
      </c>
      <c r="G124" s="75">
        <v>-0.5</v>
      </c>
      <c r="H124" s="13" t="str">
        <f t="shared" si="3"/>
        <v>2</v>
      </c>
      <c r="I124" s="78"/>
    </row>
    <row r="125" spans="1:9">
      <c r="A125" s="40">
        <f>'【3-2】大区&amp;运营中心填-房间模型价'!H124</f>
        <v>1011</v>
      </c>
      <c r="B125" s="40" t="str">
        <f>'【3-2】大区&amp;运营中心填-房间模型价'!I124</f>
        <v>A</v>
      </c>
      <c r="C125" s="74" t="str">
        <f>VLOOKUP(A125,'【3-2】大区&amp;运营中心填-房间模型价'!H:J,3,0)</f>
        <v>开间</v>
      </c>
      <c r="D125" s="75">
        <v>0.5</v>
      </c>
      <c r="E125" s="75">
        <v>0</v>
      </c>
      <c r="F125" s="75">
        <v>0</v>
      </c>
      <c r="G125" s="75">
        <v>-0.5</v>
      </c>
      <c r="H125" s="13" t="str">
        <f t="shared" si="3"/>
        <v>2</v>
      </c>
      <c r="I125" s="78"/>
    </row>
    <row r="126" spans="1:9">
      <c r="A126" s="40">
        <f>'【3-2】大区&amp;运营中心填-房间模型价'!H125</f>
        <v>1012</v>
      </c>
      <c r="B126" s="40" t="str">
        <f>'【3-2】大区&amp;运营中心填-房间模型价'!I125</f>
        <v>D</v>
      </c>
      <c r="C126" s="74" t="str">
        <f>VLOOKUP(A126,'【3-2】大区&amp;运营中心填-房间模型价'!H:J,3,0)</f>
        <v>开间</v>
      </c>
      <c r="D126" s="75">
        <v>1</v>
      </c>
      <c r="E126" s="75">
        <v>0</v>
      </c>
      <c r="F126" s="75">
        <v>0</v>
      </c>
      <c r="G126" s="75">
        <v>-1</v>
      </c>
      <c r="H126" s="13" t="str">
        <f t="shared" si="3"/>
        <v>3</v>
      </c>
      <c r="I126" s="78"/>
    </row>
    <row r="127" spans="1:9">
      <c r="A127" s="40">
        <f>'【3-2】大区&amp;运营中心填-房间模型价'!H126</f>
        <v>1013</v>
      </c>
      <c r="B127" s="40" t="str">
        <f>'【3-2】大区&amp;运营中心填-房间模型价'!I126</f>
        <v>C</v>
      </c>
      <c r="C127" s="74" t="str">
        <f>VLOOKUP(A127,'【3-2】大区&amp;运营中心填-房间模型价'!H:J,3,0)</f>
        <v>一居室</v>
      </c>
      <c r="D127" s="75">
        <v>1</v>
      </c>
      <c r="E127" s="75">
        <v>0</v>
      </c>
      <c r="F127" s="75">
        <v>0</v>
      </c>
      <c r="G127" s="75">
        <v>-1</v>
      </c>
      <c r="H127" s="13" t="str">
        <f t="shared" si="3"/>
        <v>2</v>
      </c>
      <c r="I127" s="78"/>
    </row>
    <row r="128" spans="1:9">
      <c r="A128" s="40">
        <f>'【3-2】大区&amp;运营中心填-房间模型价'!H127</f>
        <v>1014</v>
      </c>
      <c r="B128" s="40" t="str">
        <f>'【3-2】大区&amp;运营中心填-房间模型价'!I127</f>
        <v>B</v>
      </c>
      <c r="C128" s="74" t="str">
        <f>VLOOKUP(A128,'【3-2】大区&amp;运营中心填-房间模型价'!H:J,3,0)</f>
        <v>一居室</v>
      </c>
      <c r="D128" s="75">
        <v>1</v>
      </c>
      <c r="E128" s="75">
        <v>0</v>
      </c>
      <c r="F128" s="75">
        <v>0</v>
      </c>
      <c r="G128" s="75">
        <v>-1</v>
      </c>
      <c r="H128" s="13" t="str">
        <f t="shared" si="3"/>
        <v>2</v>
      </c>
      <c r="I128" s="78"/>
    </row>
    <row r="129" spans="1:9">
      <c r="A129" s="40">
        <f>'【3-2】大区&amp;运营中心填-房间模型价'!H128</f>
        <v>1101</v>
      </c>
      <c r="B129" s="40" t="str">
        <f>'【3-2】大区&amp;运营中心填-房间模型价'!I128</f>
        <v>B</v>
      </c>
      <c r="C129" s="74" t="str">
        <f>VLOOKUP(A129,'【3-2】大区&amp;运营中心填-房间模型价'!H:J,3,0)</f>
        <v>一居室</v>
      </c>
      <c r="D129" s="75">
        <v>1</v>
      </c>
      <c r="E129" s="75">
        <v>0</v>
      </c>
      <c r="F129" s="75">
        <v>0</v>
      </c>
      <c r="G129" s="75">
        <v>-1</v>
      </c>
      <c r="H129" s="13" t="str">
        <f t="shared" si="3"/>
        <v>2</v>
      </c>
      <c r="I129" s="78"/>
    </row>
    <row r="130" spans="1:9">
      <c r="A130" s="40">
        <f>'【3-2】大区&amp;运营中心填-房间模型价'!H129</f>
        <v>1102</v>
      </c>
      <c r="B130" s="40" t="str">
        <f>'【3-2】大区&amp;运营中心填-房间模型价'!I129</f>
        <v>A</v>
      </c>
      <c r="C130" s="74" t="str">
        <f>VLOOKUP(A130,'【3-2】大区&amp;运营中心填-房间模型价'!H:J,3,0)</f>
        <v>开间</v>
      </c>
      <c r="D130" s="75">
        <v>0.5</v>
      </c>
      <c r="E130" s="75">
        <v>0</v>
      </c>
      <c r="F130" s="75">
        <v>0</v>
      </c>
      <c r="G130" s="75">
        <v>-0.5</v>
      </c>
      <c r="H130" s="13" t="str">
        <f t="shared" si="3"/>
        <v>2</v>
      </c>
      <c r="I130" s="78"/>
    </row>
    <row r="131" spans="1:9">
      <c r="A131" s="40">
        <f>'【3-2】大区&amp;运营中心填-房间模型价'!H130</f>
        <v>1103</v>
      </c>
      <c r="B131" s="40" t="str">
        <f>'【3-2】大区&amp;运营中心填-房间模型价'!I130</f>
        <v>A</v>
      </c>
      <c r="C131" s="74" t="str">
        <f>VLOOKUP(A131,'【3-2】大区&amp;运营中心填-房间模型价'!H:J,3,0)</f>
        <v>开间</v>
      </c>
      <c r="D131" s="75">
        <v>0.5</v>
      </c>
      <c r="E131" s="75">
        <v>0</v>
      </c>
      <c r="F131" s="75">
        <v>0</v>
      </c>
      <c r="G131" s="75">
        <v>-0.5</v>
      </c>
      <c r="H131" s="13" t="str">
        <f t="shared" si="3"/>
        <v>2</v>
      </c>
      <c r="I131" s="78"/>
    </row>
    <row r="132" spans="1:9">
      <c r="A132" s="40">
        <f>'【3-2】大区&amp;运营中心填-房间模型价'!H131</f>
        <v>1104</v>
      </c>
      <c r="B132" s="40" t="str">
        <f>'【3-2】大区&amp;运营中心填-房间模型价'!I131</f>
        <v>B</v>
      </c>
      <c r="C132" s="74" t="str">
        <f>VLOOKUP(A132,'【3-2】大区&amp;运营中心填-房间模型价'!H:J,3,0)</f>
        <v>一居室</v>
      </c>
      <c r="D132" s="75">
        <v>1</v>
      </c>
      <c r="E132" s="75">
        <v>0</v>
      </c>
      <c r="F132" s="75">
        <v>0</v>
      </c>
      <c r="G132" s="75">
        <v>-1</v>
      </c>
      <c r="H132" s="13" t="str">
        <f t="shared" si="3"/>
        <v>2</v>
      </c>
      <c r="I132" s="78"/>
    </row>
    <row r="133" spans="1:9">
      <c r="A133" s="40">
        <f>'【3-2】大区&amp;运营中心填-房间模型价'!H132</f>
        <v>1105</v>
      </c>
      <c r="B133" s="40" t="str">
        <f>'【3-2】大区&amp;运营中心填-房间模型价'!I132</f>
        <v>C</v>
      </c>
      <c r="C133" s="74" t="str">
        <f>VLOOKUP(A133,'【3-2】大区&amp;运营中心填-房间模型价'!H:J,3,0)</f>
        <v>一居室</v>
      </c>
      <c r="D133" s="75">
        <v>1</v>
      </c>
      <c r="E133" s="75">
        <v>0</v>
      </c>
      <c r="F133" s="75">
        <v>0</v>
      </c>
      <c r="G133" s="75">
        <v>-1</v>
      </c>
      <c r="H133" s="13" t="str">
        <f t="shared" si="3"/>
        <v>2</v>
      </c>
      <c r="I133" s="78"/>
    </row>
    <row r="134" spans="1:9">
      <c r="A134" s="40">
        <f>'【3-2】大区&amp;运营中心填-房间模型价'!H133</f>
        <v>1106</v>
      </c>
      <c r="B134" s="40" t="str">
        <f>'【3-2】大区&amp;运营中心填-房间模型价'!I133</f>
        <v>D</v>
      </c>
      <c r="C134" s="74" t="str">
        <f>VLOOKUP(A134,'【3-2】大区&amp;运营中心填-房间模型价'!H:J,3,0)</f>
        <v>开间</v>
      </c>
      <c r="D134" s="75">
        <v>1</v>
      </c>
      <c r="E134" s="75">
        <v>0</v>
      </c>
      <c r="F134" s="75">
        <v>0</v>
      </c>
      <c r="G134" s="75">
        <v>-1</v>
      </c>
      <c r="H134" s="13" t="str">
        <f t="shared" si="3"/>
        <v>3</v>
      </c>
      <c r="I134" s="78"/>
    </row>
    <row r="135" spans="1:9">
      <c r="A135" s="40">
        <f>'【3-2】大区&amp;运营中心填-房间模型价'!H134</f>
        <v>1107</v>
      </c>
      <c r="B135" s="40" t="str">
        <f>'【3-2】大区&amp;运营中心填-房间模型价'!I134</f>
        <v>A</v>
      </c>
      <c r="C135" s="74" t="str">
        <f>VLOOKUP(A135,'【3-2】大区&amp;运营中心填-房间模型价'!H:J,3,0)</f>
        <v>开间</v>
      </c>
      <c r="D135" s="75">
        <v>0.5</v>
      </c>
      <c r="E135" s="75">
        <v>0</v>
      </c>
      <c r="F135" s="75">
        <v>0</v>
      </c>
      <c r="G135" s="75">
        <v>-0.5</v>
      </c>
      <c r="H135" s="13" t="str">
        <f t="shared" si="3"/>
        <v>2</v>
      </c>
      <c r="I135" s="78"/>
    </row>
    <row r="136" spans="1:9">
      <c r="A136" s="40">
        <f>'【3-2】大区&amp;运营中心填-房间模型价'!H135</f>
        <v>1108</v>
      </c>
      <c r="B136" s="40" t="str">
        <f>'【3-2】大区&amp;运营中心填-房间模型价'!I135</f>
        <v>A</v>
      </c>
      <c r="C136" s="74" t="str">
        <f>VLOOKUP(A136,'【3-2】大区&amp;运营中心填-房间模型价'!H:J,3,0)</f>
        <v>开间</v>
      </c>
      <c r="D136" s="75">
        <v>0.5</v>
      </c>
      <c r="E136" s="75">
        <v>0</v>
      </c>
      <c r="F136" s="75">
        <v>0</v>
      </c>
      <c r="G136" s="75">
        <v>-0.5</v>
      </c>
      <c r="H136" s="13" t="str">
        <f t="shared" si="3"/>
        <v>2</v>
      </c>
      <c r="I136" s="78"/>
    </row>
    <row r="137" spans="1:9">
      <c r="A137" s="40">
        <f>'【3-2】大区&amp;运营中心填-房间模型价'!H136</f>
        <v>1109</v>
      </c>
      <c r="B137" s="40" t="str">
        <f>'【3-2】大区&amp;运营中心填-房间模型价'!I136</f>
        <v>E</v>
      </c>
      <c r="C137" s="74" t="str">
        <f>VLOOKUP(A137,'【3-2】大区&amp;运营中心填-房间模型价'!H:J,3,0)</f>
        <v>一居室</v>
      </c>
      <c r="D137" s="75">
        <v>1</v>
      </c>
      <c r="E137" s="75">
        <v>0</v>
      </c>
      <c r="F137" s="75">
        <v>0</v>
      </c>
      <c r="G137" s="75">
        <v>-1</v>
      </c>
      <c r="H137" s="13" t="str">
        <f t="shared" si="3"/>
        <v>2</v>
      </c>
      <c r="I137" s="78"/>
    </row>
    <row r="138" spans="1:9">
      <c r="A138" s="40">
        <f>'【3-2】大区&amp;运营中心填-房间模型价'!H137</f>
        <v>1110</v>
      </c>
      <c r="B138" s="40" t="str">
        <f>'【3-2】大区&amp;运营中心填-房间模型价'!I137</f>
        <v>A</v>
      </c>
      <c r="C138" s="74" t="str">
        <f>VLOOKUP(A138,'【3-2】大区&amp;运营中心填-房间模型价'!H:J,3,0)</f>
        <v>开间</v>
      </c>
      <c r="D138" s="75">
        <v>0.5</v>
      </c>
      <c r="E138" s="75">
        <v>0</v>
      </c>
      <c r="F138" s="75">
        <v>0</v>
      </c>
      <c r="G138" s="75">
        <v>-0.5</v>
      </c>
      <c r="H138" s="13" t="str">
        <f t="shared" si="3"/>
        <v>2</v>
      </c>
      <c r="I138" s="78"/>
    </row>
    <row r="139" spans="1:9">
      <c r="A139" s="40">
        <f>'【3-2】大区&amp;运营中心填-房间模型价'!H138</f>
        <v>1111</v>
      </c>
      <c r="B139" s="40" t="str">
        <f>'【3-2】大区&amp;运营中心填-房间模型价'!I138</f>
        <v>A</v>
      </c>
      <c r="C139" s="74" t="str">
        <f>VLOOKUP(A139,'【3-2】大区&amp;运营中心填-房间模型价'!H:J,3,0)</f>
        <v>开间</v>
      </c>
      <c r="D139" s="75">
        <v>0.5</v>
      </c>
      <c r="E139" s="75">
        <v>0</v>
      </c>
      <c r="F139" s="75">
        <v>0</v>
      </c>
      <c r="G139" s="75">
        <v>-0.5</v>
      </c>
      <c r="H139" s="13" t="str">
        <f t="shared" si="3"/>
        <v>2</v>
      </c>
      <c r="I139" s="78"/>
    </row>
    <row r="140" spans="1:9">
      <c r="A140" s="40">
        <f>'【3-2】大区&amp;运营中心填-房间模型价'!H139</f>
        <v>1112</v>
      </c>
      <c r="B140" s="40" t="str">
        <f>'【3-2】大区&amp;运营中心填-房间模型价'!I139</f>
        <v>D</v>
      </c>
      <c r="C140" s="74" t="str">
        <f>VLOOKUP(A140,'【3-2】大区&amp;运营中心填-房间模型价'!H:J,3,0)</f>
        <v>开间</v>
      </c>
      <c r="D140" s="75">
        <v>1</v>
      </c>
      <c r="E140" s="75">
        <v>0</v>
      </c>
      <c r="F140" s="75">
        <v>0</v>
      </c>
      <c r="G140" s="75">
        <v>-0.5</v>
      </c>
      <c r="H140" s="13" t="str">
        <f t="shared" ref="H140:H191" si="4">IF(C140="开间",IF(D140+E140*2-G140&lt;=0,"1",IF(D140+E140*2-G140&lt;=1,"2",IF(D140+E140*2-G140&lt;=2,"3",IF(D140+E140*2-G140&lt;=3,"4","5")))),IF(D140+E140*2-G140&lt;1.1,"1",IF(D140+E140*2-G140&lt;=2,"2",IF(D140+E140*2-G140&lt;=3,"3",IF(D140+E140*2-G140&lt;=4,"4","5")))))</f>
        <v>3</v>
      </c>
      <c r="I140" s="78"/>
    </row>
    <row r="141" spans="1:9">
      <c r="A141" s="40">
        <f>'【3-2】大区&amp;运营中心填-房间模型价'!H140</f>
        <v>1113</v>
      </c>
      <c r="B141" s="40" t="str">
        <f>'【3-2】大区&amp;运营中心填-房间模型价'!I140</f>
        <v>C</v>
      </c>
      <c r="C141" s="74" t="str">
        <f>VLOOKUP(A141,'【3-2】大区&amp;运营中心填-房间模型价'!H:J,3,0)</f>
        <v>一居室</v>
      </c>
      <c r="D141" s="75">
        <v>1</v>
      </c>
      <c r="E141" s="75">
        <v>0</v>
      </c>
      <c r="F141" s="75">
        <v>0</v>
      </c>
      <c r="G141" s="75">
        <v>-1</v>
      </c>
      <c r="H141" s="13" t="str">
        <f t="shared" si="4"/>
        <v>2</v>
      </c>
      <c r="I141" s="78"/>
    </row>
    <row r="142" spans="1:9">
      <c r="A142" s="40">
        <f>'【3-2】大区&amp;运营中心填-房间模型价'!H141</f>
        <v>1114</v>
      </c>
      <c r="B142" s="40" t="str">
        <f>'【3-2】大区&amp;运营中心填-房间模型价'!I141</f>
        <v>B</v>
      </c>
      <c r="C142" s="74" t="str">
        <f>VLOOKUP(A142,'【3-2】大区&amp;运营中心填-房间模型价'!H:J,3,0)</f>
        <v>一居室</v>
      </c>
      <c r="D142" s="75">
        <v>1</v>
      </c>
      <c r="E142" s="75">
        <v>0</v>
      </c>
      <c r="F142" s="75">
        <v>0</v>
      </c>
      <c r="G142" s="75">
        <v>-1</v>
      </c>
      <c r="H142" s="13" t="str">
        <f t="shared" si="4"/>
        <v>2</v>
      </c>
      <c r="I142" s="78"/>
    </row>
    <row r="143" spans="1:9">
      <c r="A143" s="40">
        <f>'【3-2】大区&amp;运营中心填-房间模型价'!H142</f>
        <v>1201</v>
      </c>
      <c r="B143" s="40" t="str">
        <f>'【3-2】大区&amp;运营中心填-房间模型价'!I142</f>
        <v>A</v>
      </c>
      <c r="C143" s="74" t="str">
        <f>VLOOKUP(A143,'【3-2】大区&amp;运营中心填-房间模型价'!H:J,3,0)</f>
        <v>开间</v>
      </c>
      <c r="D143" s="75">
        <v>0.5</v>
      </c>
      <c r="E143" s="75">
        <v>0</v>
      </c>
      <c r="F143" s="75">
        <v>0</v>
      </c>
      <c r="G143" s="75">
        <v>-1</v>
      </c>
      <c r="H143" s="13" t="str">
        <f t="shared" si="4"/>
        <v>3</v>
      </c>
      <c r="I143" s="78"/>
    </row>
    <row r="144" spans="1:9">
      <c r="A144" s="40">
        <f>'【3-2】大区&amp;运营中心填-房间模型价'!H143</f>
        <v>1202</v>
      </c>
      <c r="B144" s="40" t="str">
        <f>'【3-2】大区&amp;运营中心填-房间模型价'!I143</f>
        <v>F</v>
      </c>
      <c r="C144" s="74" t="str">
        <f>VLOOKUP(A144,'【3-2】大区&amp;运营中心填-房间模型价'!H:J,3,0)</f>
        <v>开间</v>
      </c>
      <c r="D144" s="75">
        <v>0.5</v>
      </c>
      <c r="E144" s="75">
        <v>0</v>
      </c>
      <c r="F144" s="75">
        <v>0</v>
      </c>
      <c r="G144" s="75">
        <v>-0.5</v>
      </c>
      <c r="H144" s="13" t="str">
        <f t="shared" si="4"/>
        <v>2</v>
      </c>
      <c r="I144" s="78"/>
    </row>
    <row r="145" spans="1:9">
      <c r="A145" s="40">
        <f>'【3-2】大区&amp;运营中心填-房间模型价'!H144</f>
        <v>1203</v>
      </c>
      <c r="B145" s="40" t="str">
        <f>'【3-2】大区&amp;运营中心填-房间模型价'!I144</f>
        <v>A</v>
      </c>
      <c r="C145" s="74" t="str">
        <f>VLOOKUP(A145,'【3-2】大区&amp;运营中心填-房间模型价'!H:J,3,0)</f>
        <v>开间</v>
      </c>
      <c r="D145" s="75">
        <v>0.5</v>
      </c>
      <c r="E145" s="75">
        <v>0</v>
      </c>
      <c r="F145" s="75">
        <v>0</v>
      </c>
      <c r="G145" s="75">
        <v>-0.5</v>
      </c>
      <c r="H145" s="13" t="str">
        <f t="shared" si="4"/>
        <v>2</v>
      </c>
      <c r="I145" s="78"/>
    </row>
    <row r="146" spans="1:9">
      <c r="A146" s="40">
        <f>'【3-2】大区&amp;运营中心填-房间模型价'!H145</f>
        <v>1204</v>
      </c>
      <c r="B146" s="40" t="str">
        <f>'【3-2】大区&amp;运营中心填-房间模型价'!I145</f>
        <v>G</v>
      </c>
      <c r="C146" s="74" t="str">
        <f>VLOOKUP(A146,'【3-2】大区&amp;运营中心填-房间模型价'!H:J,3,0)</f>
        <v>一居室</v>
      </c>
      <c r="D146" s="75">
        <v>1</v>
      </c>
      <c r="E146" s="75">
        <v>0</v>
      </c>
      <c r="F146" s="75">
        <v>0</v>
      </c>
      <c r="G146" s="75">
        <v>-1</v>
      </c>
      <c r="H146" s="13" t="str">
        <f t="shared" si="4"/>
        <v>2</v>
      </c>
      <c r="I146" s="78"/>
    </row>
    <row r="147" spans="1:9">
      <c r="A147" s="40">
        <f>'【3-2】大区&amp;运营中心填-房间模型价'!H146</f>
        <v>1205</v>
      </c>
      <c r="B147" s="40" t="str">
        <f>'【3-2】大区&amp;运营中心填-房间模型价'!I146</f>
        <v>H</v>
      </c>
      <c r="C147" s="74" t="str">
        <f>VLOOKUP(A147,'【3-2】大区&amp;运营中心填-房间模型价'!H:J,3,0)</f>
        <v>一居室</v>
      </c>
      <c r="D147" s="75">
        <v>1.5</v>
      </c>
      <c r="E147" s="75">
        <v>0</v>
      </c>
      <c r="F147" s="75">
        <v>0</v>
      </c>
      <c r="G147" s="75">
        <v>-0.5</v>
      </c>
      <c r="H147" s="13" t="str">
        <f t="shared" si="4"/>
        <v>2</v>
      </c>
      <c r="I147" s="78"/>
    </row>
    <row r="148" spans="1:9">
      <c r="A148" s="40">
        <f>'【3-2】大区&amp;运营中心填-房间模型价'!H147</f>
        <v>1206</v>
      </c>
      <c r="B148" s="40" t="str">
        <f>'【3-2】大区&amp;运营中心填-房间模型价'!I147</f>
        <v>I</v>
      </c>
      <c r="C148" s="74" t="str">
        <f>VLOOKUP(A148,'【3-2】大区&amp;运营中心填-房间模型价'!H:J,3,0)</f>
        <v>一居室</v>
      </c>
      <c r="D148" s="75">
        <v>1</v>
      </c>
      <c r="E148" s="75">
        <v>0</v>
      </c>
      <c r="F148" s="75">
        <v>0</v>
      </c>
      <c r="G148" s="75">
        <v>-1</v>
      </c>
      <c r="H148" s="13" t="str">
        <f t="shared" si="4"/>
        <v>2</v>
      </c>
      <c r="I148" s="78"/>
    </row>
    <row r="149" spans="1:9">
      <c r="A149" s="40">
        <f>'【3-2】大区&amp;运营中心填-房间模型价'!H148</f>
        <v>1207</v>
      </c>
      <c r="B149" s="40" t="str">
        <f>'【3-2】大区&amp;运营中心填-房间模型价'!I148</f>
        <v>J</v>
      </c>
      <c r="C149" s="74" t="str">
        <f>VLOOKUP(A149,'【3-2】大区&amp;运营中心填-房间模型价'!H:J,3,0)</f>
        <v>开间</v>
      </c>
      <c r="D149" s="75">
        <v>0.5</v>
      </c>
      <c r="E149" s="75">
        <v>0</v>
      </c>
      <c r="F149" s="75">
        <v>0</v>
      </c>
      <c r="G149" s="75">
        <v>-0.5</v>
      </c>
      <c r="H149" s="13" t="str">
        <f t="shared" si="4"/>
        <v>2</v>
      </c>
      <c r="I149" s="78"/>
    </row>
    <row r="150" spans="1:9">
      <c r="A150" s="40">
        <f>'【3-2】大区&amp;运营中心填-房间模型价'!H149</f>
        <v>1208</v>
      </c>
      <c r="B150" s="40" t="str">
        <f>'【3-2】大区&amp;运营中心填-房间模型价'!I149</f>
        <v>I</v>
      </c>
      <c r="C150" s="74" t="str">
        <f>VLOOKUP(A150,'【3-2】大区&amp;运营中心填-房间模型价'!H:J,3,0)</f>
        <v>一居室</v>
      </c>
      <c r="D150" s="75">
        <v>1</v>
      </c>
      <c r="E150" s="75">
        <v>0</v>
      </c>
      <c r="F150" s="75">
        <v>0</v>
      </c>
      <c r="G150" s="75">
        <v>-1</v>
      </c>
      <c r="H150" s="13" t="str">
        <f t="shared" si="4"/>
        <v>2</v>
      </c>
      <c r="I150" s="78"/>
    </row>
    <row r="151" spans="1:9">
      <c r="A151" s="40">
        <f>'【3-2】大区&amp;运营中心填-房间模型价'!H150</f>
        <v>1209</v>
      </c>
      <c r="B151" s="40" t="str">
        <f>'【3-2】大区&amp;运营中心填-房间模型价'!I150</f>
        <v>J</v>
      </c>
      <c r="C151" s="74" t="str">
        <f>VLOOKUP(A151,'【3-2】大区&amp;运营中心填-房间模型价'!H:J,3,0)</f>
        <v>开间</v>
      </c>
      <c r="D151" s="75">
        <v>0.5</v>
      </c>
      <c r="E151" s="75">
        <v>0</v>
      </c>
      <c r="F151" s="75">
        <v>0</v>
      </c>
      <c r="G151" s="75">
        <v>0.5</v>
      </c>
      <c r="H151" s="13" t="str">
        <f t="shared" si="4"/>
        <v>1</v>
      </c>
      <c r="I151" s="78"/>
    </row>
    <row r="152" spans="1:9">
      <c r="A152" s="40">
        <f>'【3-2】大区&amp;运营中心填-房间模型价'!H151</f>
        <v>1210</v>
      </c>
      <c r="B152" s="40" t="str">
        <f>'【3-2】大区&amp;运营中心填-房间模型价'!I151</f>
        <v>I</v>
      </c>
      <c r="C152" s="74" t="str">
        <f>VLOOKUP(A152,'【3-2】大区&amp;运营中心填-房间模型价'!H:J,3,0)</f>
        <v>一居室</v>
      </c>
      <c r="D152" s="75">
        <v>1</v>
      </c>
      <c r="E152" s="75">
        <v>0</v>
      </c>
      <c r="F152" s="75">
        <v>0</v>
      </c>
      <c r="G152" s="75">
        <v>-1</v>
      </c>
      <c r="H152" s="13" t="str">
        <f t="shared" si="4"/>
        <v>2</v>
      </c>
      <c r="I152" s="78"/>
    </row>
    <row r="153" spans="1:9">
      <c r="A153" s="40">
        <f>'【3-2】大区&amp;运营中心填-房间模型价'!H152</f>
        <v>1211</v>
      </c>
      <c r="B153" s="40" t="str">
        <f>'【3-2】大区&amp;运营中心填-房间模型价'!I152</f>
        <v>H</v>
      </c>
      <c r="C153" s="74" t="str">
        <f>VLOOKUP(A153,'【3-2】大区&amp;运营中心填-房间模型价'!H:J,3,0)</f>
        <v>一居室</v>
      </c>
      <c r="D153" s="75">
        <v>1.5</v>
      </c>
      <c r="E153" s="75">
        <v>0</v>
      </c>
      <c r="F153" s="75">
        <v>0</v>
      </c>
      <c r="G153" s="75">
        <v>-1</v>
      </c>
      <c r="H153" s="13" t="str">
        <f t="shared" si="4"/>
        <v>3</v>
      </c>
      <c r="I153" s="78"/>
    </row>
    <row r="154" spans="1:9">
      <c r="A154" s="40">
        <f>'【3-2】大区&amp;运营中心填-房间模型价'!H153</f>
        <v>1212</v>
      </c>
      <c r="B154" s="40" t="str">
        <f>'【3-2】大区&amp;运营中心填-房间模型价'!I153</f>
        <v>K</v>
      </c>
      <c r="C154" s="74" t="str">
        <f>VLOOKUP(A154,'【3-2】大区&amp;运营中心填-房间模型价'!H:J,3,0)</f>
        <v>开间</v>
      </c>
      <c r="D154" s="75">
        <v>0.5</v>
      </c>
      <c r="E154" s="75">
        <v>0</v>
      </c>
      <c r="F154" s="75">
        <v>0</v>
      </c>
      <c r="G154" s="75">
        <v>-0.5</v>
      </c>
      <c r="H154" s="13" t="str">
        <f t="shared" si="4"/>
        <v>2</v>
      </c>
      <c r="I154" s="78"/>
    </row>
    <row r="155" spans="1:9">
      <c r="A155" s="40">
        <f>'【3-2】大区&amp;运营中心填-房间模型价'!H154</f>
        <v>1301</v>
      </c>
      <c r="B155" s="40" t="str">
        <f>'【3-2】大区&amp;运营中心填-房间模型价'!I154</f>
        <v>A</v>
      </c>
      <c r="C155" s="74" t="str">
        <f>VLOOKUP(A155,'【3-2】大区&amp;运营中心填-房间模型价'!H:J,3,0)</f>
        <v>开间</v>
      </c>
      <c r="D155" s="75">
        <v>0.5</v>
      </c>
      <c r="E155" s="75">
        <v>0</v>
      </c>
      <c r="F155" s="75">
        <v>0</v>
      </c>
      <c r="G155" s="75">
        <v>-0.5</v>
      </c>
      <c r="H155" s="13" t="str">
        <f t="shared" si="4"/>
        <v>2</v>
      </c>
      <c r="I155" s="78"/>
    </row>
    <row r="156" spans="1:9">
      <c r="A156" s="40">
        <f>'【3-2】大区&amp;运营中心填-房间模型价'!H155</f>
        <v>1302</v>
      </c>
      <c r="B156" s="40" t="str">
        <f>'【3-2】大区&amp;运营中心填-房间模型价'!I155</f>
        <v>F</v>
      </c>
      <c r="C156" s="74" t="str">
        <f>VLOOKUP(A156,'【3-2】大区&amp;运营中心填-房间模型价'!H:J,3,0)</f>
        <v>开间</v>
      </c>
      <c r="D156" s="75">
        <v>0.5</v>
      </c>
      <c r="E156" s="75">
        <v>0</v>
      </c>
      <c r="F156" s="75">
        <v>0</v>
      </c>
      <c r="G156" s="75">
        <v>-0.5</v>
      </c>
      <c r="H156" s="13" t="str">
        <f t="shared" si="4"/>
        <v>2</v>
      </c>
      <c r="I156" s="78"/>
    </row>
    <row r="157" spans="1:9">
      <c r="A157" s="40">
        <f>'【3-2】大区&amp;运营中心填-房间模型价'!H156</f>
        <v>1303</v>
      </c>
      <c r="B157" s="40" t="str">
        <f>'【3-2】大区&amp;运营中心填-房间模型价'!I156</f>
        <v>A</v>
      </c>
      <c r="C157" s="74" t="str">
        <f>VLOOKUP(A157,'【3-2】大区&amp;运营中心填-房间模型价'!H:J,3,0)</f>
        <v>开间</v>
      </c>
      <c r="D157" s="75">
        <v>0.5</v>
      </c>
      <c r="E157" s="75">
        <v>0</v>
      </c>
      <c r="F157" s="75">
        <v>0</v>
      </c>
      <c r="G157" s="75">
        <v>-0.5</v>
      </c>
      <c r="H157" s="13" t="str">
        <f t="shared" si="4"/>
        <v>2</v>
      </c>
      <c r="I157" s="78"/>
    </row>
    <row r="158" spans="1:9">
      <c r="A158" s="40">
        <f>'【3-2】大区&amp;运营中心填-房间模型价'!H157</f>
        <v>1304</v>
      </c>
      <c r="B158" s="40" t="str">
        <f>'【3-2】大区&amp;运营中心填-房间模型价'!I157</f>
        <v>G</v>
      </c>
      <c r="C158" s="74" t="str">
        <f>VLOOKUP(A158,'【3-2】大区&amp;运营中心填-房间模型价'!H:J,3,0)</f>
        <v>一居室</v>
      </c>
      <c r="D158" s="75">
        <v>1</v>
      </c>
      <c r="E158" s="75">
        <v>0</v>
      </c>
      <c r="F158" s="75">
        <v>0</v>
      </c>
      <c r="G158" s="75">
        <v>-1</v>
      </c>
      <c r="H158" s="13" t="str">
        <f t="shared" si="4"/>
        <v>2</v>
      </c>
      <c r="I158" s="78"/>
    </row>
    <row r="159" spans="1:9">
      <c r="A159" s="40">
        <f>'【3-2】大区&amp;运营中心填-房间模型价'!H158</f>
        <v>1305</v>
      </c>
      <c r="B159" s="40" t="str">
        <f>'【3-2】大区&amp;运营中心填-房间模型价'!I158</f>
        <v>H</v>
      </c>
      <c r="C159" s="74" t="str">
        <f>VLOOKUP(A159,'【3-2】大区&amp;运营中心填-房间模型价'!H:J,3,0)</f>
        <v>一居室</v>
      </c>
      <c r="D159" s="75">
        <v>1.5</v>
      </c>
      <c r="E159" s="75">
        <v>0</v>
      </c>
      <c r="F159" s="75">
        <v>0</v>
      </c>
      <c r="G159" s="75">
        <v>-0.5</v>
      </c>
      <c r="H159" s="13" t="str">
        <f t="shared" si="4"/>
        <v>2</v>
      </c>
      <c r="I159" s="78"/>
    </row>
    <row r="160" spans="1:9">
      <c r="A160" s="40">
        <f>'【3-2】大区&amp;运营中心填-房间模型价'!H159</f>
        <v>1306</v>
      </c>
      <c r="B160" s="40" t="str">
        <f>'【3-2】大区&amp;运营中心填-房间模型价'!I159</f>
        <v>I</v>
      </c>
      <c r="C160" s="74" t="str">
        <f>VLOOKUP(A160,'【3-2】大区&amp;运营中心填-房间模型价'!H:J,3,0)</f>
        <v>一居室</v>
      </c>
      <c r="D160" s="75">
        <v>1</v>
      </c>
      <c r="E160" s="75">
        <v>0</v>
      </c>
      <c r="F160" s="75">
        <v>0</v>
      </c>
      <c r="G160" s="75">
        <v>-1</v>
      </c>
      <c r="H160" s="13" t="str">
        <f t="shared" si="4"/>
        <v>2</v>
      </c>
      <c r="I160" s="78"/>
    </row>
    <row r="161" spans="1:9">
      <c r="A161" s="40">
        <f>'【3-2】大区&amp;运营中心填-房间模型价'!H160</f>
        <v>1307</v>
      </c>
      <c r="B161" s="40" t="str">
        <f>'【3-2】大区&amp;运营中心填-房间模型价'!I160</f>
        <v>J</v>
      </c>
      <c r="C161" s="74" t="str">
        <f>VLOOKUP(A161,'【3-2】大区&amp;运营中心填-房间模型价'!H:J,3,0)</f>
        <v>开间</v>
      </c>
      <c r="D161" s="75">
        <v>0.5</v>
      </c>
      <c r="E161" s="75">
        <v>0</v>
      </c>
      <c r="F161" s="75">
        <v>0</v>
      </c>
      <c r="G161" s="75">
        <v>-0.5</v>
      </c>
      <c r="H161" s="13" t="str">
        <f t="shared" si="4"/>
        <v>2</v>
      </c>
      <c r="I161" s="78"/>
    </row>
    <row r="162" spans="1:9">
      <c r="A162" s="40">
        <f>'【3-2】大区&amp;运营中心填-房间模型价'!H161</f>
        <v>1308</v>
      </c>
      <c r="B162" s="40" t="str">
        <f>'【3-2】大区&amp;运营中心填-房间模型价'!I161</f>
        <v>I</v>
      </c>
      <c r="C162" s="74" t="str">
        <f>VLOOKUP(A162,'【3-2】大区&amp;运营中心填-房间模型价'!H:J,3,0)</f>
        <v>一居室</v>
      </c>
      <c r="D162" s="75">
        <v>1</v>
      </c>
      <c r="E162" s="75">
        <v>0</v>
      </c>
      <c r="F162" s="75">
        <v>0</v>
      </c>
      <c r="G162" s="75">
        <v>-1</v>
      </c>
      <c r="H162" s="13" t="str">
        <f t="shared" si="4"/>
        <v>2</v>
      </c>
      <c r="I162" s="78"/>
    </row>
    <row r="163" spans="1:9">
      <c r="A163" s="40">
        <f>'【3-2】大区&amp;运营中心填-房间模型价'!H162</f>
        <v>1309</v>
      </c>
      <c r="B163" s="40" t="str">
        <f>'【3-2】大区&amp;运营中心填-房间模型价'!I162</f>
        <v>J</v>
      </c>
      <c r="C163" s="74" t="str">
        <f>VLOOKUP(A163,'【3-2】大区&amp;运营中心填-房间模型价'!H:J,3,0)</f>
        <v>开间</v>
      </c>
      <c r="D163" s="75">
        <v>0.5</v>
      </c>
      <c r="E163" s="75">
        <v>0</v>
      </c>
      <c r="F163" s="75">
        <v>0</v>
      </c>
      <c r="G163" s="75">
        <v>-0.5</v>
      </c>
      <c r="H163" s="13" t="str">
        <f t="shared" si="4"/>
        <v>2</v>
      </c>
      <c r="I163" s="78"/>
    </row>
    <row r="164" spans="1:9">
      <c r="A164" s="40">
        <f>'【3-2】大区&amp;运营中心填-房间模型价'!H163</f>
        <v>1310</v>
      </c>
      <c r="B164" s="40" t="str">
        <f>'【3-2】大区&amp;运营中心填-房间模型价'!I163</f>
        <v>I</v>
      </c>
      <c r="C164" s="74" t="str">
        <f>VLOOKUP(A164,'【3-2】大区&amp;运营中心填-房间模型价'!H:J,3,0)</f>
        <v>一居室</v>
      </c>
      <c r="D164" s="75">
        <v>1</v>
      </c>
      <c r="E164" s="75">
        <v>0</v>
      </c>
      <c r="F164" s="75">
        <v>0</v>
      </c>
      <c r="G164" s="75">
        <v>-1</v>
      </c>
      <c r="H164" s="13" t="str">
        <f t="shared" si="4"/>
        <v>2</v>
      </c>
      <c r="I164" s="78"/>
    </row>
    <row r="165" spans="1:9">
      <c r="A165" s="40">
        <f>'【3-2】大区&amp;运营中心填-房间模型价'!H164</f>
        <v>1311</v>
      </c>
      <c r="B165" s="40" t="str">
        <f>'【3-2】大区&amp;运营中心填-房间模型价'!I164</f>
        <v>L</v>
      </c>
      <c r="C165" s="74" t="str">
        <f>VLOOKUP(A165,'【3-2】大区&amp;运营中心填-房间模型价'!H:J,3,0)</f>
        <v>开间</v>
      </c>
      <c r="D165" s="75">
        <v>1.5</v>
      </c>
      <c r="E165" s="75">
        <v>0</v>
      </c>
      <c r="F165" s="75">
        <v>0</v>
      </c>
      <c r="G165" s="75">
        <v>-1</v>
      </c>
      <c r="H165" s="13" t="str">
        <f t="shared" si="4"/>
        <v>4</v>
      </c>
      <c r="I165" s="78"/>
    </row>
    <row r="166" spans="1:9">
      <c r="A166" s="40">
        <f>'【3-2】大区&amp;运营中心填-房间模型价'!H165</f>
        <v>1312</v>
      </c>
      <c r="B166" s="40" t="str">
        <f>'【3-2】大区&amp;运营中心填-房间模型价'!I165</f>
        <v>K</v>
      </c>
      <c r="C166" s="74" t="str">
        <f>VLOOKUP(A166,'【3-2】大区&amp;运营中心填-房间模型价'!H:J,3,0)</f>
        <v>开间</v>
      </c>
      <c r="D166" s="75">
        <v>0.5</v>
      </c>
      <c r="E166" s="75">
        <v>0</v>
      </c>
      <c r="F166" s="75">
        <v>0</v>
      </c>
      <c r="G166" s="75">
        <v>-0.5</v>
      </c>
      <c r="H166" s="13" t="str">
        <f t="shared" si="4"/>
        <v>2</v>
      </c>
      <c r="I166" s="78"/>
    </row>
    <row r="167" spans="1:9">
      <c r="A167" s="40">
        <f>'【3-2】大区&amp;运营中心填-房间模型价'!H166</f>
        <v>1313</v>
      </c>
      <c r="B167" s="40" t="str">
        <f>'【3-2】大区&amp;运营中心填-房间模型价'!I166</f>
        <v>A</v>
      </c>
      <c r="C167" s="74" t="str">
        <f>VLOOKUP(A167,'【3-2】大区&amp;运营中心填-房间模型价'!H:J,3,0)</f>
        <v>开间</v>
      </c>
      <c r="D167" s="75">
        <v>0.5</v>
      </c>
      <c r="E167" s="75">
        <v>0</v>
      </c>
      <c r="F167" s="75">
        <v>0</v>
      </c>
      <c r="G167" s="75">
        <v>-0.5</v>
      </c>
      <c r="H167" s="13" t="str">
        <f t="shared" si="4"/>
        <v>2</v>
      </c>
      <c r="I167" s="78"/>
    </row>
    <row r="168" spans="1:9">
      <c r="A168" s="40">
        <f>'【3-2】大区&amp;运营中心填-房间模型价'!H167</f>
        <v>0</v>
      </c>
      <c r="B168" s="40">
        <f>'【3-2】大区&amp;运营中心填-房间模型价'!I167</f>
        <v>0</v>
      </c>
      <c r="C168" s="74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ref="H168:H185" si="5">IF(C168="开间",IF(D168+E168*2-G168&lt;=0,"1",IF(D168+E168*2-G168&lt;=1,"2",IF(D168+E168*2-G168&lt;=2,"3",IF(D168+E168*2-G168&lt;=3,"4","5")))),IF(D168+E168*2-G168&lt;1.1,"1",IF(D168+E168*2-G168&lt;=2,"2",IF(D168+E168*2-G168&lt;=3,"3",IF(D168+E168*2-G168&lt;=4,"4","5")))))</f>
        <v>#N/A</v>
      </c>
      <c r="I168" s="78"/>
    </row>
    <row r="169" spans="1:9">
      <c r="A169" s="40">
        <f>'【3-2】大区&amp;运营中心填-房间模型价'!H168</f>
        <v>0</v>
      </c>
      <c r="B169" s="40">
        <f>'【3-2】大区&amp;运营中心填-房间模型价'!I168</f>
        <v>0</v>
      </c>
      <c r="C169" s="74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5"/>
        <v>#N/A</v>
      </c>
      <c r="I169" s="78"/>
    </row>
    <row r="170" spans="1:9">
      <c r="A170" s="40">
        <f>'【3-2】大区&amp;运营中心填-房间模型价'!H169</f>
        <v>0</v>
      </c>
      <c r="B170" s="40">
        <f>'【3-2】大区&amp;运营中心填-房间模型价'!I169</f>
        <v>0</v>
      </c>
      <c r="C170" s="74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5"/>
        <v>#N/A</v>
      </c>
      <c r="I170" s="78"/>
    </row>
    <row r="171" spans="1:9">
      <c r="A171" s="40">
        <f>'【3-2】大区&amp;运营中心填-房间模型价'!H170</f>
        <v>0</v>
      </c>
      <c r="B171" s="40">
        <f>'【3-2】大区&amp;运营中心填-房间模型价'!I170</f>
        <v>0</v>
      </c>
      <c r="C171" s="74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5"/>
        <v>#N/A</v>
      </c>
      <c r="I171" s="78"/>
    </row>
    <row r="172" spans="1:9">
      <c r="A172" s="40">
        <f>'【3-2】大区&amp;运营中心填-房间模型价'!H171</f>
        <v>0</v>
      </c>
      <c r="B172" s="40">
        <f>'【3-2】大区&amp;运营中心填-房间模型价'!I171</f>
        <v>0</v>
      </c>
      <c r="C172" s="74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5"/>
        <v>#N/A</v>
      </c>
      <c r="I172" s="78"/>
    </row>
    <row r="173" spans="1:9">
      <c r="A173" s="40">
        <f>'【3-2】大区&amp;运营中心填-房间模型价'!H172</f>
        <v>0</v>
      </c>
      <c r="B173" s="40">
        <f>'【3-2】大区&amp;运营中心填-房间模型价'!I172</f>
        <v>0</v>
      </c>
      <c r="C173" s="74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5"/>
        <v>#N/A</v>
      </c>
      <c r="I173" s="78"/>
    </row>
    <row r="174" spans="1:9">
      <c r="A174" s="40">
        <f>'【3-2】大区&amp;运营中心填-房间模型价'!H173</f>
        <v>0</v>
      </c>
      <c r="B174" s="40">
        <f>'【3-2】大区&amp;运营中心填-房间模型价'!I173</f>
        <v>0</v>
      </c>
      <c r="C174" s="74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5"/>
        <v>#N/A</v>
      </c>
      <c r="I174" s="78"/>
    </row>
    <row r="175" spans="1:9">
      <c r="A175" s="40">
        <f>'【3-2】大区&amp;运营中心填-房间模型价'!H174</f>
        <v>0</v>
      </c>
      <c r="B175" s="40">
        <f>'【3-2】大区&amp;运营中心填-房间模型价'!I174</f>
        <v>0</v>
      </c>
      <c r="C175" s="74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5"/>
        <v>#N/A</v>
      </c>
      <c r="I175" s="78"/>
    </row>
    <row r="176" spans="1:9">
      <c r="A176" s="40">
        <f>'【3-2】大区&amp;运营中心填-房间模型价'!H175</f>
        <v>0</v>
      </c>
      <c r="B176" s="40">
        <f>'【3-2】大区&amp;运营中心填-房间模型价'!I175</f>
        <v>0</v>
      </c>
      <c r="C176" s="74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5"/>
        <v>#N/A</v>
      </c>
      <c r="I176" s="78"/>
    </row>
    <row r="177" spans="1:9">
      <c r="A177" s="40">
        <f>'【3-2】大区&amp;运营中心填-房间模型价'!H176</f>
        <v>0</v>
      </c>
      <c r="B177" s="40">
        <f>'【3-2】大区&amp;运营中心填-房间模型价'!I176</f>
        <v>0</v>
      </c>
      <c r="C177" s="74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5"/>
        <v>#N/A</v>
      </c>
      <c r="I177" s="78"/>
    </row>
    <row r="178" spans="1:9">
      <c r="A178" s="40">
        <f>'【3-2】大区&amp;运营中心填-房间模型价'!H177</f>
        <v>0</v>
      </c>
      <c r="B178" s="40">
        <f>'【3-2】大区&amp;运营中心填-房间模型价'!I177</f>
        <v>0</v>
      </c>
      <c r="C178" s="74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5"/>
        <v>#N/A</v>
      </c>
      <c r="I178" s="78"/>
    </row>
    <row r="179" spans="1:9">
      <c r="A179" s="40">
        <f>'【3-2】大区&amp;运营中心填-房间模型价'!H178</f>
        <v>0</v>
      </c>
      <c r="B179" s="40">
        <f>'【3-2】大区&amp;运营中心填-房间模型价'!I178</f>
        <v>0</v>
      </c>
      <c r="C179" s="74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5"/>
        <v>#N/A</v>
      </c>
      <c r="I179" s="78"/>
    </row>
    <row r="180" spans="1:9">
      <c r="A180" s="40">
        <f>'【3-2】大区&amp;运营中心填-房间模型价'!H179</f>
        <v>0</v>
      </c>
      <c r="B180" s="40">
        <f>'【3-2】大区&amp;运营中心填-房间模型价'!I179</f>
        <v>0</v>
      </c>
      <c r="C180" s="74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5"/>
        <v>#N/A</v>
      </c>
      <c r="I180" s="78"/>
    </row>
    <row r="181" spans="1:9">
      <c r="A181" s="40">
        <f>'【3-2】大区&amp;运营中心填-房间模型价'!H180</f>
        <v>0</v>
      </c>
      <c r="B181" s="40">
        <f>'【3-2】大区&amp;运营中心填-房间模型价'!I180</f>
        <v>0</v>
      </c>
      <c r="C181" s="74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5"/>
        <v>#N/A</v>
      </c>
      <c r="I181" s="78"/>
    </row>
    <row r="182" spans="1:9">
      <c r="A182" s="40">
        <f>'【3-2】大区&amp;运营中心填-房间模型价'!H181</f>
        <v>0</v>
      </c>
      <c r="B182" s="40">
        <f>'【3-2】大区&amp;运营中心填-房间模型价'!I181</f>
        <v>0</v>
      </c>
      <c r="C182" s="74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5"/>
        <v>#N/A</v>
      </c>
      <c r="I182" s="78"/>
    </row>
    <row r="183" spans="1:9">
      <c r="A183" s="40">
        <f>'【3-2】大区&amp;运营中心填-房间模型价'!H182</f>
        <v>0</v>
      </c>
      <c r="B183" s="40">
        <f>'【3-2】大区&amp;运营中心填-房间模型价'!I182</f>
        <v>0</v>
      </c>
      <c r="C183" s="74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5"/>
        <v>#N/A</v>
      </c>
      <c r="I183" s="78"/>
    </row>
    <row r="184" spans="1:9">
      <c r="A184" s="40">
        <f>'【3-2】大区&amp;运营中心填-房间模型价'!H183</f>
        <v>0</v>
      </c>
      <c r="B184" s="40">
        <f>'【3-2】大区&amp;运营中心填-房间模型价'!I183</f>
        <v>0</v>
      </c>
      <c r="C184" s="74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5"/>
        <v>#N/A</v>
      </c>
      <c r="I184" s="78"/>
    </row>
    <row r="185" spans="1:9">
      <c r="A185" s="40">
        <f>'【3-2】大区&amp;运营中心填-房间模型价'!H184</f>
        <v>0</v>
      </c>
      <c r="B185" s="40">
        <f>'【3-2】大区&amp;运营中心填-房间模型价'!I184</f>
        <v>0</v>
      </c>
      <c r="C185" s="74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5"/>
        <v>#N/A</v>
      </c>
      <c r="I185" s="78"/>
    </row>
    <row r="186" spans="1:9">
      <c r="A186" s="40">
        <f>'【3-2】大区&amp;运营中心填-房间模型价'!H171</f>
        <v>0</v>
      </c>
      <c r="B186" s="40">
        <f>'【3-2】大区&amp;运营中心填-房间模型价'!I171</f>
        <v>0</v>
      </c>
      <c r="C186" s="74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4"/>
        <v>#N/A</v>
      </c>
      <c r="I186" s="78"/>
    </row>
    <row r="187" spans="1:9">
      <c r="A187" s="40">
        <f>'【3-2】大区&amp;运营中心填-房间模型价'!H172</f>
        <v>0</v>
      </c>
      <c r="B187" s="40">
        <f>'【3-2】大区&amp;运营中心填-房间模型价'!I172</f>
        <v>0</v>
      </c>
      <c r="C187" s="74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4"/>
        <v>#N/A</v>
      </c>
      <c r="I187" s="78"/>
    </row>
    <row r="188" spans="1:9">
      <c r="A188" s="40">
        <f>'【3-2】大区&amp;运营中心填-房间模型价'!H173</f>
        <v>0</v>
      </c>
      <c r="B188" s="40">
        <f>'【3-2】大区&amp;运营中心填-房间模型价'!I173</f>
        <v>0</v>
      </c>
      <c r="C188" s="74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4"/>
        <v>#N/A</v>
      </c>
      <c r="I188" s="78"/>
    </row>
    <row r="189" spans="1:9">
      <c r="A189" s="40">
        <f>'【3-2】大区&amp;运营中心填-房间模型价'!H174</f>
        <v>0</v>
      </c>
      <c r="B189" s="40">
        <f>'【3-2】大区&amp;运营中心填-房间模型价'!I174</f>
        <v>0</v>
      </c>
      <c r="C189" s="74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4"/>
        <v>#N/A</v>
      </c>
      <c r="I189" s="78"/>
    </row>
    <row r="190" spans="1:9">
      <c r="A190" s="40">
        <f>'【3-2】大区&amp;运营中心填-房间模型价'!H175</f>
        <v>0</v>
      </c>
      <c r="B190" s="40">
        <f>'【3-2】大区&amp;运营中心填-房间模型价'!I175</f>
        <v>0</v>
      </c>
      <c r="C190" s="74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4"/>
        <v>#N/A</v>
      </c>
      <c r="I190" s="78"/>
    </row>
    <row r="191" spans="1:9">
      <c r="A191" s="40">
        <f>'【3-2】大区&amp;运营中心填-房间模型价'!H176</f>
        <v>0</v>
      </c>
      <c r="B191" s="40">
        <f>'【3-2】大区&amp;运营中心填-房间模型价'!I176</f>
        <v>0</v>
      </c>
      <c r="C191" s="74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4"/>
        <v>#N/A</v>
      </c>
      <c r="I191" s="78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P169"/>
  <sheetViews>
    <sheetView tabSelected="1" zoomScale="80" zoomScaleNormal="80" workbookViewId="0">
      <pane ySplit="1" topLeftCell="A78" activePane="bottomLeft" state="frozen"/>
      <selection/>
      <selection pane="bottomLeft" activeCell="AP97" sqref="AP97"/>
    </sheetView>
  </sheetViews>
  <sheetFormatPr defaultColWidth="8.41666666666667" defaultRowHeight="13.8"/>
  <cols>
    <col min="1" max="1" width="26.1111111111111" style="35" customWidth="1"/>
    <col min="2" max="7" width="14.25" style="35" hidden="1" customWidth="1"/>
    <col min="8" max="8" width="13.0833333333333" style="35" customWidth="1"/>
    <col min="9" max="9" width="11.0833333333333" style="35" customWidth="1"/>
    <col min="10" max="10" width="15.0833333333333" style="35" customWidth="1"/>
    <col min="11" max="11" width="11.0833333333333" style="35" hidden="1" customWidth="1"/>
    <col min="12" max="12" width="19.4166666666667" style="36" hidden="1" customWidth="1"/>
    <col min="13" max="14" width="15.0833333333333" style="35" hidden="1" customWidth="1" outlineLevel="1"/>
    <col min="15" max="15" width="16.25" hidden="1" customWidth="1" outlineLevel="1"/>
    <col min="16" max="16" width="11.0833333333333" style="2" hidden="1" customWidth="1" outlineLevel="1"/>
    <col min="17" max="17" width="16.25" style="2" hidden="1" customWidth="1" outlineLevel="1"/>
    <col min="18" max="18" width="17.3333333333333" style="2" hidden="1" customWidth="1" outlineLevel="1"/>
    <col min="19" max="19" width="16.25" hidden="1" customWidth="1" outlineLevel="1"/>
    <col min="20" max="20" width="17.3333333333333" hidden="1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hidden="1" customWidth="1" outlineLevel="1"/>
    <col min="31" max="31" width="16.25" hidden="1" customWidth="1" outlineLevel="1"/>
    <col min="32" max="32" width="24.0833333333333" hidden="1" customWidth="1" outlineLevel="1"/>
    <col min="33" max="33" width="16.25" hidden="1" customWidth="1" outlineLevel="1"/>
    <col min="34" max="34" width="24.0833333333333" hidden="1" customWidth="1" outlineLevel="1"/>
    <col min="35" max="35" width="16.25" hidden="1" customWidth="1" outlineLevel="1"/>
    <col min="36" max="36" width="11.0833333333333" hidden="1" customWidth="1" outlineLevel="1"/>
    <col min="37" max="37" width="16.25" hidden="1" customWidth="1" outlineLevel="1"/>
    <col min="38" max="38" width="17.3333333333333" style="37" customWidth="1" collapsed="1"/>
    <col min="39" max="39" width="15.4166666666667" style="13" customWidth="1"/>
    <col min="40" max="40" width="11.3333333333333" customWidth="1"/>
    <col min="42" max="42" width="13.3333333333333" customWidth="1"/>
    <col min="43" max="43" width="14.5833333333333" customWidth="1"/>
  </cols>
  <sheetData>
    <row r="1" ht="16.25" customHeight="1" spans="1:42">
      <c r="A1" s="38" t="s">
        <v>440</v>
      </c>
      <c r="B1" s="38" t="s">
        <v>466</v>
      </c>
      <c r="C1" s="38" t="s">
        <v>467</v>
      </c>
      <c r="D1" s="38" t="s">
        <v>468</v>
      </c>
      <c r="E1" s="38" t="s">
        <v>469</v>
      </c>
      <c r="F1" s="38" t="s">
        <v>470</v>
      </c>
      <c r="G1" s="38" t="s">
        <v>471</v>
      </c>
      <c r="H1" s="38" t="s">
        <v>446</v>
      </c>
      <c r="I1" s="38" t="s">
        <v>359</v>
      </c>
      <c r="J1" s="38" t="s">
        <v>36</v>
      </c>
      <c r="K1" s="38" t="s">
        <v>271</v>
      </c>
      <c r="L1" s="39" t="s">
        <v>444</v>
      </c>
      <c r="M1" s="40" t="s">
        <v>57</v>
      </c>
      <c r="N1" s="40" t="s">
        <v>472</v>
      </c>
      <c r="O1" s="40" t="s">
        <v>442</v>
      </c>
      <c r="P1" s="40" t="s">
        <v>67</v>
      </c>
      <c r="Q1" s="41" t="s">
        <v>443</v>
      </c>
      <c r="R1" s="40" t="s">
        <v>68</v>
      </c>
      <c r="S1" s="41" t="s">
        <v>473</v>
      </c>
      <c r="T1" s="40" t="s">
        <v>104</v>
      </c>
      <c r="U1" s="41" t="s">
        <v>474</v>
      </c>
      <c r="V1" s="40" t="s">
        <v>475</v>
      </c>
      <c r="W1" s="40" t="s">
        <v>476</v>
      </c>
      <c r="X1" s="40" t="s">
        <v>477</v>
      </c>
      <c r="Y1" s="40" t="s">
        <v>478</v>
      </c>
      <c r="Z1" s="40" t="s">
        <v>479</v>
      </c>
      <c r="AA1" s="40" t="s">
        <v>480</v>
      </c>
      <c r="AB1" s="40" t="s">
        <v>481</v>
      </c>
      <c r="AC1" s="40" t="s">
        <v>482</v>
      </c>
      <c r="AD1" s="40" t="str">
        <f>【1】定价因子!$C$35</f>
        <v>功能配置（开间）</v>
      </c>
      <c r="AE1" s="41" t="s">
        <v>483</v>
      </c>
      <c r="AF1" s="40" t="str">
        <f>【1】定价因子!$C$47</f>
        <v>功能配置（一居）</v>
      </c>
      <c r="AG1" s="42" t="s">
        <v>484</v>
      </c>
      <c r="AH1" s="40" t="str">
        <f>【1】定价因子!$C$54</f>
        <v>功能配置（二居）</v>
      </c>
      <c r="AI1" s="42" t="s">
        <v>485</v>
      </c>
      <c r="AJ1" s="43" t="s">
        <v>118</v>
      </c>
      <c r="AK1" s="41" t="s">
        <v>486</v>
      </c>
      <c r="AL1" s="44" t="s">
        <v>487</v>
      </c>
      <c r="AM1" s="45" t="s">
        <v>488</v>
      </c>
      <c r="AN1" s="46" t="s">
        <v>489</v>
      </c>
      <c r="AP1" t="s">
        <v>490</v>
      </c>
    </row>
    <row r="2" ht="17" customHeight="1" spans="1:42">
      <c r="A2" s="47" t="str">
        <f>'【2】运营中心填-基本信息&amp;审核标准'!$E$2</f>
        <v>福围广生7-16、17栋</v>
      </c>
      <c r="B2" s="13">
        <f>INT(H2/100)</f>
        <v>2</v>
      </c>
      <c r="C2" s="13">
        <f t="shared" ref="C2:C19" si="0">COUNTIF($B$2:$B$19,B2)</f>
        <v>14</v>
      </c>
      <c r="D2" s="13">
        <f t="shared" ref="D2:D19" si="1">COUNTIF(C$2:C$19,C2)</f>
        <v>14</v>
      </c>
      <c r="E2" s="13">
        <f>MAX(D2:D19)</f>
        <v>14</v>
      </c>
      <c r="F2" s="13">
        <f>IF(D2=$E$2,C2,"")</f>
        <v>14</v>
      </c>
      <c r="G2" s="13">
        <f>MAX(F2:F19)</f>
        <v>14</v>
      </c>
      <c r="H2" s="48">
        <v>201</v>
      </c>
      <c r="I2" s="49" t="s">
        <v>491</v>
      </c>
      <c r="J2" s="49" t="s">
        <v>43</v>
      </c>
      <c r="K2" s="13" t="str">
        <f t="array" ref="K2">IFERROR(INDEX($J$2:$J$19,MATCH(0,IF(ISBLANK($J$2:$J$19),1,COUNTIF($K$1:K1,$J$2:$J$19)),0)),"")</f>
        <v>一居室</v>
      </c>
      <c r="L2" s="50">
        <f>VLOOKUP(J2,'【3】大区填-楼栋基准格局定价'!B:H,7,0)</f>
        <v>2472.1725</v>
      </c>
      <c r="M2" s="51" t="s">
        <v>65</v>
      </c>
      <c r="N2" s="51">
        <v>22.14</v>
      </c>
      <c r="O2" s="52">
        <f>VLOOKUP($M$1&amp;M2,【1】定价因子!E:F,2,0)</f>
        <v>0.95</v>
      </c>
      <c r="P2" s="52" t="str">
        <f>IF(COUNTIFS(户型资产表!E:E,I2,户型资产表!H:H,"阳台门")&gt;0,"有","无")</f>
        <v>无</v>
      </c>
      <c r="Q2" s="52">
        <f>VLOOKUP($P$1&amp;P2,【1】定价因子!E:F,2,0)</f>
        <v>1</v>
      </c>
      <c r="R2" s="52" t="str">
        <f>IF('【2】运营中心填-基本信息&amp;审核标准'!$D$4="是","无",IF(INT(H2/100)&gt;9,"9F",INT(H2/100)&amp;"F"))</f>
        <v>无</v>
      </c>
      <c r="S2" s="52">
        <f>VLOOKUP(R2,【1】定价因子!D:F,3,0)</f>
        <v>1</v>
      </c>
      <c r="T2" s="52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2-3F</v>
      </c>
      <c r="U2" s="52">
        <f>VLOOKUP($T$1&amp;T2,【1】定价因子!E:F,2,0)</f>
        <v>0.99</v>
      </c>
      <c r="V2" s="52" t="str">
        <f>IF(COUNTIFS(户型资产表!E:E,I2,户型资产表!H:H,"操作台")&gt;0,"有","无")</f>
        <v>有</v>
      </c>
      <c r="W2" s="52" t="str">
        <f>IF(COUNTIFS(户型资产表!E:E,I2,户型资产表!H:H,"书桌")&gt;0,"有","无")</f>
        <v>无</v>
      </c>
      <c r="X2" s="52" t="str" cm="1">
        <f t="array" ref="X2">IF(SUMPRODUCT((户型资产表!E:E=I2)*((户型资产表!I:I="沙发01单人")+(户型资产表!I:I="单人沙发02")))&gt;0,"有","无")</f>
        <v>无</v>
      </c>
      <c r="Y2" s="52" t="str" cm="1">
        <f t="array" ref="Y2">IF(SUMPRODUCT((户型资产表!E:E=I2)*((户型资产表!I:I="沙发02两人")+(户型资产表!I:I="双人沙发01")))&gt;0,"有","无")</f>
        <v>有</v>
      </c>
      <c r="Z2" s="52" t="str">
        <f>IF(COUNTIFS(户型资产表!E:E,I2,户型资产表!H:H,"餐桌")&gt;0,"有","无")</f>
        <v>有</v>
      </c>
      <c r="AA2" s="52" t="str">
        <f>IF(COUNTIFS(户型资产表!E:E,I2,户型资产表!H:H,"吸油烟机")&gt;0,"有","无")</f>
        <v>无</v>
      </c>
      <c r="AB2" s="52" t="str">
        <f>IF(COUNTIFS(户型资产表!E:E,I2,户型资产表!H:H,"冰箱")&gt;0,"有","无")</f>
        <v>无</v>
      </c>
      <c r="AC2" s="52" t="str">
        <f>IF(COUNTIFS(户型资产表!E:E,I2,户型资产表!H:H,"电视柜")&gt;0,"有","无")</f>
        <v>无</v>
      </c>
      <c r="AD2" s="51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52">
        <f>VLOOKUP($AD$1&amp;AD2,【1】定价因子!E:F,2,0)</f>
        <v>1</v>
      </c>
      <c r="AF2" s="51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52">
        <f>VLOOKUP($AF$1&amp;AF2,【1】定价因子!E:F,2,0)</f>
        <v>1</v>
      </c>
      <c r="AH2" s="51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52">
        <f>VLOOKUP($AH$1&amp;AH2,【1】定价因子!E:F,2,0)</f>
        <v>1</v>
      </c>
      <c r="AJ2" s="52" t="str">
        <f>VLOOKUP(H2,'【3-1】大区填-采光基本要素'!A:H,8,0)</f>
        <v>1</v>
      </c>
      <c r="AK2" s="52">
        <f>VLOOKUP($AJ$1&amp;AJ2,【1】定价因子!E:F,2,0)</f>
        <v>0.91</v>
      </c>
      <c r="AL2" s="53">
        <f>L2*PRODUCT(AG2,AK2,AE2,U2,S2,Q2,O2)</f>
        <v>2115.8211949875</v>
      </c>
      <c r="AM2" s="54">
        <v>2068.19</v>
      </c>
      <c r="AN2" s="55">
        <f>AM2/AL2-1</f>
        <v>-0.0225119188239258</v>
      </c>
      <c r="AO2" s="56">
        <f>AM2+10</f>
        <v>2078.19</v>
      </c>
    </row>
    <row r="3" spans="1:42">
      <c r="A3" s="47" t="str">
        <f>'【2】运营中心填-基本信息&amp;审核标准'!$E$2</f>
        <v>福围广生7-16、17栋</v>
      </c>
      <c r="B3" s="13">
        <f t="shared" ref="B3:B19" si="2">INT(H3/100)</f>
        <v>2</v>
      </c>
      <c r="C3" s="13">
        <f t="shared" si="0"/>
        <v>14</v>
      </c>
      <c r="D3" s="13">
        <f t="shared" si="1"/>
        <v>14</v>
      </c>
      <c r="E3" s="13"/>
      <c r="F3" s="13">
        <f t="shared" ref="F3:F19" si="3">IF(D3=$E$2,C3,"")</f>
        <v>14</v>
      </c>
      <c r="G3" s="13"/>
      <c r="H3" s="48">
        <v>202</v>
      </c>
      <c r="I3" s="49" t="s">
        <v>492</v>
      </c>
      <c r="J3" s="49" t="s">
        <v>40</v>
      </c>
      <c r="K3" s="13" t="str">
        <f t="array" ref="K3">IFERROR(INDEX($J$2:$J$19,MATCH(0,IF(ISBLANK($J$2:$J$19),1,COUNTIF($K$1:K2,$J$2:$J$19)),0)),"")</f>
        <v>开间</v>
      </c>
      <c r="L3" s="50">
        <f>VLOOKUP(J3,'【3】大区填-楼栋基准格局定价'!B:H,7,0)</f>
        <v>1658.8509</v>
      </c>
      <c r="M3" s="51" t="s">
        <v>58</v>
      </c>
      <c r="N3" s="51">
        <v>21.67</v>
      </c>
      <c r="O3" s="52">
        <f>VLOOKUP($M$1&amp;M3,【1】定价因子!E:F,2,0)</f>
        <v>1.1</v>
      </c>
      <c r="P3" s="52" t="str">
        <f>IF(COUNTIFS(户型资产表!E:E,I3,户型资产表!H:H,"阳台门")&gt;0,"有","无")</f>
        <v>无</v>
      </c>
      <c r="Q3" s="52">
        <f>VLOOKUP($P$1&amp;P3,【1】定价因子!E:F,2,0)</f>
        <v>1</v>
      </c>
      <c r="R3" s="52" t="str">
        <f>IF('【2】运营中心填-基本信息&amp;审核标准'!$D$4="是","无",IF(INT(H3/100)&gt;9,"9F",INT(H3/100)&amp;"F"))</f>
        <v>无</v>
      </c>
      <c r="S3" s="52">
        <f>VLOOKUP(R3,【1】定价因子!D:F,3,0)</f>
        <v>1</v>
      </c>
      <c r="T3" s="52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2-3F</v>
      </c>
      <c r="U3" s="52">
        <f>VLOOKUP($T$1&amp;T3,【1】定价因子!E:F,2,0)</f>
        <v>0.99</v>
      </c>
      <c r="V3" s="52" t="str">
        <f>IF(COUNTIFS(户型资产表!E:E,I3,户型资产表!H:H,"操作台")&gt;0,"有","无")</f>
        <v>有</v>
      </c>
      <c r="W3" s="52" t="str">
        <f>IF(COUNTIFS(户型资产表!E:E,I3,户型资产表!H:H,"书桌")&gt;0,"有","无")</f>
        <v>有</v>
      </c>
      <c r="X3" s="52" t="str" cm="1">
        <f t="array" ref="X3">IF(SUMPRODUCT((户型资产表!E:E=I3)*((户型资产表!I:I="沙发01单人")+(户型资产表!I:I="单人沙发02")))&gt;0,"有","无")</f>
        <v>无</v>
      </c>
      <c r="Y3" s="52" t="str" cm="1">
        <f t="array" ref="Y3">IF(SUMPRODUCT((户型资产表!E:E=I3)*((户型资产表!I:I="沙发02两人")+(户型资产表!I:I="双人沙发01")))&gt;0,"有","无")</f>
        <v>无</v>
      </c>
      <c r="Z3" s="52" t="str">
        <f>IF(COUNTIFS(户型资产表!E:E,I3,户型资产表!H:H,"餐桌")&gt;0,"有","无")</f>
        <v>无</v>
      </c>
      <c r="AA3" s="52" t="str">
        <f>IF(COUNTIFS(户型资产表!E:E,I3,户型资产表!H:H,"吸油烟机")&gt;0,"有","无")</f>
        <v>无</v>
      </c>
      <c r="AB3" s="52" t="str">
        <f>IF(COUNTIFS(户型资产表!E:E,I3,户型资产表!H:H,"冰箱")&gt;0,"有","无")</f>
        <v>无</v>
      </c>
      <c r="AC3" s="52" t="str">
        <f>IF(COUNTIFS(户型资产表!E:E,I3,户型资产表!H:H,"电视柜")&gt;0,"有","无")</f>
        <v>无</v>
      </c>
      <c r="AD3" s="51" t="str">
        <f t="shared" ref="AD3:AD19" si="4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52">
        <f>VLOOKUP($AD$1&amp;AD3,【1】定价因子!E:F,2,0)</f>
        <v>1</v>
      </c>
      <c r="AF3" s="51" t="str">
        <f t="shared" ref="AF3:AF19" si="5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52">
        <f>VLOOKUP($AF$1&amp;AF3,【1】定价因子!E:F,2,0)</f>
        <v>1</v>
      </c>
      <c r="AH3" s="51" t="str">
        <f t="shared" ref="AH3:AH19" si="6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52">
        <f>VLOOKUP($AH$1&amp;AH3,【1】定价因子!E:F,2,0)</f>
        <v>1</v>
      </c>
      <c r="AJ3" s="52" t="str">
        <f>VLOOKUP(H3,'【3-1】大区填-采光基本要素'!A:H,8,0)</f>
        <v>2</v>
      </c>
      <c r="AK3" s="52">
        <f>VLOOKUP($AJ$1&amp;AJ3,【1】定价因子!E:F,2,0)</f>
        <v>0.96</v>
      </c>
      <c r="AL3" s="53">
        <f t="shared" ref="AL3:AL19" si="7">L3*PRODUCT(AG3,AK3,AE3,U3,S3,Q3,O3)</f>
        <v>1734.229084896</v>
      </c>
      <c r="AM3" s="54">
        <v>1588</v>
      </c>
      <c r="AN3" s="55">
        <f t="shared" ref="AN3:AN19" si="8">AM3/AL3-1</f>
        <v>-0.0843193590567471</v>
      </c>
      <c r="AO3" s="56">
        <f t="shared" ref="AO3:AO34" si="9">AM3+10</f>
        <v>1598</v>
      </c>
    </row>
    <row r="4" s="34" customFormat="1" spans="1:42">
      <c r="A4" s="57" t="str">
        <f>'【2】运营中心填-基本信息&amp;审核标准'!$E$2</f>
        <v>福围广生7-16、17栋</v>
      </c>
      <c r="B4" s="57">
        <f t="shared" si="2"/>
        <v>2</v>
      </c>
      <c r="C4" s="57">
        <f t="shared" si="0"/>
        <v>14</v>
      </c>
      <c r="D4" s="57">
        <f t="shared" si="1"/>
        <v>14</v>
      </c>
      <c r="E4" s="57"/>
      <c r="F4" s="57">
        <f t="shared" si="3"/>
        <v>14</v>
      </c>
      <c r="G4" s="57"/>
      <c r="H4" s="58">
        <v>203</v>
      </c>
      <c r="I4" s="59" t="s">
        <v>492</v>
      </c>
      <c r="J4" s="59" t="s">
        <v>40</v>
      </c>
      <c r="K4" s="57" t="str">
        <f t="array" ref="K4">IFERROR(INDEX($J$2:$J$19,MATCH(0,IF(ISBLANK($J$2:$J$19),1,COUNTIF($K$1:K3,$J$2:$J$19)),0)),"")</f>
        <v/>
      </c>
      <c r="L4" s="60">
        <f>VLOOKUP(J4,'【3】大区填-楼栋基准格局定价'!B:H,7,0)</f>
        <v>1658.8509</v>
      </c>
      <c r="M4" s="61" t="s">
        <v>63</v>
      </c>
      <c r="N4" s="61">
        <v>16.32</v>
      </c>
      <c r="O4" s="57">
        <f>VLOOKUP($M$1&amp;M4,【1】定价因子!E:F,2,0)</f>
        <v>1</v>
      </c>
      <c r="P4" s="57" t="str">
        <f>IF(COUNTIFS(户型资产表!E:E,I4,户型资产表!H:H,"阳台门")&gt;0,"有","无")</f>
        <v>无</v>
      </c>
      <c r="Q4" s="57">
        <f>VLOOKUP($P$1&amp;P4,【1】定价因子!E:F,2,0)</f>
        <v>1</v>
      </c>
      <c r="R4" s="57" t="str">
        <f>IF('【2】运营中心填-基本信息&amp;审核标准'!$D$4="是","无",IF(INT(H4/100)&gt;9,"9F",INT(H4/100)&amp;"F"))</f>
        <v>无</v>
      </c>
      <c r="S4" s="57">
        <f>VLOOKUP(R4,【1】定价因子!D:F,3,0)</f>
        <v>1</v>
      </c>
      <c r="T4" s="57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2-3F</v>
      </c>
      <c r="U4" s="57">
        <f>VLOOKUP($T$1&amp;T4,【1】定价因子!E:F,2,0)</f>
        <v>0.99</v>
      </c>
      <c r="V4" s="57" t="str">
        <f>IF(COUNTIFS(户型资产表!E:E,I4,户型资产表!H:H,"操作台")&gt;0,"有","无")</f>
        <v>有</v>
      </c>
      <c r="W4" s="57" t="str">
        <f>IF(COUNTIFS(户型资产表!E:E,I4,户型资产表!H:H,"书桌")&gt;0,"有","无")</f>
        <v>有</v>
      </c>
      <c r="X4" s="57" t="str" cm="1">
        <f t="array" ref="X4">IF(SUMPRODUCT((户型资产表!E:E=I4)*((户型资产表!I:I="沙发01单人")+(户型资产表!I:I="单人沙发02")))&gt;0,"有","无")</f>
        <v>无</v>
      </c>
      <c r="Y4" s="57" t="str" cm="1">
        <f t="array" ref="Y4">IF(SUMPRODUCT((户型资产表!E:E=I4)*((户型资产表!I:I="沙发02两人")+(户型资产表!I:I="双人沙发01")))&gt;0,"有","无")</f>
        <v>无</v>
      </c>
      <c r="Z4" s="57" t="str">
        <f>IF(COUNTIFS(户型资产表!E:E,I4,户型资产表!H:H,"餐桌")&gt;0,"有","无")</f>
        <v>无</v>
      </c>
      <c r="AA4" s="57" t="str">
        <f>IF(COUNTIFS(户型资产表!E:E,I4,户型资产表!H:H,"吸油烟机")&gt;0,"有","无")</f>
        <v>无</v>
      </c>
      <c r="AB4" s="57" t="str">
        <f>IF(COUNTIFS(户型资产表!E:E,I4,户型资产表!H:H,"冰箱")&gt;0,"有","无")</f>
        <v>无</v>
      </c>
      <c r="AC4" s="57" t="str">
        <f>IF(COUNTIFS(户型资产表!E:E,I4,户型资产表!H:H,"电视柜")&gt;0,"有","无")</f>
        <v>无</v>
      </c>
      <c r="AD4" s="61" t="str">
        <f t="shared" si="4"/>
        <v>适中</v>
      </c>
      <c r="AE4" s="57">
        <f>VLOOKUP($AD$1&amp;AD4,【1】定价因子!E:F,2,0)</f>
        <v>1</v>
      </c>
      <c r="AF4" s="61" t="str">
        <f t="shared" si="5"/>
        <v>适中</v>
      </c>
      <c r="AG4" s="57">
        <f>VLOOKUP($AF$1&amp;AF4,【1】定价因子!E:F,2,0)</f>
        <v>1</v>
      </c>
      <c r="AH4" s="61" t="str">
        <f t="shared" si="6"/>
        <v>适中</v>
      </c>
      <c r="AI4" s="57">
        <f>VLOOKUP($AH$1&amp;AH4,【1】定价因子!E:F,2,0)</f>
        <v>1</v>
      </c>
      <c r="AJ4" s="57" t="str">
        <f>VLOOKUP(H4,'【3-1】大区填-采光基本要素'!A:H,8,0)</f>
        <v>2</v>
      </c>
      <c r="AK4" s="57">
        <f>VLOOKUP($AJ$1&amp;AJ4,【1】定价因子!E:F,2,0)</f>
        <v>0.96</v>
      </c>
      <c r="AL4" s="62">
        <f t="shared" si="7"/>
        <v>1576.57189536</v>
      </c>
      <c r="AM4" s="63">
        <v>1350</v>
      </c>
      <c r="AN4" s="64">
        <f t="shared" si="8"/>
        <v>-0.143711743198533</v>
      </c>
      <c r="AO4" s="65">
        <f t="shared" si="9"/>
        <v>1360</v>
      </c>
      <c r="AP4" s="34">
        <v>1448</v>
      </c>
    </row>
    <row r="5" s="34" customFormat="1" spans="1:42">
      <c r="A5" s="57" t="str">
        <f>'【2】运营中心填-基本信息&amp;审核标准'!$E$2</f>
        <v>福围广生7-16、17栋</v>
      </c>
      <c r="B5" s="57">
        <f t="shared" si="2"/>
        <v>2</v>
      </c>
      <c r="C5" s="57">
        <f t="shared" si="0"/>
        <v>14</v>
      </c>
      <c r="D5" s="57">
        <f t="shared" si="1"/>
        <v>14</v>
      </c>
      <c r="E5" s="57"/>
      <c r="F5" s="57">
        <f t="shared" si="3"/>
        <v>14</v>
      </c>
      <c r="G5" s="57"/>
      <c r="H5" s="58">
        <v>204</v>
      </c>
      <c r="I5" s="59" t="s">
        <v>491</v>
      </c>
      <c r="J5" s="59" t="s">
        <v>43</v>
      </c>
      <c r="K5" s="57" t="str">
        <f t="array" ref="K5">IFERROR(INDEX($J$2:$J$19,MATCH(0,IF(ISBLANK($J$2:$J$19),1,COUNTIF($K$1:K4,$J$2:$J$19)),0)),"")</f>
        <v/>
      </c>
      <c r="L5" s="60">
        <f>VLOOKUP(J5,'【3】大区填-楼栋基准格局定价'!B:H,7,0)</f>
        <v>2472.1725</v>
      </c>
      <c r="M5" s="61" t="s">
        <v>65</v>
      </c>
      <c r="N5" s="61">
        <v>20.73</v>
      </c>
      <c r="O5" s="57">
        <f>VLOOKUP($M$1&amp;M5,【1】定价因子!E:F,2,0)</f>
        <v>0.95</v>
      </c>
      <c r="P5" s="57" t="str">
        <f>IF(COUNTIFS(户型资产表!E:E,I5,户型资产表!H:H,"阳台门")&gt;0,"有","无")</f>
        <v>无</v>
      </c>
      <c r="Q5" s="57">
        <f>VLOOKUP($P$1&amp;P5,【1】定价因子!E:F,2,0)</f>
        <v>1</v>
      </c>
      <c r="R5" s="57" t="str">
        <f>IF('【2】运营中心填-基本信息&amp;审核标准'!$D$4="是","无",IF(INT(H5/100)&gt;9,"9F",INT(H5/100)&amp;"F"))</f>
        <v>无</v>
      </c>
      <c r="S5" s="57">
        <f>VLOOKUP(R5,【1】定价因子!D:F,3,0)</f>
        <v>1</v>
      </c>
      <c r="T5" s="57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2-3F</v>
      </c>
      <c r="U5" s="57">
        <f>VLOOKUP($T$1&amp;T5,【1】定价因子!E:F,2,0)</f>
        <v>0.99</v>
      </c>
      <c r="V5" s="57" t="str">
        <f>IF(COUNTIFS(户型资产表!E:E,I5,户型资产表!H:H,"操作台")&gt;0,"有","无")</f>
        <v>有</v>
      </c>
      <c r="W5" s="57" t="str">
        <f>IF(COUNTIFS(户型资产表!E:E,I5,户型资产表!H:H,"书桌")&gt;0,"有","无")</f>
        <v>无</v>
      </c>
      <c r="X5" s="57" t="str" cm="1">
        <f t="array" ref="X5">IF(SUMPRODUCT((户型资产表!E:E=I5)*((户型资产表!I:I="沙发01单人")+(户型资产表!I:I="单人沙发02")))&gt;0,"有","无")</f>
        <v>无</v>
      </c>
      <c r="Y5" s="57" t="str" cm="1">
        <f t="array" ref="Y5">IF(SUMPRODUCT((户型资产表!E:E=I5)*((户型资产表!I:I="沙发02两人")+(户型资产表!I:I="双人沙发01")))&gt;0,"有","无")</f>
        <v>有</v>
      </c>
      <c r="Z5" s="57" t="str">
        <f>IF(COUNTIFS(户型资产表!E:E,I5,户型资产表!H:H,"餐桌")&gt;0,"有","无")</f>
        <v>有</v>
      </c>
      <c r="AA5" s="57" t="str">
        <f>IF(COUNTIFS(户型资产表!E:E,I5,户型资产表!H:H,"吸油烟机")&gt;0,"有","无")</f>
        <v>无</v>
      </c>
      <c r="AB5" s="57" t="str">
        <f>IF(COUNTIFS(户型资产表!E:E,I5,户型资产表!H:H,"冰箱")&gt;0,"有","无")</f>
        <v>无</v>
      </c>
      <c r="AC5" s="57" t="str">
        <f>IF(COUNTIFS(户型资产表!E:E,I5,户型资产表!H:H,"电视柜")&gt;0,"有","无")</f>
        <v>无</v>
      </c>
      <c r="AD5" s="61" t="str">
        <f t="shared" si="4"/>
        <v>适中</v>
      </c>
      <c r="AE5" s="57">
        <f>VLOOKUP($AD$1&amp;AD5,【1】定价因子!E:F,2,0)</f>
        <v>1</v>
      </c>
      <c r="AF5" s="61" t="str">
        <f t="shared" si="5"/>
        <v>适中</v>
      </c>
      <c r="AG5" s="57">
        <f>VLOOKUP($AF$1&amp;AF5,【1】定价因子!E:F,2,0)</f>
        <v>1</v>
      </c>
      <c r="AH5" s="61" t="str">
        <f t="shared" si="6"/>
        <v>适中</v>
      </c>
      <c r="AI5" s="57">
        <f>VLOOKUP($AH$1&amp;AH5,【1】定价因子!E:F,2,0)</f>
        <v>1</v>
      </c>
      <c r="AJ5" s="57" t="str">
        <f>VLOOKUP(H5,'【3-1】大区填-采光基本要素'!A:H,8,0)</f>
        <v>1</v>
      </c>
      <c r="AK5" s="57">
        <f>VLOOKUP($AJ$1&amp;AJ5,【1】定价因子!E:F,2,0)</f>
        <v>0.91</v>
      </c>
      <c r="AL5" s="62">
        <f t="shared" si="7"/>
        <v>2115.8211949875</v>
      </c>
      <c r="AM5" s="66">
        <v>1900</v>
      </c>
      <c r="AN5" s="64">
        <f t="shared" si="8"/>
        <v>-0.102003513103467</v>
      </c>
      <c r="AO5" s="65">
        <f t="shared" si="9"/>
        <v>1910</v>
      </c>
      <c r="AP5" s="34">
        <v>2098</v>
      </c>
    </row>
    <row r="6" s="34" customFormat="1" spans="1:42">
      <c r="A6" s="57" t="str">
        <f>'【2】运营中心填-基本信息&amp;审核标准'!$E$2</f>
        <v>福围广生7-16、17栋</v>
      </c>
      <c r="B6" s="57">
        <f t="shared" si="2"/>
        <v>2</v>
      </c>
      <c r="C6" s="57">
        <f t="shared" si="0"/>
        <v>14</v>
      </c>
      <c r="D6" s="57">
        <f t="shared" si="1"/>
        <v>14</v>
      </c>
      <c r="E6" s="57"/>
      <c r="F6" s="57">
        <f t="shared" si="3"/>
        <v>14</v>
      </c>
      <c r="G6" s="57"/>
      <c r="H6" s="58">
        <v>205</v>
      </c>
      <c r="I6" s="59" t="s">
        <v>493</v>
      </c>
      <c r="J6" s="59" t="s">
        <v>43</v>
      </c>
      <c r="K6" s="57" t="str">
        <f t="array" ref="K6">IFERROR(INDEX($J$2:$J$19,MATCH(0,IF(ISBLANK($J$2:$J$19),1,COUNTIF($K$1:K5,$J$2:$J$19)),0)),"")</f>
        <v/>
      </c>
      <c r="L6" s="60">
        <f>VLOOKUP(J6,'【3】大区填-楼栋基准格局定价'!B:H,7,0)</f>
        <v>2472.1725</v>
      </c>
      <c r="M6" s="61" t="s">
        <v>65</v>
      </c>
      <c r="N6" s="61">
        <v>21.83</v>
      </c>
      <c r="O6" s="57">
        <f>VLOOKUP($M$1&amp;M6,【1】定价因子!E:F,2,0)</f>
        <v>0.95</v>
      </c>
      <c r="P6" s="57" t="str">
        <f>IF(COUNTIFS(户型资产表!E:E,I6,户型资产表!H:H,"阳台门")&gt;0,"有","无")</f>
        <v>无</v>
      </c>
      <c r="Q6" s="57">
        <f>VLOOKUP($P$1&amp;P6,【1】定价因子!E:F,2,0)</f>
        <v>1</v>
      </c>
      <c r="R6" s="57" t="str">
        <f>IF('【2】运营中心填-基本信息&amp;审核标准'!$D$4="是","无",IF(INT(H6/100)&gt;9,"9F",INT(H6/100)&amp;"F"))</f>
        <v>无</v>
      </c>
      <c r="S6" s="57">
        <f>VLOOKUP(R6,【1】定价因子!D:F,3,0)</f>
        <v>1</v>
      </c>
      <c r="T6" s="57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2-3F</v>
      </c>
      <c r="U6" s="57">
        <f>VLOOKUP($T$1&amp;T6,【1】定价因子!E:F,2,0)</f>
        <v>0.99</v>
      </c>
      <c r="V6" s="57" t="str">
        <f>IF(COUNTIFS(户型资产表!E:E,I6,户型资产表!H:H,"操作台")&gt;0,"有","无")</f>
        <v>有</v>
      </c>
      <c r="W6" s="57" t="str">
        <f>IF(COUNTIFS(户型资产表!E:E,I6,户型资产表!H:H,"书桌")&gt;0,"有","无")</f>
        <v>无</v>
      </c>
      <c r="X6" s="57" t="str" cm="1">
        <f t="array" ref="X6">IF(SUMPRODUCT((户型资产表!E:E=I6)*((户型资产表!I:I="沙发01单人")+(户型资产表!I:I="单人沙发02")))&gt;0,"有","无")</f>
        <v>无</v>
      </c>
      <c r="Y6" s="57" t="str" cm="1">
        <f t="array" ref="Y6">IF(SUMPRODUCT((户型资产表!E:E=I6)*((户型资产表!I:I="沙发02两人")+(户型资产表!I:I="双人沙发01")))&gt;0,"有","无")</f>
        <v>有</v>
      </c>
      <c r="Z6" s="57" t="str">
        <f>IF(COUNTIFS(户型资产表!E:E,I6,户型资产表!H:H,"餐桌")&gt;0,"有","无")</f>
        <v>有</v>
      </c>
      <c r="AA6" s="57" t="str">
        <f>IF(COUNTIFS(户型资产表!E:E,I6,户型资产表!H:H,"吸油烟机")&gt;0,"有","无")</f>
        <v>无</v>
      </c>
      <c r="AB6" s="57" t="str">
        <f>IF(COUNTIFS(户型资产表!E:E,I6,户型资产表!H:H,"冰箱")&gt;0,"有","无")</f>
        <v>无</v>
      </c>
      <c r="AC6" s="57" t="str">
        <f>IF(COUNTIFS(户型资产表!E:E,I6,户型资产表!H:H,"电视柜")&gt;0,"有","无")</f>
        <v>无</v>
      </c>
      <c r="AD6" s="61" t="str">
        <f t="shared" si="4"/>
        <v>适中</v>
      </c>
      <c r="AE6" s="57">
        <f>VLOOKUP($AD$1&amp;AD6,【1】定价因子!E:F,2,0)</f>
        <v>1</v>
      </c>
      <c r="AF6" s="61" t="str">
        <f t="shared" si="5"/>
        <v>适中</v>
      </c>
      <c r="AG6" s="57">
        <f>VLOOKUP($AF$1&amp;AF6,【1】定价因子!E:F,2,0)</f>
        <v>1</v>
      </c>
      <c r="AH6" s="61" t="str">
        <f t="shared" si="6"/>
        <v>适中</v>
      </c>
      <c r="AI6" s="57">
        <f>VLOOKUP($AH$1&amp;AH6,【1】定价因子!E:F,2,0)</f>
        <v>1</v>
      </c>
      <c r="AJ6" s="57" t="str">
        <f>VLOOKUP(H6,'【3-1】大区填-采光基本要素'!A:H,8,0)</f>
        <v>1</v>
      </c>
      <c r="AK6" s="57">
        <f>VLOOKUP($AJ$1&amp;AJ6,【1】定价因子!E:F,2,0)</f>
        <v>0.91</v>
      </c>
      <c r="AL6" s="62">
        <f t="shared" si="7"/>
        <v>2115.8211949875</v>
      </c>
      <c r="AM6" s="63">
        <v>1930</v>
      </c>
      <c r="AN6" s="64">
        <f t="shared" si="8"/>
        <v>-0.0878246212051004</v>
      </c>
      <c r="AO6" s="65">
        <f t="shared" si="9"/>
        <v>1940</v>
      </c>
      <c r="AP6" s="34">
        <v>2098</v>
      </c>
    </row>
    <row r="7" spans="1:42">
      <c r="A7" s="47" t="str">
        <f>'【2】运营中心填-基本信息&amp;审核标准'!$E$2</f>
        <v>福围广生7-16、17栋</v>
      </c>
      <c r="B7" s="13">
        <f t="shared" si="2"/>
        <v>2</v>
      </c>
      <c r="C7" s="13">
        <f t="shared" si="0"/>
        <v>14</v>
      </c>
      <c r="D7" s="13">
        <f t="shared" si="1"/>
        <v>14</v>
      </c>
      <c r="E7" s="13"/>
      <c r="F7" s="13">
        <f t="shared" si="3"/>
        <v>14</v>
      </c>
      <c r="G7" s="13"/>
      <c r="H7" s="48">
        <v>206</v>
      </c>
      <c r="I7" s="49" t="s">
        <v>494</v>
      </c>
      <c r="J7" s="49" t="s">
        <v>40</v>
      </c>
      <c r="K7" s="13" t="str">
        <f t="array" ref="K7">IFERROR(INDEX($J$2:$J$19,MATCH(0,IF(ISBLANK($J$2:$J$19),1,COUNTIF($K$1:K6,$J$2:$J$19)),0)),"")</f>
        <v/>
      </c>
      <c r="L7" s="50">
        <f>VLOOKUP(J7,'【3】大区填-楼栋基准格局定价'!B:H,7,0)</f>
        <v>1658.8509</v>
      </c>
      <c r="M7" s="51" t="s">
        <v>61</v>
      </c>
      <c r="N7" s="51">
        <v>17.58</v>
      </c>
      <c r="O7" s="52">
        <f>VLOOKUP($M$1&amp;M7,【1】定价因子!E:F,2,0)</f>
        <v>1.06</v>
      </c>
      <c r="P7" s="52" t="str">
        <f>IF(COUNTIFS(户型资产表!E:E,I7,户型资产表!H:H,"阳台门")&gt;0,"有","无")</f>
        <v>无</v>
      </c>
      <c r="Q7" s="52">
        <f>VLOOKUP($P$1&amp;P7,【1】定价因子!E:F,2,0)</f>
        <v>1</v>
      </c>
      <c r="R7" s="52" t="str">
        <f>IF('【2】运营中心填-基本信息&amp;审核标准'!$D$4="是","无",IF(INT(H7/100)&gt;9,"9F",INT(H7/100)&amp;"F"))</f>
        <v>无</v>
      </c>
      <c r="S7" s="52">
        <f>VLOOKUP(R7,【1】定价因子!D:F,3,0)</f>
        <v>1</v>
      </c>
      <c r="T7" s="52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2-3F</v>
      </c>
      <c r="U7" s="52">
        <f>VLOOKUP($T$1&amp;T7,【1】定价因子!E:F,2,0)</f>
        <v>0.99</v>
      </c>
      <c r="V7" s="52" t="str">
        <f>IF(COUNTIFS(户型资产表!E:E,I7,户型资产表!H:H,"操作台")&gt;0,"有","无")</f>
        <v>有</v>
      </c>
      <c r="W7" s="52" t="str">
        <f>IF(COUNTIFS(户型资产表!E:E,I7,户型资产表!H:H,"书桌")&gt;0,"有","无")</f>
        <v>有</v>
      </c>
      <c r="X7" s="52" t="str" cm="1">
        <f t="array" ref="X7">IF(SUMPRODUCT((户型资产表!E:E=I7)*((户型资产表!I:I="沙发01单人")+(户型资产表!I:I="单人沙发02")))&gt;0,"有","无")</f>
        <v>无</v>
      </c>
      <c r="Y7" s="52" t="str" cm="1">
        <f t="array" ref="Y7">IF(SUMPRODUCT((户型资产表!E:E=I7)*((户型资产表!I:I="沙发02两人")+(户型资产表!I:I="双人沙发01")))&gt;0,"有","无")</f>
        <v>无</v>
      </c>
      <c r="Z7" s="52" t="str">
        <f>IF(COUNTIFS(户型资产表!E:E,I7,户型资产表!H:H,"餐桌")&gt;0,"有","无")</f>
        <v>无</v>
      </c>
      <c r="AA7" s="52" t="str">
        <f>IF(COUNTIFS(户型资产表!E:E,I7,户型资产表!H:H,"吸油烟机")&gt;0,"有","无")</f>
        <v>无</v>
      </c>
      <c r="AB7" s="52" t="str">
        <f>IF(COUNTIFS(户型资产表!E:E,I7,户型资产表!H:H,"冰箱")&gt;0,"有","无")</f>
        <v>无</v>
      </c>
      <c r="AC7" s="52" t="str">
        <f>IF(COUNTIFS(户型资产表!E:E,I7,户型资产表!H:H,"电视柜")&gt;0,"有","无")</f>
        <v>无</v>
      </c>
      <c r="AD7" s="51" t="str">
        <f t="shared" si="4"/>
        <v>适中</v>
      </c>
      <c r="AE7" s="52">
        <f>VLOOKUP($AD$1&amp;AD7,【1】定价因子!E:F,2,0)</f>
        <v>1</v>
      </c>
      <c r="AF7" s="51" t="str">
        <f t="shared" si="5"/>
        <v>适中</v>
      </c>
      <c r="AG7" s="52">
        <f>VLOOKUP($AF$1&amp;AF7,【1】定价因子!E:F,2,0)</f>
        <v>1</v>
      </c>
      <c r="AH7" s="51" t="str">
        <f t="shared" si="6"/>
        <v>适中</v>
      </c>
      <c r="AI7" s="52">
        <f>VLOOKUP($AH$1&amp;AH7,【1】定价因子!E:F,2,0)</f>
        <v>1</v>
      </c>
      <c r="AJ7" s="52" t="str">
        <f>VLOOKUP(H7,'【3-1】大区填-采光基本要素'!A:H,8,0)</f>
        <v>1</v>
      </c>
      <c r="AK7" s="52">
        <f>VLOOKUP($AJ$1&amp;AJ7,【1】定价因子!E:F,2,0)</f>
        <v>0.91</v>
      </c>
      <c r="AL7" s="53">
        <f t="shared" si="7"/>
        <v>1584.1263023586</v>
      </c>
      <c r="AM7" s="54">
        <v>1448</v>
      </c>
      <c r="AN7" s="55">
        <f t="shared" si="8"/>
        <v>-0.0859314703353653</v>
      </c>
      <c r="AO7" s="56">
        <f t="shared" si="9"/>
        <v>1458</v>
      </c>
    </row>
    <row r="8" spans="1:42">
      <c r="A8" s="47" t="str">
        <f>'【2】运营中心填-基本信息&amp;审核标准'!$E$2</f>
        <v>福围广生7-16、17栋</v>
      </c>
      <c r="B8" s="13">
        <f t="shared" si="2"/>
        <v>2</v>
      </c>
      <c r="C8" s="13">
        <f t="shared" si="0"/>
        <v>14</v>
      </c>
      <c r="D8" s="13">
        <f t="shared" si="1"/>
        <v>14</v>
      </c>
      <c r="E8" s="13"/>
      <c r="F8" s="13">
        <f t="shared" si="3"/>
        <v>14</v>
      </c>
      <c r="G8" s="13"/>
      <c r="H8" s="48">
        <v>207</v>
      </c>
      <c r="I8" s="49" t="s">
        <v>492</v>
      </c>
      <c r="J8" s="49" t="s">
        <v>40</v>
      </c>
      <c r="K8" s="13" t="str">
        <f t="array" ref="K8">IFERROR(INDEX($J$2:$J$19,MATCH(0,IF(ISBLANK($J$2:$J$19),1,COUNTIF($K$1:K7,$J$2:$J$19)),0)),"")</f>
        <v/>
      </c>
      <c r="L8" s="50">
        <f>VLOOKUP(J8,'【3】大区填-楼栋基准格局定价'!B:H,7,0)</f>
        <v>1658.8509</v>
      </c>
      <c r="M8" s="51" t="s">
        <v>63</v>
      </c>
      <c r="N8" s="51">
        <v>16.65</v>
      </c>
      <c r="O8" s="52">
        <f>VLOOKUP($M$1&amp;M8,【1】定价因子!E:F,2,0)</f>
        <v>1</v>
      </c>
      <c r="P8" s="52" t="str">
        <f>IF(COUNTIFS(户型资产表!E:E,I8,户型资产表!H:H,"阳台门")&gt;0,"有","无")</f>
        <v>无</v>
      </c>
      <c r="Q8" s="52">
        <f>VLOOKUP($P$1&amp;P8,【1】定价因子!E:F,2,0)</f>
        <v>1</v>
      </c>
      <c r="R8" s="52" t="str">
        <f>IF('【2】运营中心填-基本信息&amp;审核标准'!$D$4="是","无",IF(INT(H8/100)&gt;9,"9F",INT(H8/100)&amp;"F"))</f>
        <v>无</v>
      </c>
      <c r="S8" s="52">
        <f>VLOOKUP(R8,【1】定价因子!D:F,3,0)</f>
        <v>1</v>
      </c>
      <c r="T8" s="52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2-3F</v>
      </c>
      <c r="U8" s="52">
        <f>VLOOKUP($T$1&amp;T8,【1】定价因子!E:F,2,0)</f>
        <v>0.99</v>
      </c>
      <c r="V8" s="52" t="str">
        <f>IF(COUNTIFS(户型资产表!E:E,I8,户型资产表!H:H,"操作台")&gt;0,"有","无")</f>
        <v>有</v>
      </c>
      <c r="W8" s="52" t="str">
        <f>IF(COUNTIFS(户型资产表!E:E,I8,户型资产表!H:H,"书桌")&gt;0,"有","无")</f>
        <v>有</v>
      </c>
      <c r="X8" s="52" t="str" cm="1">
        <f t="array" ref="X8">IF(SUMPRODUCT((户型资产表!E:E=I8)*((户型资产表!I:I="沙发01单人")+(户型资产表!I:I="单人沙发02")))&gt;0,"有","无")</f>
        <v>无</v>
      </c>
      <c r="Y8" s="52" t="str" cm="1">
        <f t="array" ref="Y8">IF(SUMPRODUCT((户型资产表!E:E=I8)*((户型资产表!I:I="沙发02两人")+(户型资产表!I:I="双人沙发01")))&gt;0,"有","无")</f>
        <v>无</v>
      </c>
      <c r="Z8" s="52" t="str">
        <f>IF(COUNTIFS(户型资产表!E:E,I8,户型资产表!H:H,"餐桌")&gt;0,"有","无")</f>
        <v>无</v>
      </c>
      <c r="AA8" s="52" t="str">
        <f>IF(COUNTIFS(户型资产表!E:E,I8,户型资产表!H:H,"吸油烟机")&gt;0,"有","无")</f>
        <v>无</v>
      </c>
      <c r="AB8" s="52" t="str">
        <f>IF(COUNTIFS(户型资产表!E:E,I8,户型资产表!H:H,"冰箱")&gt;0,"有","无")</f>
        <v>无</v>
      </c>
      <c r="AC8" s="52" t="str">
        <f>IF(COUNTIFS(户型资产表!E:E,I8,户型资产表!H:H,"电视柜")&gt;0,"有","无")</f>
        <v>无</v>
      </c>
      <c r="AD8" s="51" t="str">
        <f t="shared" si="4"/>
        <v>适中</v>
      </c>
      <c r="AE8" s="52">
        <f>VLOOKUP($AD$1&amp;AD8,【1】定价因子!E:F,2,0)</f>
        <v>1</v>
      </c>
      <c r="AF8" s="51" t="str">
        <f t="shared" si="5"/>
        <v>适中</v>
      </c>
      <c r="AG8" s="52">
        <f>VLOOKUP($AF$1&amp;AF8,【1】定价因子!E:F,2,0)</f>
        <v>1</v>
      </c>
      <c r="AH8" s="51" t="str">
        <f t="shared" si="6"/>
        <v>适中</v>
      </c>
      <c r="AI8" s="52">
        <f>VLOOKUP($AH$1&amp;AH8,【1】定价因子!E:F,2,0)</f>
        <v>1</v>
      </c>
      <c r="AJ8" s="52" t="str">
        <f>VLOOKUP(H8,'【3-1】大区填-采光基本要素'!A:H,8,0)</f>
        <v>2</v>
      </c>
      <c r="AK8" s="52">
        <f>VLOOKUP($AJ$1&amp;AJ8,【1】定价因子!E:F,2,0)</f>
        <v>0.96</v>
      </c>
      <c r="AL8" s="53">
        <f t="shared" si="7"/>
        <v>1576.57189536</v>
      </c>
      <c r="AM8" s="54">
        <v>1448</v>
      </c>
      <c r="AN8" s="55">
        <f t="shared" si="8"/>
        <v>-0.0815515586307224</v>
      </c>
      <c r="AO8" s="56">
        <f t="shared" si="9"/>
        <v>1458</v>
      </c>
    </row>
    <row r="9" spans="1:42">
      <c r="A9" s="47" t="str">
        <f>'【2】运营中心填-基本信息&amp;审核标准'!$E$2</f>
        <v>福围广生7-16、17栋</v>
      </c>
      <c r="B9" s="13">
        <f t="shared" si="2"/>
        <v>2</v>
      </c>
      <c r="C9" s="13">
        <f t="shared" si="0"/>
        <v>14</v>
      </c>
      <c r="D9" s="13">
        <f t="shared" si="1"/>
        <v>14</v>
      </c>
      <c r="E9" s="13"/>
      <c r="F9" s="13">
        <f t="shared" si="3"/>
        <v>14</v>
      </c>
      <c r="G9" s="13"/>
      <c r="H9" s="48">
        <v>208</v>
      </c>
      <c r="I9" s="49" t="s">
        <v>492</v>
      </c>
      <c r="J9" s="49" t="s">
        <v>40</v>
      </c>
      <c r="K9" s="13" t="str">
        <f t="array" ref="K9">IFERROR(INDEX($J$2:$J$19,MATCH(0,IF(ISBLANK($J$2:$J$19),1,COUNTIF($K$1:K8,$J$2:$J$19)),0)),"")</f>
        <v/>
      </c>
      <c r="L9" s="50">
        <f>VLOOKUP(J9,'【3】大区填-楼栋基准格局定价'!B:H,7,0)</f>
        <v>1658.8509</v>
      </c>
      <c r="M9" s="51" t="s">
        <v>63</v>
      </c>
      <c r="N9" s="51">
        <v>16.79</v>
      </c>
      <c r="O9" s="52">
        <f>VLOOKUP($M$1&amp;M9,【1】定价因子!E:F,2,0)</f>
        <v>1</v>
      </c>
      <c r="P9" s="52" t="str">
        <f>IF(COUNTIFS(户型资产表!E:E,I9,户型资产表!H:H,"阳台门")&gt;0,"有","无")</f>
        <v>无</v>
      </c>
      <c r="Q9" s="52">
        <f>VLOOKUP($P$1&amp;P9,【1】定价因子!E:F,2,0)</f>
        <v>1</v>
      </c>
      <c r="R9" s="52" t="str">
        <f>IF('【2】运营中心填-基本信息&amp;审核标准'!$D$4="是","无",IF(INT(H9/100)&gt;9,"9F",INT(H9/100)&amp;"F"))</f>
        <v>无</v>
      </c>
      <c r="S9" s="52">
        <f>VLOOKUP(R9,【1】定价因子!D:F,3,0)</f>
        <v>1</v>
      </c>
      <c r="T9" s="52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2-3F</v>
      </c>
      <c r="U9" s="52">
        <f>VLOOKUP($T$1&amp;T9,【1】定价因子!E:F,2,0)</f>
        <v>0.99</v>
      </c>
      <c r="V9" s="52" t="str">
        <f>IF(COUNTIFS(户型资产表!E:E,I9,户型资产表!H:H,"操作台")&gt;0,"有","无")</f>
        <v>有</v>
      </c>
      <c r="W9" s="52" t="str">
        <f>IF(COUNTIFS(户型资产表!E:E,I9,户型资产表!H:H,"书桌")&gt;0,"有","无")</f>
        <v>有</v>
      </c>
      <c r="X9" s="52" t="str" cm="1">
        <f t="array" ref="X9">IF(SUMPRODUCT((户型资产表!E:E=I9)*((户型资产表!I:I="沙发01单人")+(户型资产表!I:I="单人沙发02")))&gt;0,"有","无")</f>
        <v>无</v>
      </c>
      <c r="Y9" s="52" t="str" cm="1">
        <f t="array" ref="Y9">IF(SUMPRODUCT((户型资产表!E:E=I9)*((户型资产表!I:I="沙发02两人")+(户型资产表!I:I="双人沙发01")))&gt;0,"有","无")</f>
        <v>无</v>
      </c>
      <c r="Z9" s="52" t="str">
        <f>IF(COUNTIFS(户型资产表!E:E,I9,户型资产表!H:H,"餐桌")&gt;0,"有","无")</f>
        <v>无</v>
      </c>
      <c r="AA9" s="52" t="str">
        <f>IF(COUNTIFS(户型资产表!E:E,I9,户型资产表!H:H,"吸油烟机")&gt;0,"有","无")</f>
        <v>无</v>
      </c>
      <c r="AB9" s="52" t="str">
        <f>IF(COUNTIFS(户型资产表!E:E,I9,户型资产表!H:H,"冰箱")&gt;0,"有","无")</f>
        <v>无</v>
      </c>
      <c r="AC9" s="52" t="str">
        <f>IF(COUNTIFS(户型资产表!E:E,I9,户型资产表!H:H,"电视柜")&gt;0,"有","无")</f>
        <v>无</v>
      </c>
      <c r="AD9" s="51" t="str">
        <f t="shared" si="4"/>
        <v>适中</v>
      </c>
      <c r="AE9" s="52">
        <f>VLOOKUP($AD$1&amp;AD9,【1】定价因子!E:F,2,0)</f>
        <v>1</v>
      </c>
      <c r="AF9" s="51" t="str">
        <f t="shared" si="5"/>
        <v>适中</v>
      </c>
      <c r="AG9" s="52">
        <f>VLOOKUP($AF$1&amp;AF9,【1】定价因子!E:F,2,0)</f>
        <v>1</v>
      </c>
      <c r="AH9" s="51" t="str">
        <f t="shared" si="6"/>
        <v>适中</v>
      </c>
      <c r="AI9" s="52">
        <f>VLOOKUP($AH$1&amp;AH9,【1】定价因子!E:F,2,0)</f>
        <v>1</v>
      </c>
      <c r="AJ9" s="52" t="str">
        <f>VLOOKUP(H9,'【3-1】大区填-采光基本要素'!A:H,8,0)</f>
        <v>2</v>
      </c>
      <c r="AK9" s="52">
        <f>VLOOKUP($AJ$1&amp;AJ9,【1】定价因子!E:F,2,0)</f>
        <v>0.96</v>
      </c>
      <c r="AL9" s="53">
        <f t="shared" si="7"/>
        <v>1576.57189536</v>
      </c>
      <c r="AM9" s="54">
        <v>1448</v>
      </c>
      <c r="AN9" s="55">
        <f t="shared" si="8"/>
        <v>-0.0815515586307224</v>
      </c>
      <c r="AO9" s="56">
        <f t="shared" si="9"/>
        <v>1458</v>
      </c>
    </row>
    <row r="10" spans="1:42">
      <c r="A10" s="47" t="str">
        <f>'【2】运营中心填-基本信息&amp;审核标准'!$E$2</f>
        <v>福围广生7-16、17栋</v>
      </c>
      <c r="B10" s="13">
        <f t="shared" si="2"/>
        <v>2</v>
      </c>
      <c r="C10" s="13">
        <f t="shared" si="0"/>
        <v>14</v>
      </c>
      <c r="D10" s="13">
        <f t="shared" si="1"/>
        <v>14</v>
      </c>
      <c r="E10" s="13"/>
      <c r="F10" s="13">
        <f t="shared" si="3"/>
        <v>14</v>
      </c>
      <c r="G10" s="13"/>
      <c r="H10" s="48">
        <v>209</v>
      </c>
      <c r="I10" s="49" t="s">
        <v>495</v>
      </c>
      <c r="J10" s="49" t="s">
        <v>43</v>
      </c>
      <c r="K10" s="13" t="str">
        <f t="array" ref="K10">IFERROR(INDEX($J$2:$J$19,MATCH(0,IF(ISBLANK($J$2:$J$19),1,COUNTIF($K$1:K9,$J$2:$J$19)),0)),"")</f>
        <v/>
      </c>
      <c r="L10" s="50">
        <f>VLOOKUP(J10,'【3】大区填-楼栋基准格局定价'!B:H,7,0)</f>
        <v>2472.1725</v>
      </c>
      <c r="M10" s="51" t="s">
        <v>58</v>
      </c>
      <c r="N10" s="51">
        <v>30.92</v>
      </c>
      <c r="O10" s="52">
        <f>VLOOKUP($M$1&amp;M10,【1】定价因子!E:F,2,0)</f>
        <v>1.1</v>
      </c>
      <c r="P10" s="52" t="str">
        <f>IF(COUNTIFS(户型资产表!E:E,I10,户型资产表!H:H,"阳台门")&gt;0,"有","无")</f>
        <v>无</v>
      </c>
      <c r="Q10" s="52">
        <f>VLOOKUP($P$1&amp;P10,【1】定价因子!E:F,2,0)</f>
        <v>1</v>
      </c>
      <c r="R10" s="52" t="str">
        <f>IF('【2】运营中心填-基本信息&amp;审核标准'!$D$4="是","无",IF(INT(H10/100)&gt;9,"9F",INT(H10/100)&amp;"F"))</f>
        <v>无</v>
      </c>
      <c r="S10" s="52">
        <f>VLOOKUP(R10,【1】定价因子!D:F,3,0)</f>
        <v>1</v>
      </c>
      <c r="T10" s="52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2-3F</v>
      </c>
      <c r="U10" s="52">
        <f>VLOOKUP($T$1&amp;T10,【1】定价因子!E:F,2,0)</f>
        <v>0.99</v>
      </c>
      <c r="V10" s="52" t="str">
        <f>IF(COUNTIFS(户型资产表!E:E,I10,户型资产表!H:H,"操作台")&gt;0,"有","无")</f>
        <v>有</v>
      </c>
      <c r="W10" s="52" t="str">
        <f>IF(COUNTIFS(户型资产表!E:E,I10,户型资产表!H:H,"书桌")&gt;0,"有","无")</f>
        <v>有</v>
      </c>
      <c r="X10" s="52" t="str" cm="1">
        <f t="array" ref="X10">IF(SUMPRODUCT((户型资产表!E:E=I10)*((户型资产表!I:I="沙发01单人")+(户型资产表!I:I="单人沙发02")))&gt;0,"有","无")</f>
        <v>有</v>
      </c>
      <c r="Y10" s="52" t="str" cm="1">
        <f t="array" ref="Y10">IF(SUMPRODUCT((户型资产表!E:E=I10)*((户型资产表!I:I="沙发02两人")+(户型资产表!I:I="双人沙发01")))&gt;0,"有","无")</f>
        <v>有</v>
      </c>
      <c r="Z10" s="52" t="str">
        <f>IF(COUNTIFS(户型资产表!E:E,I10,户型资产表!H:H,"餐桌")&gt;0,"有","无")</f>
        <v>有</v>
      </c>
      <c r="AA10" s="52" t="str">
        <f>IF(COUNTIFS(户型资产表!E:E,I10,户型资产表!H:H,"吸油烟机")&gt;0,"有","无")</f>
        <v>无</v>
      </c>
      <c r="AB10" s="52" t="str">
        <f>IF(COUNTIFS(户型资产表!E:E,I10,户型资产表!H:H,"冰箱")&gt;0,"有","无")</f>
        <v>无</v>
      </c>
      <c r="AC10" s="52" t="str">
        <f>IF(COUNTIFS(户型资产表!E:E,I10,户型资产表!H:H,"电视柜")&gt;0,"有","无")</f>
        <v>无</v>
      </c>
      <c r="AD10" s="51" t="str">
        <f t="shared" si="4"/>
        <v>适中</v>
      </c>
      <c r="AE10" s="52">
        <f>VLOOKUP($AD$1&amp;AD10,【1】定价因子!E:F,2,0)</f>
        <v>1</v>
      </c>
      <c r="AF10" s="51" t="s">
        <v>63</v>
      </c>
      <c r="AG10" s="52">
        <f>VLOOKUP($AF$1&amp;AF10,【1】定价因子!E:F,2,0)</f>
        <v>1</v>
      </c>
      <c r="AH10" s="51" t="str">
        <f t="shared" si="6"/>
        <v>适中</v>
      </c>
      <c r="AI10" s="52">
        <f>VLOOKUP($AH$1&amp;AH10,【1】定价因子!E:F,2,0)</f>
        <v>1</v>
      </c>
      <c r="AJ10" s="52" t="str">
        <f>VLOOKUP(H10,'【3-1】大区填-采光基本要素'!A:H,8,0)</f>
        <v>1</v>
      </c>
      <c r="AK10" s="52">
        <f>VLOOKUP($AJ$1&amp;AJ10,【1】定价因子!E:F,2,0)</f>
        <v>0.91</v>
      </c>
      <c r="AL10" s="53">
        <f t="shared" si="7"/>
        <v>2449.898225775</v>
      </c>
      <c r="AM10" s="54">
        <v>2298.19</v>
      </c>
      <c r="AN10" s="55">
        <f t="shared" si="8"/>
        <v>-0.0619242971723891</v>
      </c>
      <c r="AO10" s="56">
        <f t="shared" si="9"/>
        <v>2308.19</v>
      </c>
    </row>
    <row r="11" s="34" customFormat="1" spans="1:42">
      <c r="A11" s="57" t="str">
        <f>'【2】运营中心填-基本信息&amp;审核标准'!$E$2</f>
        <v>福围广生7-16、17栋</v>
      </c>
      <c r="B11" s="57">
        <f t="shared" si="2"/>
        <v>2</v>
      </c>
      <c r="C11" s="57">
        <f t="shared" si="0"/>
        <v>14</v>
      </c>
      <c r="D11" s="57">
        <f t="shared" si="1"/>
        <v>14</v>
      </c>
      <c r="E11" s="57"/>
      <c r="F11" s="57">
        <f t="shared" si="3"/>
        <v>14</v>
      </c>
      <c r="G11" s="57"/>
      <c r="H11" s="58">
        <v>210</v>
      </c>
      <c r="I11" s="59" t="s">
        <v>492</v>
      </c>
      <c r="J11" s="59" t="s">
        <v>40</v>
      </c>
      <c r="K11" s="57"/>
      <c r="L11" s="60">
        <f>VLOOKUP(J11,'【3】大区填-楼栋基准格局定价'!B:H,7,0)</f>
        <v>1658.8509</v>
      </c>
      <c r="M11" s="61" t="s">
        <v>63</v>
      </c>
      <c r="N11" s="61">
        <v>16.79</v>
      </c>
      <c r="O11" s="57">
        <f>VLOOKUP($M$1&amp;M11,【1】定价因子!E:F,2,0)</f>
        <v>1</v>
      </c>
      <c r="P11" s="57" t="str">
        <f>IF(COUNTIFS(户型资产表!E:E,I11,户型资产表!H:H,"阳台门")&gt;0,"有","无")</f>
        <v>无</v>
      </c>
      <c r="Q11" s="57">
        <f>VLOOKUP($P$1&amp;P11,【1】定价因子!E:F,2,0)</f>
        <v>1</v>
      </c>
      <c r="R11" s="57" t="str">
        <f>IF('【2】运营中心填-基本信息&amp;审核标准'!$D$4="是","无",IF(INT(H11/100)&gt;9,"9F",INT(H11/100)&amp;"F"))</f>
        <v>无</v>
      </c>
      <c r="S11" s="57">
        <f>VLOOKUP(R11,【1】定价因子!D:F,3,0)</f>
        <v>1</v>
      </c>
      <c r="T11" s="57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2-3F</v>
      </c>
      <c r="U11" s="57">
        <f>VLOOKUP($T$1&amp;T11,【1】定价因子!E:F,2,0)</f>
        <v>0.99</v>
      </c>
      <c r="V11" s="57" t="str">
        <f>IF(COUNTIFS(户型资产表!E:E,I11,户型资产表!H:H,"操作台")&gt;0,"有","无")</f>
        <v>有</v>
      </c>
      <c r="W11" s="57" t="str">
        <f>IF(COUNTIFS(户型资产表!E:E,I11,户型资产表!H:H,"书桌")&gt;0,"有","无")</f>
        <v>有</v>
      </c>
      <c r="X11" s="57" t="str" cm="1">
        <f t="array" ref="X11">IF(SUMPRODUCT((户型资产表!E:E=I11)*((户型资产表!I:I="沙发01单人")+(户型资产表!I:I="单人沙发02")))&gt;0,"有","无")</f>
        <v>无</v>
      </c>
      <c r="Y11" s="57" t="str" cm="1">
        <f t="array" ref="Y11">IF(SUMPRODUCT((户型资产表!E:E=I11)*((户型资产表!I:I="沙发02两人")+(户型资产表!I:I="双人沙发01")))&gt;0,"有","无")</f>
        <v>无</v>
      </c>
      <c r="Z11" s="57" t="str">
        <f>IF(COUNTIFS(户型资产表!E:E,I11,户型资产表!H:H,"餐桌")&gt;0,"有","无")</f>
        <v>无</v>
      </c>
      <c r="AA11" s="57" t="str">
        <f>IF(COUNTIFS(户型资产表!E:E,I11,户型资产表!H:H,"吸油烟机")&gt;0,"有","无")</f>
        <v>无</v>
      </c>
      <c r="AB11" s="57" t="str">
        <f>IF(COUNTIFS(户型资产表!E:E,I11,户型资产表!H:H,"冰箱")&gt;0,"有","无")</f>
        <v>无</v>
      </c>
      <c r="AC11" s="57" t="str">
        <f>IF(COUNTIFS(户型资产表!E:E,I11,户型资产表!H:H,"电视柜")&gt;0,"有","无")</f>
        <v>无</v>
      </c>
      <c r="AD11" s="61" t="str">
        <f t="shared" si="4"/>
        <v>适中</v>
      </c>
      <c r="AE11" s="57">
        <f>VLOOKUP($AD$1&amp;AD11,【1】定价因子!E:F,2,0)</f>
        <v>1</v>
      </c>
      <c r="AF11" s="61" t="str">
        <f t="shared" si="5"/>
        <v>适中</v>
      </c>
      <c r="AG11" s="57">
        <f>VLOOKUP($AF$1&amp;AF11,【1】定价因子!E:F,2,0)</f>
        <v>1</v>
      </c>
      <c r="AH11" s="61" t="str">
        <f t="shared" si="6"/>
        <v>适中</v>
      </c>
      <c r="AI11" s="57">
        <f>VLOOKUP($AH$1&amp;AH11,【1】定价因子!E:F,2,0)</f>
        <v>1</v>
      </c>
      <c r="AJ11" s="57" t="str">
        <f>VLOOKUP(H11,'【3-1】大区填-采光基本要素'!A:H,8,0)</f>
        <v>2</v>
      </c>
      <c r="AK11" s="57">
        <f>VLOOKUP($AJ$1&amp;AJ11,【1】定价因子!E:F,2,0)</f>
        <v>0.96</v>
      </c>
      <c r="AL11" s="62">
        <f t="shared" si="7"/>
        <v>1576.57189536</v>
      </c>
      <c r="AM11" s="63">
        <v>1400</v>
      </c>
      <c r="AN11" s="64">
        <f t="shared" si="8"/>
        <v>-0.111997363316997</v>
      </c>
      <c r="AO11" s="65">
        <f t="shared" si="9"/>
        <v>1410</v>
      </c>
      <c r="AP11" s="34">
        <v>1448</v>
      </c>
    </row>
    <row r="12" spans="1:42">
      <c r="A12" s="47" t="str">
        <f>'【2】运营中心填-基本信息&amp;审核标准'!$E$2</f>
        <v>福围广生7-16、17栋</v>
      </c>
      <c r="B12" s="13">
        <f t="shared" si="2"/>
        <v>2</v>
      </c>
      <c r="C12" s="13">
        <f t="shared" si="0"/>
        <v>14</v>
      </c>
      <c r="D12" s="13">
        <f t="shared" si="1"/>
        <v>14</v>
      </c>
      <c r="E12" s="13"/>
      <c r="F12" s="13">
        <f t="shared" si="3"/>
        <v>14</v>
      </c>
      <c r="G12" s="13"/>
      <c r="H12" s="48">
        <v>211</v>
      </c>
      <c r="I12" s="49" t="s">
        <v>492</v>
      </c>
      <c r="J12" s="49" t="s">
        <v>40</v>
      </c>
      <c r="K12" s="13"/>
      <c r="L12" s="50">
        <f>VLOOKUP(J12,'【3】大区填-楼栋基准格局定价'!B:H,7,0)</f>
        <v>1658.8509</v>
      </c>
      <c r="M12" s="51" t="s">
        <v>63</v>
      </c>
      <c r="N12" s="51">
        <v>16.65</v>
      </c>
      <c r="O12" s="52">
        <f>VLOOKUP($M$1&amp;M12,【1】定价因子!E:F,2,0)</f>
        <v>1</v>
      </c>
      <c r="P12" s="52" t="str">
        <f>IF(COUNTIFS(户型资产表!E:E,I12,户型资产表!H:H,"阳台门")&gt;0,"有","无")</f>
        <v>无</v>
      </c>
      <c r="Q12" s="52">
        <f>VLOOKUP($P$1&amp;P12,【1】定价因子!E:F,2,0)</f>
        <v>1</v>
      </c>
      <c r="R12" s="52" t="str">
        <f>IF('【2】运营中心填-基本信息&amp;审核标准'!$D$4="是","无",IF(INT(H12/100)&gt;9,"9F",INT(H12/100)&amp;"F"))</f>
        <v>无</v>
      </c>
      <c r="S12" s="52">
        <f>VLOOKUP(R12,【1】定价因子!D:F,3,0)</f>
        <v>1</v>
      </c>
      <c r="T12" s="52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2-3F</v>
      </c>
      <c r="U12" s="52">
        <f>VLOOKUP($T$1&amp;T12,【1】定价因子!E:F,2,0)</f>
        <v>0.99</v>
      </c>
      <c r="V12" s="52" t="str">
        <f>IF(COUNTIFS(户型资产表!E:E,I12,户型资产表!H:H,"操作台")&gt;0,"有","无")</f>
        <v>有</v>
      </c>
      <c r="W12" s="52" t="str">
        <f>IF(COUNTIFS(户型资产表!E:E,I12,户型资产表!H:H,"书桌")&gt;0,"有","无")</f>
        <v>有</v>
      </c>
      <c r="X12" s="52" t="str" cm="1">
        <f t="array" ref="X12">IF(SUMPRODUCT((户型资产表!E:E=I12)*((户型资产表!I:I="沙发01单人")+(户型资产表!I:I="单人沙发02")))&gt;0,"有","无")</f>
        <v>无</v>
      </c>
      <c r="Y12" s="52" t="str" cm="1">
        <f t="array" ref="Y12">IF(SUMPRODUCT((户型资产表!E:E=I12)*((户型资产表!I:I="沙发02两人")+(户型资产表!I:I="双人沙发01")))&gt;0,"有","无")</f>
        <v>无</v>
      </c>
      <c r="Z12" s="52" t="str">
        <f>IF(COUNTIFS(户型资产表!E:E,I12,户型资产表!H:H,"餐桌")&gt;0,"有","无")</f>
        <v>无</v>
      </c>
      <c r="AA12" s="52" t="str">
        <f>IF(COUNTIFS(户型资产表!E:E,I12,户型资产表!H:H,"吸油烟机")&gt;0,"有","无")</f>
        <v>无</v>
      </c>
      <c r="AB12" s="52" t="str">
        <f>IF(COUNTIFS(户型资产表!E:E,I12,户型资产表!H:H,"冰箱")&gt;0,"有","无")</f>
        <v>无</v>
      </c>
      <c r="AC12" s="52" t="str">
        <f>IF(COUNTIFS(户型资产表!E:E,I12,户型资产表!H:H,"电视柜")&gt;0,"有","无")</f>
        <v>无</v>
      </c>
      <c r="AD12" s="51" t="str">
        <f t="shared" si="4"/>
        <v>适中</v>
      </c>
      <c r="AE12" s="52">
        <f>VLOOKUP($AD$1&amp;AD12,【1】定价因子!E:F,2,0)</f>
        <v>1</v>
      </c>
      <c r="AF12" s="51" t="str">
        <f t="shared" si="5"/>
        <v>适中</v>
      </c>
      <c r="AG12" s="52">
        <f>VLOOKUP($AF$1&amp;AF12,【1】定价因子!E:F,2,0)</f>
        <v>1</v>
      </c>
      <c r="AH12" s="51" t="str">
        <f t="shared" si="6"/>
        <v>适中</v>
      </c>
      <c r="AI12" s="52">
        <f>VLOOKUP($AH$1&amp;AH12,【1】定价因子!E:F,2,0)</f>
        <v>1</v>
      </c>
      <c r="AJ12" s="52" t="str">
        <f>VLOOKUP(H12,'【3-1】大区填-采光基本要素'!A:H,8,0)</f>
        <v>2</v>
      </c>
      <c r="AK12" s="52">
        <f>VLOOKUP($AJ$1&amp;AJ12,【1】定价因子!E:F,2,0)</f>
        <v>0.96</v>
      </c>
      <c r="AL12" s="53">
        <f t="shared" si="7"/>
        <v>1576.57189536</v>
      </c>
      <c r="AM12" s="54">
        <v>1448</v>
      </c>
      <c r="AN12" s="55">
        <f t="shared" si="8"/>
        <v>-0.0815515586307224</v>
      </c>
      <c r="AO12" s="56">
        <f t="shared" si="9"/>
        <v>1458</v>
      </c>
    </row>
    <row r="13" spans="1:42">
      <c r="A13" s="47" t="str">
        <f>'【2】运营中心填-基本信息&amp;审核标准'!$E$2</f>
        <v>福围广生7-16、17栋</v>
      </c>
      <c r="B13" s="13">
        <f t="shared" si="2"/>
        <v>2</v>
      </c>
      <c r="C13" s="13">
        <f t="shared" si="0"/>
        <v>14</v>
      </c>
      <c r="D13" s="13">
        <f t="shared" si="1"/>
        <v>14</v>
      </c>
      <c r="E13" s="13"/>
      <c r="F13" s="13">
        <f t="shared" si="3"/>
        <v>14</v>
      </c>
      <c r="G13" s="13"/>
      <c r="H13" s="48">
        <v>212</v>
      </c>
      <c r="I13" s="49" t="s">
        <v>494</v>
      </c>
      <c r="J13" s="49" t="s">
        <v>40</v>
      </c>
      <c r="K13" s="13"/>
      <c r="L13" s="50">
        <f>VLOOKUP(J13,'【3】大区填-楼栋基准格局定价'!B:H,7,0)</f>
        <v>1658.8509</v>
      </c>
      <c r="M13" s="51" t="s">
        <v>61</v>
      </c>
      <c r="N13" s="51">
        <v>17.58</v>
      </c>
      <c r="O13" s="52">
        <f>VLOOKUP($M$1&amp;M13,【1】定价因子!E:F,2,0)</f>
        <v>1.06</v>
      </c>
      <c r="P13" s="52" t="str">
        <f>IF(COUNTIFS(户型资产表!E:E,I13,户型资产表!H:H,"阳台门")&gt;0,"有","无")</f>
        <v>无</v>
      </c>
      <c r="Q13" s="52">
        <f>VLOOKUP($P$1&amp;P13,【1】定价因子!E:F,2,0)</f>
        <v>1</v>
      </c>
      <c r="R13" s="52" t="str">
        <f>IF('【2】运营中心填-基本信息&amp;审核标准'!$D$4="是","无",IF(INT(H13/100)&gt;9,"9F",INT(H13/100)&amp;"F"))</f>
        <v>无</v>
      </c>
      <c r="S13" s="52">
        <f>VLOOKUP(R13,【1】定价因子!D:F,3,0)</f>
        <v>1</v>
      </c>
      <c r="T13" s="52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2-3F</v>
      </c>
      <c r="U13" s="52">
        <f>VLOOKUP($T$1&amp;T13,【1】定价因子!E:F,2,0)</f>
        <v>0.99</v>
      </c>
      <c r="V13" s="52" t="str">
        <f>IF(COUNTIFS(户型资产表!E:E,I13,户型资产表!H:H,"操作台")&gt;0,"有","无")</f>
        <v>有</v>
      </c>
      <c r="W13" s="52" t="str">
        <f>IF(COUNTIFS(户型资产表!E:E,I13,户型资产表!H:H,"书桌")&gt;0,"有","无")</f>
        <v>有</v>
      </c>
      <c r="X13" s="52" t="str" cm="1">
        <f t="array" ref="X13">IF(SUMPRODUCT((户型资产表!E:E=I13)*((户型资产表!I:I="沙发01单人")+(户型资产表!I:I="单人沙发02")))&gt;0,"有","无")</f>
        <v>无</v>
      </c>
      <c r="Y13" s="52" t="str" cm="1">
        <f t="array" ref="Y13">IF(SUMPRODUCT((户型资产表!E:E=I13)*((户型资产表!I:I="沙发02两人")+(户型资产表!I:I="双人沙发01")))&gt;0,"有","无")</f>
        <v>无</v>
      </c>
      <c r="Z13" s="52" t="str">
        <f>IF(COUNTIFS(户型资产表!E:E,I13,户型资产表!H:H,"餐桌")&gt;0,"有","无")</f>
        <v>无</v>
      </c>
      <c r="AA13" s="52" t="str">
        <f>IF(COUNTIFS(户型资产表!E:E,I13,户型资产表!H:H,"吸油烟机")&gt;0,"有","无")</f>
        <v>无</v>
      </c>
      <c r="AB13" s="52" t="str">
        <f>IF(COUNTIFS(户型资产表!E:E,I13,户型资产表!H:H,"冰箱")&gt;0,"有","无")</f>
        <v>无</v>
      </c>
      <c r="AC13" s="52" t="str">
        <f>IF(COUNTIFS(户型资产表!E:E,I13,户型资产表!H:H,"电视柜")&gt;0,"有","无")</f>
        <v>无</v>
      </c>
      <c r="AD13" s="51" t="str">
        <f t="shared" si="4"/>
        <v>适中</v>
      </c>
      <c r="AE13" s="52">
        <f>VLOOKUP($AD$1&amp;AD13,【1】定价因子!E:F,2,0)</f>
        <v>1</v>
      </c>
      <c r="AF13" s="51" t="str">
        <f t="shared" si="5"/>
        <v>适中</v>
      </c>
      <c r="AG13" s="52">
        <f>VLOOKUP($AF$1&amp;AF13,【1】定价因子!E:F,2,0)</f>
        <v>1</v>
      </c>
      <c r="AH13" s="51" t="str">
        <f t="shared" si="6"/>
        <v>适中</v>
      </c>
      <c r="AI13" s="52">
        <f>VLOOKUP($AH$1&amp;AH13,【1】定价因子!E:F,2,0)</f>
        <v>1</v>
      </c>
      <c r="AJ13" s="52" t="str">
        <f>VLOOKUP(H13,'【3-1】大区填-采光基本要素'!A:H,8,0)</f>
        <v>2</v>
      </c>
      <c r="AK13" s="52">
        <f>VLOOKUP($AJ$1&amp;AJ13,【1】定价因子!E:F,2,0)</f>
        <v>0.96</v>
      </c>
      <c r="AL13" s="53">
        <f t="shared" si="7"/>
        <v>1671.1662090816</v>
      </c>
      <c r="AM13" s="54">
        <v>1528</v>
      </c>
      <c r="AN13" s="55">
        <f t="shared" si="8"/>
        <v>-0.0856684441700614</v>
      </c>
      <c r="AO13" s="56">
        <f t="shared" si="9"/>
        <v>1538</v>
      </c>
    </row>
    <row r="14" s="34" customFormat="1" spans="1:42">
      <c r="A14" s="57" t="str">
        <f>'【2】运营中心填-基本信息&amp;审核标准'!$E$2</f>
        <v>福围广生7-16、17栋</v>
      </c>
      <c r="B14" s="57">
        <f t="shared" si="2"/>
        <v>2</v>
      </c>
      <c r="C14" s="57">
        <f t="shared" si="0"/>
        <v>14</v>
      </c>
      <c r="D14" s="57">
        <f t="shared" si="1"/>
        <v>14</v>
      </c>
      <c r="E14" s="57"/>
      <c r="F14" s="57">
        <f t="shared" si="3"/>
        <v>14</v>
      </c>
      <c r="G14" s="57"/>
      <c r="H14" s="58">
        <v>213</v>
      </c>
      <c r="I14" s="59" t="s">
        <v>493</v>
      </c>
      <c r="J14" s="59" t="s">
        <v>43</v>
      </c>
      <c r="K14" s="57"/>
      <c r="L14" s="60">
        <f>VLOOKUP(J14,'【3】大区填-楼栋基准格局定价'!B:H,7,0)</f>
        <v>2472.1725</v>
      </c>
      <c r="M14" s="61" t="s">
        <v>65</v>
      </c>
      <c r="N14" s="61">
        <v>20.18</v>
      </c>
      <c r="O14" s="57">
        <f>VLOOKUP($M$1&amp;M14,【1】定价因子!E:F,2,0)</f>
        <v>0.95</v>
      </c>
      <c r="P14" s="57" t="str">
        <f>IF(COUNTIFS(户型资产表!E:E,I14,户型资产表!H:H,"阳台门")&gt;0,"有","无")</f>
        <v>无</v>
      </c>
      <c r="Q14" s="57">
        <f>VLOOKUP($P$1&amp;P14,【1】定价因子!E:F,2,0)</f>
        <v>1</v>
      </c>
      <c r="R14" s="57" t="str">
        <f>IF('【2】运营中心填-基本信息&amp;审核标准'!$D$4="是","无",IF(INT(H14/100)&gt;9,"9F",INT(H14/100)&amp;"F"))</f>
        <v>无</v>
      </c>
      <c r="S14" s="57">
        <f>VLOOKUP(R14,【1】定价因子!D:F,3,0)</f>
        <v>1</v>
      </c>
      <c r="T14" s="57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2-3F</v>
      </c>
      <c r="U14" s="57">
        <f>VLOOKUP($T$1&amp;T14,【1】定价因子!E:F,2,0)</f>
        <v>0.99</v>
      </c>
      <c r="V14" s="57" t="str">
        <f>IF(COUNTIFS(户型资产表!E:E,I14,户型资产表!H:H,"操作台")&gt;0,"有","无")</f>
        <v>有</v>
      </c>
      <c r="W14" s="57" t="str">
        <f>IF(COUNTIFS(户型资产表!E:E,I14,户型资产表!H:H,"书桌")&gt;0,"有","无")</f>
        <v>无</v>
      </c>
      <c r="X14" s="57" t="str" cm="1">
        <f t="array" ref="X14">IF(SUMPRODUCT((户型资产表!E:E=I14)*((户型资产表!I:I="沙发01单人")+(户型资产表!I:I="单人沙发02")))&gt;0,"有","无")</f>
        <v>无</v>
      </c>
      <c r="Y14" s="57" t="str" cm="1">
        <f t="array" ref="Y14">IF(SUMPRODUCT((户型资产表!E:E=I14)*((户型资产表!I:I="沙发02两人")+(户型资产表!I:I="双人沙发01")))&gt;0,"有","无")</f>
        <v>有</v>
      </c>
      <c r="Z14" s="57" t="str">
        <f>IF(COUNTIFS(户型资产表!E:E,I14,户型资产表!H:H,"餐桌")&gt;0,"有","无")</f>
        <v>有</v>
      </c>
      <c r="AA14" s="57" t="str">
        <f>IF(COUNTIFS(户型资产表!E:E,I14,户型资产表!H:H,"吸油烟机")&gt;0,"有","无")</f>
        <v>无</v>
      </c>
      <c r="AB14" s="57" t="str">
        <f>IF(COUNTIFS(户型资产表!E:E,I14,户型资产表!H:H,"冰箱")&gt;0,"有","无")</f>
        <v>无</v>
      </c>
      <c r="AC14" s="57" t="str">
        <f>IF(COUNTIFS(户型资产表!E:E,I14,户型资产表!H:H,"电视柜")&gt;0,"有","无")</f>
        <v>无</v>
      </c>
      <c r="AD14" s="61" t="str">
        <f t="shared" si="4"/>
        <v>适中</v>
      </c>
      <c r="AE14" s="57">
        <f>VLOOKUP($AD$1&amp;AD14,【1】定价因子!E:F,2,0)</f>
        <v>1</v>
      </c>
      <c r="AF14" s="61" t="str">
        <f t="shared" si="5"/>
        <v>适中</v>
      </c>
      <c r="AG14" s="57">
        <f>VLOOKUP($AF$1&amp;AF14,【1】定价因子!E:F,2,0)</f>
        <v>1</v>
      </c>
      <c r="AH14" s="61" t="str">
        <f t="shared" si="6"/>
        <v>适中</v>
      </c>
      <c r="AI14" s="57">
        <f>VLOOKUP($AH$1&amp;AH14,【1】定价因子!E:F,2,0)</f>
        <v>1</v>
      </c>
      <c r="AJ14" s="57" t="str">
        <f>VLOOKUP(H14,'【3-1】大区填-采光基本要素'!A:H,8,0)</f>
        <v>1</v>
      </c>
      <c r="AK14" s="57">
        <f>VLOOKUP($AJ$1&amp;AJ14,【1】定价因子!E:F,2,0)</f>
        <v>0.91</v>
      </c>
      <c r="AL14" s="62">
        <f t="shared" si="7"/>
        <v>2115.8211949875</v>
      </c>
      <c r="AM14" s="63">
        <v>2080</v>
      </c>
      <c r="AN14" s="64">
        <f t="shared" si="8"/>
        <v>-0.0169301617132688</v>
      </c>
      <c r="AO14" s="65">
        <f t="shared" si="9"/>
        <v>2090</v>
      </c>
      <c r="AP14" s="34">
        <v>2248</v>
      </c>
    </row>
    <row r="15" s="34" customFormat="1" spans="1:42">
      <c r="A15" s="57" t="str">
        <f>'【2】运营中心填-基本信息&amp;审核标准'!$E$2</f>
        <v>福围广生7-16、17栋</v>
      </c>
      <c r="B15" s="57">
        <f t="shared" si="2"/>
        <v>2</v>
      </c>
      <c r="C15" s="57">
        <f t="shared" si="0"/>
        <v>14</v>
      </c>
      <c r="D15" s="57">
        <f t="shared" si="1"/>
        <v>14</v>
      </c>
      <c r="E15" s="57"/>
      <c r="F15" s="57">
        <f t="shared" si="3"/>
        <v>14</v>
      </c>
      <c r="G15" s="57"/>
      <c r="H15" s="58">
        <v>214</v>
      </c>
      <c r="I15" s="59" t="s">
        <v>491</v>
      </c>
      <c r="J15" s="59" t="s">
        <v>43</v>
      </c>
      <c r="K15" s="57"/>
      <c r="L15" s="60">
        <f>VLOOKUP(J15,'【3】大区填-楼栋基准格局定价'!B:H,7,0)</f>
        <v>2472.1725</v>
      </c>
      <c r="M15" s="61" t="s">
        <v>63</v>
      </c>
      <c r="N15" s="61">
        <v>23.39</v>
      </c>
      <c r="O15" s="57">
        <f>VLOOKUP($M$1&amp;M15,【1】定价因子!E:F,2,0)</f>
        <v>1</v>
      </c>
      <c r="P15" s="57" t="str">
        <f>IF(COUNTIFS(户型资产表!E:E,I15,户型资产表!H:H,"阳台门")&gt;0,"有","无")</f>
        <v>无</v>
      </c>
      <c r="Q15" s="57">
        <f>VLOOKUP($P$1&amp;P15,【1】定价因子!E:F,2,0)</f>
        <v>1</v>
      </c>
      <c r="R15" s="57" t="str">
        <f>IF('【2】运营中心填-基本信息&amp;审核标准'!$D$4="是","无",IF(INT(H15/100)&gt;9,"9F",INT(H15/100)&amp;"F"))</f>
        <v>无</v>
      </c>
      <c r="S15" s="57">
        <f>VLOOKUP(R15,【1】定价因子!D:F,3,0)</f>
        <v>1</v>
      </c>
      <c r="T15" s="57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2-3F</v>
      </c>
      <c r="U15" s="57">
        <f>VLOOKUP($T$1&amp;T15,【1】定价因子!E:F,2,0)</f>
        <v>0.99</v>
      </c>
      <c r="V15" s="57" t="str">
        <f>IF(COUNTIFS(户型资产表!E:E,I15,户型资产表!H:H,"操作台")&gt;0,"有","无")</f>
        <v>有</v>
      </c>
      <c r="W15" s="57" t="str">
        <f>IF(COUNTIFS(户型资产表!E:E,I15,户型资产表!H:H,"书桌")&gt;0,"有","无")</f>
        <v>无</v>
      </c>
      <c r="X15" s="57" t="str" cm="1">
        <f t="array" ref="X15">IF(SUMPRODUCT((户型资产表!E:E=I15)*((户型资产表!I:I="沙发01单人")+(户型资产表!I:I="单人沙发02")))&gt;0,"有","无")</f>
        <v>无</v>
      </c>
      <c r="Y15" s="57" t="str" cm="1">
        <f t="array" ref="Y15">IF(SUMPRODUCT((户型资产表!E:E=I15)*((户型资产表!I:I="沙发02两人")+(户型资产表!I:I="双人沙发01")))&gt;0,"有","无")</f>
        <v>有</v>
      </c>
      <c r="Z15" s="57" t="str">
        <f>IF(COUNTIFS(户型资产表!E:E,I15,户型资产表!H:H,"餐桌")&gt;0,"有","无")</f>
        <v>有</v>
      </c>
      <c r="AA15" s="57" t="str">
        <f>IF(COUNTIFS(户型资产表!E:E,I15,户型资产表!H:H,"吸油烟机")&gt;0,"有","无")</f>
        <v>无</v>
      </c>
      <c r="AB15" s="57" t="str">
        <f>IF(COUNTIFS(户型资产表!E:E,I15,户型资产表!H:H,"冰箱")&gt;0,"有","无")</f>
        <v>无</v>
      </c>
      <c r="AC15" s="57" t="str">
        <f>IF(COUNTIFS(户型资产表!E:E,I15,户型资产表!H:H,"电视柜")&gt;0,"有","无")</f>
        <v>无</v>
      </c>
      <c r="AD15" s="61" t="str">
        <f t="shared" si="4"/>
        <v>适中</v>
      </c>
      <c r="AE15" s="57">
        <f>VLOOKUP($AD$1&amp;AD15,【1】定价因子!E:F,2,0)</f>
        <v>1</v>
      </c>
      <c r="AF15" s="61" t="str">
        <f t="shared" si="5"/>
        <v>适中</v>
      </c>
      <c r="AG15" s="57">
        <f>VLOOKUP($AF$1&amp;AF15,【1】定价因子!E:F,2,0)</f>
        <v>1</v>
      </c>
      <c r="AH15" s="61" t="str">
        <f t="shared" si="6"/>
        <v>适中</v>
      </c>
      <c r="AI15" s="57">
        <f>VLOOKUP($AH$1&amp;AH15,【1】定价因子!E:F,2,0)</f>
        <v>1</v>
      </c>
      <c r="AJ15" s="57" t="str">
        <f>VLOOKUP(H15,'【3-1】大区填-采光基本要素'!A:H,8,0)</f>
        <v>1</v>
      </c>
      <c r="AK15" s="57">
        <f>VLOOKUP($AJ$1&amp;AJ15,【1】定价因子!E:F,2,0)</f>
        <v>0.91</v>
      </c>
      <c r="AL15" s="62">
        <f t="shared" si="7"/>
        <v>2227.18020525</v>
      </c>
      <c r="AM15" s="63">
        <v>2050</v>
      </c>
      <c r="AN15" s="64">
        <f t="shared" si="8"/>
        <v>-0.0795536009310535</v>
      </c>
      <c r="AO15" s="65">
        <f t="shared" si="9"/>
        <v>2060</v>
      </c>
      <c r="AP15" s="34">
        <v>2248</v>
      </c>
    </row>
    <row r="16" spans="1:42">
      <c r="A16" s="47" t="str">
        <f>'【2】运营中心填-基本信息&amp;审核标准'!$E$2</f>
        <v>福围广生7-16、17栋</v>
      </c>
      <c r="B16" s="13">
        <f t="shared" si="2"/>
        <v>3</v>
      </c>
      <c r="C16" s="13">
        <f t="shared" si="0"/>
        <v>4</v>
      </c>
      <c r="D16" s="13">
        <f t="shared" si="1"/>
        <v>4</v>
      </c>
      <c r="E16" s="13"/>
      <c r="F16" s="13" t="str">
        <f t="shared" si="3"/>
        <v/>
      </c>
      <c r="G16" s="13"/>
      <c r="H16" s="48">
        <v>301</v>
      </c>
      <c r="I16" s="49" t="s">
        <v>491</v>
      </c>
      <c r="J16" s="49" t="s">
        <v>43</v>
      </c>
      <c r="K16" s="13"/>
      <c r="L16" s="50">
        <f>VLOOKUP(J16,'【3】大区填-楼栋基准格局定价'!B:H,7,0)</f>
        <v>2472.1725</v>
      </c>
      <c r="M16" s="51" t="s">
        <v>65</v>
      </c>
      <c r="N16" s="51">
        <v>22.14</v>
      </c>
      <c r="O16" s="52">
        <f>VLOOKUP($M$1&amp;M16,【1】定价因子!E:F,2,0)</f>
        <v>0.95</v>
      </c>
      <c r="P16" s="52" t="str">
        <f>IF(COUNTIFS(户型资产表!E:E,I16,户型资产表!H:H,"阳台门")&gt;0,"有","无")</f>
        <v>无</v>
      </c>
      <c r="Q16" s="52">
        <f>VLOOKUP($P$1&amp;P16,【1】定价因子!E:F,2,0)</f>
        <v>1</v>
      </c>
      <c r="R16" s="52" t="str">
        <f>IF('【2】运营中心填-基本信息&amp;审核标准'!$D$4="是","无",IF(INT(H16/100)&gt;9,"9F",INT(H16/100)&amp;"F"))</f>
        <v>无</v>
      </c>
      <c r="S16" s="52">
        <f>VLOOKUP(R16,【1】定价因子!D:F,3,0)</f>
        <v>1</v>
      </c>
      <c r="T16" s="52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2-3F</v>
      </c>
      <c r="U16" s="52">
        <f>VLOOKUP($T$1&amp;T16,【1】定价因子!E:F,2,0)</f>
        <v>0.99</v>
      </c>
      <c r="V16" s="52" t="str">
        <f>IF(COUNTIFS(户型资产表!E:E,I16,户型资产表!H:H,"操作台")&gt;0,"有","无")</f>
        <v>有</v>
      </c>
      <c r="W16" s="52" t="str">
        <f>IF(COUNTIFS(户型资产表!E:E,I16,户型资产表!H:H,"书桌")&gt;0,"有","无")</f>
        <v>无</v>
      </c>
      <c r="X16" s="52" t="str" cm="1">
        <f t="array" ref="X16">IF(SUMPRODUCT((户型资产表!E:E=I16)*((户型资产表!I:I="沙发01单人")+(户型资产表!I:I="单人沙发02")))&gt;0,"有","无")</f>
        <v>无</v>
      </c>
      <c r="Y16" s="52" t="str" cm="1">
        <f t="array" ref="Y16">IF(SUMPRODUCT((户型资产表!E:E=I16)*((户型资产表!I:I="沙发02两人")+(户型资产表!I:I="双人沙发01")))&gt;0,"有","无")</f>
        <v>有</v>
      </c>
      <c r="Z16" s="52" t="str">
        <f>IF(COUNTIFS(户型资产表!E:E,I16,户型资产表!H:H,"餐桌")&gt;0,"有","无")</f>
        <v>有</v>
      </c>
      <c r="AA16" s="52" t="str">
        <f>IF(COUNTIFS(户型资产表!E:E,I16,户型资产表!H:H,"吸油烟机")&gt;0,"有","无")</f>
        <v>无</v>
      </c>
      <c r="AB16" s="52" t="str">
        <f>IF(COUNTIFS(户型资产表!E:E,I16,户型资产表!H:H,"冰箱")&gt;0,"有","无")</f>
        <v>无</v>
      </c>
      <c r="AC16" s="52" t="str">
        <f>IF(COUNTIFS(户型资产表!E:E,I16,户型资产表!H:H,"电视柜")&gt;0,"有","无")</f>
        <v>无</v>
      </c>
      <c r="AD16" s="51" t="str">
        <f t="shared" si="4"/>
        <v>适中</v>
      </c>
      <c r="AE16" s="52">
        <f>VLOOKUP($AD$1&amp;AD16,【1】定价因子!E:F,2,0)</f>
        <v>1</v>
      </c>
      <c r="AF16" s="51" t="str">
        <f t="shared" si="5"/>
        <v>适中</v>
      </c>
      <c r="AG16" s="52">
        <f>VLOOKUP($AF$1&amp;AF16,【1】定价因子!E:F,2,0)</f>
        <v>1</v>
      </c>
      <c r="AH16" s="51" t="str">
        <f t="shared" si="6"/>
        <v>适中</v>
      </c>
      <c r="AI16" s="52">
        <f>VLOOKUP($AH$1&amp;AH16,【1】定价因子!E:F,2,0)</f>
        <v>1</v>
      </c>
      <c r="AJ16" s="52" t="str">
        <f>VLOOKUP(H16,'【3-1】大区填-采光基本要素'!A:H,8,0)</f>
        <v>1</v>
      </c>
      <c r="AK16" s="52">
        <f>VLOOKUP($AJ$1&amp;AJ16,【1】定价因子!E:F,2,0)</f>
        <v>0.91</v>
      </c>
      <c r="AL16" s="53">
        <f t="shared" si="7"/>
        <v>2115.8211949875</v>
      </c>
      <c r="AM16" s="54">
        <v>2068.19</v>
      </c>
      <c r="AN16" s="55">
        <f t="shared" si="8"/>
        <v>-0.0225119188239256</v>
      </c>
      <c r="AO16" s="56">
        <f t="shared" si="9"/>
        <v>2078.19</v>
      </c>
    </row>
    <row r="17" spans="1:42">
      <c r="A17" s="47" t="str">
        <f>'【2】运营中心填-基本信息&amp;审核标准'!$E$2</f>
        <v>福围广生7-16、17栋</v>
      </c>
      <c r="B17" s="13">
        <f t="shared" si="2"/>
        <v>3</v>
      </c>
      <c r="C17" s="13">
        <f t="shared" si="0"/>
        <v>4</v>
      </c>
      <c r="D17" s="13">
        <f t="shared" si="1"/>
        <v>4</v>
      </c>
      <c r="E17" s="13"/>
      <c r="F17" s="13" t="str">
        <f t="shared" si="3"/>
        <v/>
      </c>
      <c r="G17" s="13"/>
      <c r="H17" s="48">
        <v>302</v>
      </c>
      <c r="I17" s="49" t="s">
        <v>492</v>
      </c>
      <c r="J17" s="49" t="s">
        <v>40</v>
      </c>
      <c r="K17" s="13"/>
      <c r="L17" s="50">
        <f>VLOOKUP(J17,'【3】大区填-楼栋基准格局定价'!B:H,7,0)</f>
        <v>1658.8509</v>
      </c>
      <c r="M17" s="51" t="s">
        <v>58</v>
      </c>
      <c r="N17" s="51">
        <v>21.67</v>
      </c>
      <c r="O17" s="52">
        <f>VLOOKUP($M$1&amp;M17,【1】定价因子!E:F,2,0)</f>
        <v>1.1</v>
      </c>
      <c r="P17" s="52" t="str">
        <f>IF(COUNTIFS(户型资产表!E:E,I17,户型资产表!H:H,"阳台门")&gt;0,"有","无")</f>
        <v>无</v>
      </c>
      <c r="Q17" s="52">
        <f>VLOOKUP($P$1&amp;P17,【1】定价因子!E:F,2,0)</f>
        <v>1</v>
      </c>
      <c r="R17" s="52" t="str">
        <f>IF('【2】运营中心填-基本信息&amp;审核标准'!$D$4="是","无",IF(INT(H17/100)&gt;9,"9F",INT(H17/100)&amp;"F"))</f>
        <v>无</v>
      </c>
      <c r="S17" s="52">
        <f>VLOOKUP(R17,【1】定价因子!D:F,3,0)</f>
        <v>1</v>
      </c>
      <c r="T17" s="52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2-3F</v>
      </c>
      <c r="U17" s="52">
        <f>VLOOKUP($T$1&amp;T17,【1】定价因子!E:F,2,0)</f>
        <v>0.99</v>
      </c>
      <c r="V17" s="52" t="str">
        <f>IF(COUNTIFS(户型资产表!E:E,I17,户型资产表!H:H,"操作台")&gt;0,"有","无")</f>
        <v>有</v>
      </c>
      <c r="W17" s="52" t="str">
        <f>IF(COUNTIFS(户型资产表!E:E,I17,户型资产表!H:H,"书桌")&gt;0,"有","无")</f>
        <v>有</v>
      </c>
      <c r="X17" s="52" t="str" cm="1">
        <f t="array" ref="X17">IF(SUMPRODUCT((户型资产表!E:E=I17)*((户型资产表!I:I="沙发01单人")+(户型资产表!I:I="单人沙发02")))&gt;0,"有","无")</f>
        <v>无</v>
      </c>
      <c r="Y17" s="52" t="str" cm="1">
        <f t="array" ref="Y17">IF(SUMPRODUCT((户型资产表!E:E=I17)*((户型资产表!I:I="沙发02两人")+(户型资产表!I:I="双人沙发01")))&gt;0,"有","无")</f>
        <v>无</v>
      </c>
      <c r="Z17" s="52" t="str">
        <f>IF(COUNTIFS(户型资产表!E:E,I17,户型资产表!H:H,"餐桌")&gt;0,"有","无")</f>
        <v>无</v>
      </c>
      <c r="AA17" s="52" t="str">
        <f>IF(COUNTIFS(户型资产表!E:E,I17,户型资产表!H:H,"吸油烟机")&gt;0,"有","无")</f>
        <v>无</v>
      </c>
      <c r="AB17" s="52" t="str">
        <f>IF(COUNTIFS(户型资产表!E:E,I17,户型资产表!H:H,"冰箱")&gt;0,"有","无")</f>
        <v>无</v>
      </c>
      <c r="AC17" s="52" t="str">
        <f>IF(COUNTIFS(户型资产表!E:E,I17,户型资产表!H:H,"电视柜")&gt;0,"有","无")</f>
        <v>无</v>
      </c>
      <c r="AD17" s="51" t="str">
        <f t="shared" si="4"/>
        <v>适中</v>
      </c>
      <c r="AE17" s="52">
        <f>VLOOKUP($AD$1&amp;AD17,【1】定价因子!E:F,2,0)</f>
        <v>1</v>
      </c>
      <c r="AF17" s="51" t="str">
        <f t="shared" si="5"/>
        <v>适中</v>
      </c>
      <c r="AG17" s="52">
        <f>VLOOKUP($AF$1&amp;AF17,【1】定价因子!E:F,2,0)</f>
        <v>1</v>
      </c>
      <c r="AH17" s="51" t="str">
        <f t="shared" si="6"/>
        <v>适中</v>
      </c>
      <c r="AI17" s="52">
        <f>VLOOKUP($AH$1&amp;AH17,【1】定价因子!E:F,2,0)</f>
        <v>1</v>
      </c>
      <c r="AJ17" s="52" t="str">
        <f>VLOOKUP(H17,'【3-1】大区填-采光基本要素'!A:H,8,0)</f>
        <v>2</v>
      </c>
      <c r="AK17" s="52">
        <f>VLOOKUP($AJ$1&amp;AJ17,【1】定价因子!E:F,2,0)</f>
        <v>0.96</v>
      </c>
      <c r="AL17" s="53">
        <f t="shared" si="7"/>
        <v>1734.229084896</v>
      </c>
      <c r="AM17" s="54">
        <v>1588</v>
      </c>
      <c r="AN17" s="55">
        <f t="shared" si="8"/>
        <v>-0.0843193590567471</v>
      </c>
      <c r="AO17" s="56">
        <f t="shared" si="9"/>
        <v>1598</v>
      </c>
    </row>
    <row r="18" s="34" customFormat="1" spans="1:42">
      <c r="A18" s="57" t="str">
        <f>'【2】运营中心填-基本信息&amp;审核标准'!$E$2</f>
        <v>福围广生7-16、17栋</v>
      </c>
      <c r="B18" s="57">
        <f t="shared" si="2"/>
        <v>3</v>
      </c>
      <c r="C18" s="57">
        <f t="shared" si="0"/>
        <v>4</v>
      </c>
      <c r="D18" s="57">
        <f t="shared" si="1"/>
        <v>4</v>
      </c>
      <c r="E18" s="57"/>
      <c r="F18" s="57" t="str">
        <f t="shared" si="3"/>
        <v/>
      </c>
      <c r="G18" s="57"/>
      <c r="H18" s="58">
        <v>303</v>
      </c>
      <c r="I18" s="59" t="s">
        <v>492</v>
      </c>
      <c r="J18" s="59" t="s">
        <v>40</v>
      </c>
      <c r="K18" s="57"/>
      <c r="L18" s="60">
        <f>VLOOKUP(J18,'【3】大区填-楼栋基准格局定价'!B:H,7,0)</f>
        <v>1658.8509</v>
      </c>
      <c r="M18" s="61" t="s">
        <v>63</v>
      </c>
      <c r="N18" s="61">
        <v>16.32</v>
      </c>
      <c r="O18" s="57">
        <f>VLOOKUP($M$1&amp;M18,【1】定价因子!E:F,2,0)</f>
        <v>1</v>
      </c>
      <c r="P18" s="57" t="str">
        <f>IF(COUNTIFS(户型资产表!E:E,I18,户型资产表!H:H,"阳台门")&gt;0,"有","无")</f>
        <v>无</v>
      </c>
      <c r="Q18" s="57">
        <f>VLOOKUP($P$1&amp;P18,【1】定价因子!E:F,2,0)</f>
        <v>1</v>
      </c>
      <c r="R18" s="57" t="str">
        <f>IF('【2】运营中心填-基本信息&amp;审核标准'!$D$4="是","无",IF(INT(H18/100)&gt;9,"9F",INT(H18/100)&amp;"F"))</f>
        <v>无</v>
      </c>
      <c r="S18" s="57">
        <f>VLOOKUP(R18,【1】定价因子!D:F,3,0)</f>
        <v>1</v>
      </c>
      <c r="T18" s="57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2-3F</v>
      </c>
      <c r="U18" s="57">
        <f>VLOOKUP($T$1&amp;T18,【1】定价因子!E:F,2,0)</f>
        <v>0.99</v>
      </c>
      <c r="V18" s="57" t="str">
        <f>IF(COUNTIFS(户型资产表!E:E,I18,户型资产表!H:H,"操作台")&gt;0,"有","无")</f>
        <v>有</v>
      </c>
      <c r="W18" s="57" t="str">
        <f>IF(COUNTIFS(户型资产表!E:E,I18,户型资产表!H:H,"书桌")&gt;0,"有","无")</f>
        <v>有</v>
      </c>
      <c r="X18" s="57" t="str" cm="1">
        <f t="array" ref="X18">IF(SUMPRODUCT((户型资产表!E:E=I18)*((户型资产表!I:I="沙发01单人")+(户型资产表!I:I="单人沙发02")))&gt;0,"有","无")</f>
        <v>无</v>
      </c>
      <c r="Y18" s="57" t="str" cm="1">
        <f t="array" ref="Y18">IF(SUMPRODUCT((户型资产表!E:E=I18)*((户型资产表!I:I="沙发02两人")+(户型资产表!I:I="双人沙发01")))&gt;0,"有","无")</f>
        <v>无</v>
      </c>
      <c r="Z18" s="57" t="str">
        <f>IF(COUNTIFS(户型资产表!E:E,I18,户型资产表!H:H,"餐桌")&gt;0,"有","无")</f>
        <v>无</v>
      </c>
      <c r="AA18" s="57" t="str">
        <f>IF(COUNTIFS(户型资产表!E:E,I18,户型资产表!H:H,"吸油烟机")&gt;0,"有","无")</f>
        <v>无</v>
      </c>
      <c r="AB18" s="57" t="str">
        <f>IF(COUNTIFS(户型资产表!E:E,I18,户型资产表!H:H,"冰箱")&gt;0,"有","无")</f>
        <v>无</v>
      </c>
      <c r="AC18" s="57" t="str">
        <f>IF(COUNTIFS(户型资产表!E:E,I18,户型资产表!H:H,"电视柜")&gt;0,"有","无")</f>
        <v>无</v>
      </c>
      <c r="AD18" s="61" t="str">
        <f t="shared" si="4"/>
        <v>适中</v>
      </c>
      <c r="AE18" s="57">
        <f>VLOOKUP($AD$1&amp;AD18,【1】定价因子!E:F,2,0)</f>
        <v>1</v>
      </c>
      <c r="AF18" s="61" t="str">
        <f t="shared" si="5"/>
        <v>适中</v>
      </c>
      <c r="AG18" s="57">
        <f>VLOOKUP($AF$1&amp;AF18,【1】定价因子!E:F,2,0)</f>
        <v>1</v>
      </c>
      <c r="AH18" s="61" t="str">
        <f t="shared" si="6"/>
        <v>适中</v>
      </c>
      <c r="AI18" s="57">
        <f>VLOOKUP($AH$1&amp;AH18,【1】定价因子!E:F,2,0)</f>
        <v>1</v>
      </c>
      <c r="AJ18" s="57" t="str">
        <f>VLOOKUP(H18,'【3-1】大区填-采光基本要素'!A:H,8,0)</f>
        <v>2</v>
      </c>
      <c r="AK18" s="57">
        <f>VLOOKUP($AJ$1&amp;AJ18,【1】定价因子!E:F,2,0)</f>
        <v>0.96</v>
      </c>
      <c r="AL18" s="62">
        <f t="shared" si="7"/>
        <v>1576.57189536</v>
      </c>
      <c r="AM18" s="63">
        <v>1400</v>
      </c>
      <c r="AN18" s="64">
        <f t="shared" si="8"/>
        <v>-0.111997363316997</v>
      </c>
      <c r="AO18" s="65">
        <f t="shared" si="9"/>
        <v>1410</v>
      </c>
      <c r="AP18" s="34">
        <v>1448</v>
      </c>
    </row>
    <row r="19" s="34" customFormat="1" spans="1:42">
      <c r="A19" s="57" t="str">
        <f>'【2】运营中心填-基本信息&amp;审核标准'!$E$2</f>
        <v>福围广生7-16、17栋</v>
      </c>
      <c r="B19" s="57">
        <f t="shared" si="2"/>
        <v>3</v>
      </c>
      <c r="C19" s="57">
        <f t="shared" si="0"/>
        <v>4</v>
      </c>
      <c r="D19" s="57">
        <f t="shared" si="1"/>
        <v>4</v>
      </c>
      <c r="E19" s="57"/>
      <c r="F19" s="57" t="str">
        <f t="shared" si="3"/>
        <v/>
      </c>
      <c r="G19" s="57"/>
      <c r="H19" s="58">
        <v>304</v>
      </c>
      <c r="I19" s="59" t="s">
        <v>491</v>
      </c>
      <c r="J19" s="59" t="s">
        <v>43</v>
      </c>
      <c r="K19" s="57"/>
      <c r="L19" s="60">
        <f>VLOOKUP(J19,'【3】大区填-楼栋基准格局定价'!B:H,7,0)</f>
        <v>2472.1725</v>
      </c>
      <c r="M19" s="61" t="s">
        <v>65</v>
      </c>
      <c r="N19" s="61">
        <v>20.73</v>
      </c>
      <c r="O19" s="57">
        <f>VLOOKUP($M$1&amp;M19,【1】定价因子!E:F,2,0)</f>
        <v>0.95</v>
      </c>
      <c r="P19" s="57" t="str">
        <f>IF(COUNTIFS(户型资产表!E:E,I19,户型资产表!H:H,"阳台门")&gt;0,"有","无")</f>
        <v>无</v>
      </c>
      <c r="Q19" s="57">
        <f>VLOOKUP($P$1&amp;P19,【1】定价因子!E:F,2,0)</f>
        <v>1</v>
      </c>
      <c r="R19" s="57" t="str">
        <f>IF('【2】运营中心填-基本信息&amp;审核标准'!$D$4="是","无",IF(INT(H19/100)&gt;9,"9F",INT(H19/100)&amp;"F"))</f>
        <v>无</v>
      </c>
      <c r="S19" s="57">
        <f>VLOOKUP(R19,【1】定价因子!D:F,3,0)</f>
        <v>1</v>
      </c>
      <c r="T19" s="57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2-3F</v>
      </c>
      <c r="U19" s="57">
        <f>VLOOKUP($T$1&amp;T19,【1】定价因子!E:F,2,0)</f>
        <v>0.99</v>
      </c>
      <c r="V19" s="57" t="str">
        <f>IF(COUNTIFS(户型资产表!E:E,I19,户型资产表!H:H,"操作台")&gt;0,"有","无")</f>
        <v>有</v>
      </c>
      <c r="W19" s="57" t="str">
        <f>IF(COUNTIFS(户型资产表!E:E,I19,户型资产表!H:H,"书桌")&gt;0,"有","无")</f>
        <v>无</v>
      </c>
      <c r="X19" s="57" t="str" cm="1">
        <f t="array" ref="X19">IF(SUMPRODUCT((户型资产表!E:E=I19)*((户型资产表!I:I="沙发01单人")+(户型资产表!I:I="单人沙发02")))&gt;0,"有","无")</f>
        <v>无</v>
      </c>
      <c r="Y19" s="57" t="str" cm="1">
        <f t="array" ref="Y19">IF(SUMPRODUCT((户型资产表!E:E=I19)*((户型资产表!I:I="沙发02两人")+(户型资产表!I:I="双人沙发01")))&gt;0,"有","无")</f>
        <v>有</v>
      </c>
      <c r="Z19" s="57" t="str">
        <f>IF(COUNTIFS(户型资产表!E:E,I19,户型资产表!H:H,"餐桌")&gt;0,"有","无")</f>
        <v>有</v>
      </c>
      <c r="AA19" s="57" t="str">
        <f>IF(COUNTIFS(户型资产表!E:E,I19,户型资产表!H:H,"吸油烟机")&gt;0,"有","无")</f>
        <v>无</v>
      </c>
      <c r="AB19" s="57" t="str">
        <f>IF(COUNTIFS(户型资产表!E:E,I19,户型资产表!H:H,"冰箱")&gt;0,"有","无")</f>
        <v>无</v>
      </c>
      <c r="AC19" s="57" t="str">
        <f>IF(COUNTIFS(户型资产表!E:E,I19,户型资产表!H:H,"电视柜")&gt;0,"有","无")</f>
        <v>无</v>
      </c>
      <c r="AD19" s="61" t="str">
        <f t="shared" si="4"/>
        <v>适中</v>
      </c>
      <c r="AE19" s="57">
        <f>VLOOKUP($AD$1&amp;AD19,【1】定价因子!E:F,2,0)</f>
        <v>1</v>
      </c>
      <c r="AF19" s="61" t="str">
        <f t="shared" si="5"/>
        <v>适中</v>
      </c>
      <c r="AG19" s="57">
        <f>VLOOKUP($AF$1&amp;AF19,【1】定价因子!E:F,2,0)</f>
        <v>1</v>
      </c>
      <c r="AH19" s="61" t="str">
        <f t="shared" si="6"/>
        <v>适中</v>
      </c>
      <c r="AI19" s="57">
        <f>VLOOKUP($AH$1&amp;AH19,【1】定价因子!E:F,2,0)</f>
        <v>1</v>
      </c>
      <c r="AJ19" s="57" t="str">
        <f>VLOOKUP(H19,'【3-1】大区填-采光基本要素'!A:H,8,0)</f>
        <v>1</v>
      </c>
      <c r="AK19" s="57">
        <f>VLOOKUP($AJ$1&amp;AJ19,【1】定价因子!E:F,2,0)</f>
        <v>0.91</v>
      </c>
      <c r="AL19" s="62">
        <f t="shared" si="7"/>
        <v>2115.8211949875</v>
      </c>
      <c r="AM19" s="63">
        <v>1900</v>
      </c>
      <c r="AN19" s="64">
        <f t="shared" si="8"/>
        <v>-0.102003513103467</v>
      </c>
      <c r="AO19" s="65">
        <f t="shared" si="9"/>
        <v>1910</v>
      </c>
      <c r="AP19" s="34">
        <v>2098</v>
      </c>
    </row>
    <row r="20" s="34" customFormat="1" spans="1:42">
      <c r="A20" s="57" t="str">
        <f>'【2】运营中心填-基本信息&amp;审核标准'!$E$2</f>
        <v>福围广生7-16、17栋</v>
      </c>
      <c r="B20" s="57"/>
      <c r="C20" s="57"/>
      <c r="D20" s="57"/>
      <c r="E20" s="57"/>
      <c r="F20" s="57"/>
      <c r="G20" s="57"/>
      <c r="H20" s="58">
        <v>305</v>
      </c>
      <c r="I20" s="59" t="s">
        <v>493</v>
      </c>
      <c r="J20" s="59" t="s">
        <v>43</v>
      </c>
      <c r="K20" s="57"/>
      <c r="L20" s="60">
        <f>VLOOKUP(J20,'【3】大区填-楼栋基准格局定价'!B:H,7,0)</f>
        <v>2472.1725</v>
      </c>
      <c r="M20" s="61" t="s">
        <v>65</v>
      </c>
      <c r="N20" s="61">
        <v>21.83</v>
      </c>
      <c r="O20" s="57"/>
      <c r="P20" s="57" t="str">
        <f>IF(COUNTIFS(户型资产表!E:E,I20,户型资产表!H:H,"阳台门")&gt;0,"有","无")</f>
        <v>无</v>
      </c>
      <c r="Q20" s="57"/>
      <c r="R20" s="57" t="str">
        <f>IF('【2】运营中心填-基本信息&amp;审核标准'!$D$4="是","无",IF(INT(H20/100)&gt;9,"9F",INT(H20/100)&amp;"F"))</f>
        <v>无</v>
      </c>
      <c r="S20" s="57">
        <f>VLOOKUP(R20,【1】定价因子!D:F,3,0)</f>
        <v>1</v>
      </c>
      <c r="T20" s="57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2-3F</v>
      </c>
      <c r="U20" s="57">
        <f>VLOOKUP($T$1&amp;T20,【1】定价因子!E:F,2,0)</f>
        <v>0.99</v>
      </c>
      <c r="V20" s="57" t="str">
        <f>IF(COUNTIFS(户型资产表!E:E,I20,户型资产表!H:H,"操作台")&gt;0,"有","无")</f>
        <v>有</v>
      </c>
      <c r="W20" s="57" t="str">
        <f>IF(COUNTIFS(户型资产表!E:E,I20,户型资产表!H:H,"书桌")&gt;0,"有","无")</f>
        <v>无</v>
      </c>
      <c r="X20" s="57" t="str" cm="1">
        <f t="array" ref="X20">IF(SUMPRODUCT((户型资产表!E:E=I20)*((户型资产表!I:I="沙发01单人")+(户型资产表!I:I="单人沙发02")))&gt;0,"有","无")</f>
        <v>无</v>
      </c>
      <c r="Y20" s="57" t="str" cm="1">
        <f t="array" ref="Y20">IF(SUMPRODUCT((户型资产表!E:E=I20)*((户型资产表!I:I="沙发02两人")+(户型资产表!I:I="双人沙发01")))&gt;0,"有","无")</f>
        <v>有</v>
      </c>
      <c r="Z20" s="57" t="str">
        <f>IF(COUNTIFS(户型资产表!E:E,I20,户型资产表!H:H,"餐桌")&gt;0,"有","无")</f>
        <v>有</v>
      </c>
      <c r="AA20" s="57" t="str">
        <f>IF(COUNTIFS(户型资产表!E:E,I20,户型资产表!H:H,"吸油烟机")&gt;0,"有","无")</f>
        <v>无</v>
      </c>
      <c r="AB20" s="57" t="str">
        <f>IF(COUNTIFS(户型资产表!E:E,I20,户型资产表!H:H,"冰箱")&gt;0,"有","无")</f>
        <v>无</v>
      </c>
      <c r="AC20" s="57" t="str">
        <f>IF(COUNTIFS(户型资产表!E:E,I20,户型资产表!H:H,"电视柜")&gt;0,"有","无")</f>
        <v>无</v>
      </c>
      <c r="AD20" s="61" t="str">
        <f t="shared" ref="AD20:AD24" si="10">IF(J20="开间",IF(AND(V20="无",W20="无"),"缺失",IF(AND(V20="无",W20="有"),"缺失（操作台）",IF(AND(V20="有",W20="无"),"缺失（书桌）",IF(AND(V20="有",W20="有"),IF(OR(AA20="有",Y20="有"),"充足（油烟机/双人沙发）",IF(OR(X20="有",Z20="有"),"充足（单人沙发/餐桌）",IF(AND(OR(X20="有",Y20="有"),Z20="有"),"非常充足","适中"))),"")))),"适中")</f>
        <v>适中</v>
      </c>
      <c r="AE20" s="57">
        <f>VLOOKUP($AD$1&amp;AD20,【1】定价因子!E:F,2,0)</f>
        <v>1</v>
      </c>
      <c r="AF20" s="61" t="str">
        <f t="shared" ref="AF20:AF24" si="11">IF(J20="一居室",IF(AND(V20="无",Y20="无",Z20="无"),"缺失",IF(OR(AND(Z20="有",V20="无",Y20="无"),AND(Z20="有",V20="无",Y20="有"),AND(Z20="有",V20="有",Y20="无"),AND(Z20="无",V20="有",Y20="无"),AND(Z20="无",V20="无",Y20="有")),"缺失（操作台/双人沙发）",IF(AND(V20="有",Y20="有",Z20="无"),"缺失（餐桌）",IF(AND(V20="有",Y20="有",Z20="有"),IF(AND(W20="无",AA20="有"),"充配（油烟机）",IF(AND(W20="有",AA20="无"),"充配（书桌）",IF(AND(W20="有",AA20="有"),"非常充配","适中"))),"")))),"适中")</f>
        <v>适中</v>
      </c>
      <c r="AG20" s="57">
        <f>VLOOKUP($AF$1&amp;AF20,【1】定价因子!E:F,2,0)</f>
        <v>1</v>
      </c>
      <c r="AH20" s="61" t="str">
        <f t="shared" ref="AH20:AH24" si="12">IF(J20="二居室",IF(AND(Y20="无",Z20="无",AC20="无",V20="无"),"缺失",IF(OR(AND(Y20="无",Z20="无",AC20="有"),AND(Y20="无",Z20="无",V20="有"),AND(Y20="无",Z20="无",AC20="有",V20="有"),AND(Y20="无",Z20="有",AC20="无"),AND(Y20="无",Z20="有",V20="无"),AND(Y20="无",Z20="有",AC20="有"),AND(Y20="无",Z20="有",V20="有"),AND(Y20="有",Z20="无",AC20="无"),AND(Y20="有",Z20="无",V20="无"),AND(Y20="有",Z20="无",AC20="有"),AND(Y20="有",Z20="无",V20="有")),"缺失（沙发/餐桌）",IF(AND(Y20="有",Z20="有",OR(AC20="无",V20="无")),"缺失（电视柜/操作台）",IF(AND(Y20="有",Z20="有",AC20="有",V20="有"),IF(OR(AA20="有",AB20="有"),"充配（油烟机/冰箱）",IF(AND(AA20="无",AB20="无"),"适中","")),"")))),"适中")</f>
        <v>适中</v>
      </c>
      <c r="AI20" s="57">
        <f>VLOOKUP($AH$1&amp;AH20,【1】定价因子!E:F,2,0)</f>
        <v>1</v>
      </c>
      <c r="AJ20" s="57" t="str">
        <f>VLOOKUP(H20,'【3-1】大区填-采光基本要素'!A:H,8,0)</f>
        <v>1</v>
      </c>
      <c r="AK20" s="57">
        <f>VLOOKUP($AJ$1&amp;AJ20,【1】定价因子!E:F,2,0)</f>
        <v>0.91</v>
      </c>
      <c r="AL20" s="62">
        <f t="shared" ref="AL20:AL24" si="13">L20*PRODUCT(AG20,AK20,AE20,U20,S20,Q20,O20)</f>
        <v>2227.18020525</v>
      </c>
      <c r="AM20" s="63">
        <v>1930</v>
      </c>
      <c r="AN20" s="64">
        <f t="shared" ref="AN20:AN24" si="14">AM20/AL20-1</f>
        <v>-0.133433390144845</v>
      </c>
      <c r="AO20" s="65">
        <f t="shared" si="9"/>
        <v>1940</v>
      </c>
      <c r="AP20" s="34">
        <v>2098</v>
      </c>
    </row>
    <row r="21" spans="1:42">
      <c r="A21" s="47" t="str">
        <f>'【2】运营中心填-基本信息&amp;审核标准'!$E$2</f>
        <v>福围广生7-16、17栋</v>
      </c>
      <c r="B21" s="13"/>
      <c r="C21" s="13"/>
      <c r="D21" s="13"/>
      <c r="E21" s="13"/>
      <c r="F21" s="13"/>
      <c r="G21" s="13"/>
      <c r="H21" s="48">
        <v>306</v>
      </c>
      <c r="I21" s="49" t="s">
        <v>494</v>
      </c>
      <c r="J21" s="49" t="s">
        <v>40</v>
      </c>
      <c r="K21" s="13"/>
      <c r="L21" s="50">
        <f>VLOOKUP(J21,'【3】大区填-楼栋基准格局定价'!B:H,7,0)</f>
        <v>1658.8509</v>
      </c>
      <c r="M21" s="51" t="s">
        <v>61</v>
      </c>
      <c r="N21" s="51">
        <v>17.58</v>
      </c>
      <c r="O21" s="52"/>
      <c r="P21" s="52" t="str">
        <f>IF(COUNTIFS(户型资产表!E:E,I21,户型资产表!H:H,"阳台门")&gt;0,"有","无")</f>
        <v>无</v>
      </c>
      <c r="Q21" s="52"/>
      <c r="R21" s="52" t="str">
        <f>IF('【2】运营中心填-基本信息&amp;审核标准'!$D$4="是","无",IF(INT(H21/100)&gt;9,"9F",INT(H21/100)&amp;"F"))</f>
        <v>无</v>
      </c>
      <c r="S21" s="52">
        <f>VLOOKUP(R21,【1】定价因子!D:F,3,0)</f>
        <v>1</v>
      </c>
      <c r="T21" s="52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2-3F</v>
      </c>
      <c r="U21" s="52">
        <f>VLOOKUP($T$1&amp;T21,【1】定价因子!E:F,2,0)</f>
        <v>0.99</v>
      </c>
      <c r="V21" s="52" t="str">
        <f>IF(COUNTIFS(户型资产表!E:E,I21,户型资产表!H:H,"操作台")&gt;0,"有","无")</f>
        <v>有</v>
      </c>
      <c r="W21" s="52" t="str">
        <f>IF(COUNTIFS(户型资产表!E:E,I21,户型资产表!H:H,"书桌")&gt;0,"有","无")</f>
        <v>有</v>
      </c>
      <c r="X21" s="52" t="str" cm="1">
        <f t="array" ref="X21">IF(SUMPRODUCT((户型资产表!E:E=I21)*((户型资产表!I:I="沙发01单人")+(户型资产表!I:I="单人沙发02")))&gt;0,"有","无")</f>
        <v>无</v>
      </c>
      <c r="Y21" s="52" t="str" cm="1">
        <f t="array" ref="Y21">IF(SUMPRODUCT((户型资产表!E:E=I21)*((户型资产表!I:I="沙发02两人")+(户型资产表!I:I="双人沙发01")))&gt;0,"有","无")</f>
        <v>无</v>
      </c>
      <c r="Z21" s="52" t="str">
        <f>IF(COUNTIFS(户型资产表!E:E,I21,户型资产表!H:H,"餐桌")&gt;0,"有","无")</f>
        <v>无</v>
      </c>
      <c r="AA21" s="52" t="str">
        <f>IF(COUNTIFS(户型资产表!E:E,I21,户型资产表!H:H,"吸油烟机")&gt;0,"有","无")</f>
        <v>无</v>
      </c>
      <c r="AB21" s="52" t="str">
        <f>IF(COUNTIFS(户型资产表!E:E,I21,户型资产表!H:H,"冰箱")&gt;0,"有","无")</f>
        <v>无</v>
      </c>
      <c r="AC21" s="52" t="str">
        <f>IF(COUNTIFS(户型资产表!E:E,I21,户型资产表!H:H,"电视柜")&gt;0,"有","无")</f>
        <v>无</v>
      </c>
      <c r="AD21" s="51" t="str">
        <f t="shared" si="10"/>
        <v>适中</v>
      </c>
      <c r="AE21" s="52">
        <f>VLOOKUP($AD$1&amp;AD21,【1】定价因子!E:F,2,0)</f>
        <v>1</v>
      </c>
      <c r="AF21" s="51" t="str">
        <f t="shared" si="11"/>
        <v>适中</v>
      </c>
      <c r="AG21" s="52">
        <f>VLOOKUP($AF$1&amp;AF21,【1】定价因子!E:F,2,0)</f>
        <v>1</v>
      </c>
      <c r="AH21" s="51" t="str">
        <f t="shared" si="12"/>
        <v>适中</v>
      </c>
      <c r="AI21" s="52">
        <f>VLOOKUP($AH$1&amp;AH21,【1】定价因子!E:F,2,0)</f>
        <v>1</v>
      </c>
      <c r="AJ21" s="52" t="str">
        <f>VLOOKUP(H21,'【3-1】大区填-采光基本要素'!A:H,8,0)</f>
        <v>1</v>
      </c>
      <c r="AK21" s="52">
        <f>VLOOKUP($AJ$1&amp;AJ21,【1】定价因子!E:F,2,0)</f>
        <v>0.91</v>
      </c>
      <c r="AL21" s="53">
        <f t="shared" si="13"/>
        <v>1494.45877581</v>
      </c>
      <c r="AM21" s="54">
        <v>1368</v>
      </c>
      <c r="AN21" s="55">
        <f t="shared" si="14"/>
        <v>-0.0846184437181674</v>
      </c>
      <c r="AO21" s="56">
        <f t="shared" si="9"/>
        <v>1378</v>
      </c>
    </row>
    <row r="22" s="34" customFormat="1" spans="1:42">
      <c r="A22" s="57" t="str">
        <f>'【2】运营中心填-基本信息&amp;审核标准'!$E$2</f>
        <v>福围广生7-16、17栋</v>
      </c>
      <c r="B22" s="57"/>
      <c r="C22" s="57"/>
      <c r="D22" s="57"/>
      <c r="E22" s="57"/>
      <c r="F22" s="57"/>
      <c r="G22" s="57"/>
      <c r="H22" s="58">
        <v>307</v>
      </c>
      <c r="I22" s="59" t="s">
        <v>492</v>
      </c>
      <c r="J22" s="59" t="s">
        <v>40</v>
      </c>
      <c r="K22" s="57"/>
      <c r="L22" s="60">
        <f>VLOOKUP(J22,'【3】大区填-楼栋基准格局定价'!B:H,7,0)</f>
        <v>1658.8509</v>
      </c>
      <c r="M22" s="61" t="s">
        <v>63</v>
      </c>
      <c r="N22" s="61">
        <v>16.65</v>
      </c>
      <c r="O22" s="57"/>
      <c r="P22" s="57" t="str">
        <f>IF(COUNTIFS(户型资产表!E:E,I22,户型资产表!H:H,"阳台门")&gt;0,"有","无")</f>
        <v>无</v>
      </c>
      <c r="Q22" s="57"/>
      <c r="R22" s="57" t="str">
        <f>IF('【2】运营中心填-基本信息&amp;审核标准'!$D$4="是","无",IF(INT(H22/100)&gt;9,"9F",INT(H22/100)&amp;"F"))</f>
        <v>无</v>
      </c>
      <c r="S22" s="57">
        <f>VLOOKUP(R22,【1】定价因子!D:F,3,0)</f>
        <v>1</v>
      </c>
      <c r="T22" s="57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2-3F</v>
      </c>
      <c r="U22" s="57">
        <f>VLOOKUP($T$1&amp;T22,【1】定价因子!E:F,2,0)</f>
        <v>0.99</v>
      </c>
      <c r="V22" s="57" t="str">
        <f>IF(COUNTIFS(户型资产表!E:E,I22,户型资产表!H:H,"操作台")&gt;0,"有","无")</f>
        <v>有</v>
      </c>
      <c r="W22" s="57" t="str">
        <f>IF(COUNTIFS(户型资产表!E:E,I22,户型资产表!H:H,"书桌")&gt;0,"有","无")</f>
        <v>有</v>
      </c>
      <c r="X22" s="57" t="str" cm="1">
        <f t="array" ref="X22">IF(SUMPRODUCT((户型资产表!E:E=I22)*((户型资产表!I:I="沙发01单人")+(户型资产表!I:I="单人沙发02")))&gt;0,"有","无")</f>
        <v>无</v>
      </c>
      <c r="Y22" s="57" t="str" cm="1">
        <f t="array" ref="Y22">IF(SUMPRODUCT((户型资产表!E:E=I22)*((户型资产表!I:I="沙发02两人")+(户型资产表!I:I="双人沙发01")))&gt;0,"有","无")</f>
        <v>无</v>
      </c>
      <c r="Z22" s="57" t="str">
        <f>IF(COUNTIFS(户型资产表!E:E,I22,户型资产表!H:H,"餐桌")&gt;0,"有","无")</f>
        <v>无</v>
      </c>
      <c r="AA22" s="57" t="str">
        <f>IF(COUNTIFS(户型资产表!E:E,I22,户型资产表!H:H,"吸油烟机")&gt;0,"有","无")</f>
        <v>无</v>
      </c>
      <c r="AB22" s="57" t="str">
        <f>IF(COUNTIFS(户型资产表!E:E,I22,户型资产表!H:H,"冰箱")&gt;0,"有","无")</f>
        <v>无</v>
      </c>
      <c r="AC22" s="57" t="str">
        <f>IF(COUNTIFS(户型资产表!E:E,I22,户型资产表!H:H,"电视柜")&gt;0,"有","无")</f>
        <v>无</v>
      </c>
      <c r="AD22" s="61" t="str">
        <f t="shared" si="10"/>
        <v>适中</v>
      </c>
      <c r="AE22" s="57">
        <f>VLOOKUP($AD$1&amp;AD22,【1】定价因子!E:F,2,0)</f>
        <v>1</v>
      </c>
      <c r="AF22" s="61" t="str">
        <f t="shared" si="11"/>
        <v>适中</v>
      </c>
      <c r="AG22" s="57">
        <f>VLOOKUP($AF$1&amp;AF22,【1】定价因子!E:F,2,0)</f>
        <v>1</v>
      </c>
      <c r="AH22" s="61" t="str">
        <f t="shared" si="12"/>
        <v>适中</v>
      </c>
      <c r="AI22" s="57">
        <f>VLOOKUP($AH$1&amp;AH22,【1】定价因子!E:F,2,0)</f>
        <v>1</v>
      </c>
      <c r="AJ22" s="57" t="str">
        <f>VLOOKUP(H22,'【3-1】大区填-采光基本要素'!A:H,8,0)</f>
        <v>2</v>
      </c>
      <c r="AK22" s="57">
        <f>VLOOKUP($AJ$1&amp;AJ22,【1】定价因子!E:F,2,0)</f>
        <v>0.96</v>
      </c>
      <c r="AL22" s="62">
        <f t="shared" si="13"/>
        <v>1576.57189536</v>
      </c>
      <c r="AM22" s="63">
        <v>1350</v>
      </c>
      <c r="AN22" s="64">
        <f t="shared" si="14"/>
        <v>-0.143711743198533</v>
      </c>
      <c r="AO22" s="65">
        <f t="shared" si="9"/>
        <v>1360</v>
      </c>
      <c r="AP22" s="34">
        <v>1448</v>
      </c>
    </row>
    <row r="23" spans="1:42">
      <c r="A23" s="47" t="str">
        <f>'【2】运营中心填-基本信息&amp;审核标准'!$E$2</f>
        <v>福围广生7-16、17栋</v>
      </c>
      <c r="B23" s="13"/>
      <c r="C23" s="13"/>
      <c r="D23" s="13"/>
      <c r="E23" s="13"/>
      <c r="F23" s="13"/>
      <c r="G23" s="13"/>
      <c r="H23" s="48">
        <v>308</v>
      </c>
      <c r="I23" s="49" t="s">
        <v>492</v>
      </c>
      <c r="J23" s="49" t="s">
        <v>40</v>
      </c>
      <c r="K23" s="13"/>
      <c r="L23" s="50">
        <f>VLOOKUP(J23,'【3】大区填-楼栋基准格局定价'!B:H,7,0)</f>
        <v>1658.8509</v>
      </c>
      <c r="M23" s="51" t="s">
        <v>63</v>
      </c>
      <c r="N23" s="51">
        <v>16.79</v>
      </c>
      <c r="O23" s="52"/>
      <c r="P23" s="52" t="str">
        <f>IF(COUNTIFS(户型资产表!E:E,I23,户型资产表!H:H,"阳台门")&gt;0,"有","无")</f>
        <v>无</v>
      </c>
      <c r="Q23" s="52"/>
      <c r="R23" s="52" t="str">
        <f>IF('【2】运营中心填-基本信息&amp;审核标准'!$D$4="是","无",IF(INT(H23/100)&gt;9,"9F",INT(H23/100)&amp;"F"))</f>
        <v>无</v>
      </c>
      <c r="S23" s="52">
        <f>VLOOKUP(R23,【1】定价因子!D:F,3,0)</f>
        <v>1</v>
      </c>
      <c r="T23" s="52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2-3F</v>
      </c>
      <c r="U23" s="52">
        <f>VLOOKUP($T$1&amp;T23,【1】定价因子!E:F,2,0)</f>
        <v>0.99</v>
      </c>
      <c r="V23" s="52" t="str">
        <f>IF(COUNTIFS(户型资产表!E:E,I23,户型资产表!H:H,"操作台")&gt;0,"有","无")</f>
        <v>有</v>
      </c>
      <c r="W23" s="52" t="str">
        <f>IF(COUNTIFS(户型资产表!E:E,I23,户型资产表!H:H,"书桌")&gt;0,"有","无")</f>
        <v>有</v>
      </c>
      <c r="X23" s="52" t="str" cm="1">
        <f t="array" ref="X23">IF(SUMPRODUCT((户型资产表!E:E=I23)*((户型资产表!I:I="沙发01单人")+(户型资产表!I:I="单人沙发02")))&gt;0,"有","无")</f>
        <v>无</v>
      </c>
      <c r="Y23" s="52" t="str" cm="1">
        <f t="array" ref="Y23">IF(SUMPRODUCT((户型资产表!E:E=I23)*((户型资产表!I:I="沙发02两人")+(户型资产表!I:I="双人沙发01")))&gt;0,"有","无")</f>
        <v>无</v>
      </c>
      <c r="Z23" s="52" t="str">
        <f>IF(COUNTIFS(户型资产表!E:E,I23,户型资产表!H:H,"餐桌")&gt;0,"有","无")</f>
        <v>无</v>
      </c>
      <c r="AA23" s="52" t="str">
        <f>IF(COUNTIFS(户型资产表!E:E,I23,户型资产表!H:H,"吸油烟机")&gt;0,"有","无")</f>
        <v>无</v>
      </c>
      <c r="AB23" s="52" t="str">
        <f>IF(COUNTIFS(户型资产表!E:E,I23,户型资产表!H:H,"冰箱")&gt;0,"有","无")</f>
        <v>无</v>
      </c>
      <c r="AC23" s="52" t="str">
        <f>IF(COUNTIFS(户型资产表!E:E,I23,户型资产表!H:H,"电视柜")&gt;0,"有","无")</f>
        <v>无</v>
      </c>
      <c r="AD23" s="51" t="str">
        <f t="shared" si="10"/>
        <v>适中</v>
      </c>
      <c r="AE23" s="52">
        <f>VLOOKUP($AD$1&amp;AD23,【1】定价因子!E:F,2,0)</f>
        <v>1</v>
      </c>
      <c r="AF23" s="51" t="str">
        <f t="shared" si="11"/>
        <v>适中</v>
      </c>
      <c r="AG23" s="52">
        <f>VLOOKUP($AF$1&amp;AF23,【1】定价因子!E:F,2,0)</f>
        <v>1</v>
      </c>
      <c r="AH23" s="51" t="str">
        <f t="shared" si="12"/>
        <v>适中</v>
      </c>
      <c r="AI23" s="52">
        <f>VLOOKUP($AH$1&amp;AH23,【1】定价因子!E:F,2,0)</f>
        <v>1</v>
      </c>
      <c r="AJ23" s="52" t="str">
        <f>VLOOKUP(H23,'【3-1】大区填-采光基本要素'!A:H,8,0)</f>
        <v>2</v>
      </c>
      <c r="AK23" s="52">
        <f>VLOOKUP($AJ$1&amp;AJ23,【1】定价因子!E:F,2,0)</f>
        <v>0.96</v>
      </c>
      <c r="AL23" s="53">
        <f t="shared" si="13"/>
        <v>1576.57189536</v>
      </c>
      <c r="AM23" s="54">
        <v>1448</v>
      </c>
      <c r="AN23" s="55">
        <f t="shared" si="14"/>
        <v>-0.0815515586307224</v>
      </c>
      <c r="AO23" s="56">
        <f t="shared" si="9"/>
        <v>1458</v>
      </c>
    </row>
    <row r="24" spans="1:42">
      <c r="A24" s="47" t="str">
        <f>'【2】运营中心填-基本信息&amp;审核标准'!$E$2</f>
        <v>福围广生7-16、17栋</v>
      </c>
      <c r="B24" s="13"/>
      <c r="C24" s="13"/>
      <c r="D24" s="13"/>
      <c r="E24" s="13"/>
      <c r="F24" s="13"/>
      <c r="G24" s="13"/>
      <c r="H24" s="48">
        <v>309</v>
      </c>
      <c r="I24" s="49" t="s">
        <v>495</v>
      </c>
      <c r="J24" s="49" t="s">
        <v>43</v>
      </c>
      <c r="K24" s="13"/>
      <c r="L24" s="50">
        <f>VLOOKUP(J24,'【3】大区填-楼栋基准格局定价'!B:H,7,0)</f>
        <v>2472.1725</v>
      </c>
      <c r="M24" s="51" t="s">
        <v>58</v>
      </c>
      <c r="N24" s="51">
        <v>30.92</v>
      </c>
      <c r="O24" s="52"/>
      <c r="P24" s="52" t="str">
        <f>IF(COUNTIFS(户型资产表!E:E,I24,户型资产表!H:H,"阳台门")&gt;0,"有","无")</f>
        <v>无</v>
      </c>
      <c r="Q24" s="52"/>
      <c r="R24" s="52" t="str">
        <f>IF('【2】运营中心填-基本信息&amp;审核标准'!$D$4="是","无",IF(INT(H24/100)&gt;9,"9F",INT(H24/100)&amp;"F"))</f>
        <v>无</v>
      </c>
      <c r="S24" s="52">
        <f>VLOOKUP(R24,【1】定价因子!D:F,3,0)</f>
        <v>1</v>
      </c>
      <c r="T24" s="52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2-3F</v>
      </c>
      <c r="U24" s="52">
        <f>VLOOKUP($T$1&amp;T24,【1】定价因子!E:F,2,0)</f>
        <v>0.99</v>
      </c>
      <c r="V24" s="52" t="str">
        <f>IF(COUNTIFS(户型资产表!E:E,I24,户型资产表!H:H,"操作台")&gt;0,"有","无")</f>
        <v>有</v>
      </c>
      <c r="W24" s="52" t="str">
        <f>IF(COUNTIFS(户型资产表!E:E,I24,户型资产表!H:H,"书桌")&gt;0,"有","无")</f>
        <v>有</v>
      </c>
      <c r="X24" s="52" t="str" cm="1">
        <f t="array" ref="X24">IF(SUMPRODUCT((户型资产表!E:E=I24)*((户型资产表!I:I="沙发01单人")+(户型资产表!I:I="单人沙发02")))&gt;0,"有","无")</f>
        <v>有</v>
      </c>
      <c r="Y24" s="52" t="str" cm="1">
        <f t="array" ref="Y24">IF(SUMPRODUCT((户型资产表!E:E=I24)*((户型资产表!I:I="沙发02两人")+(户型资产表!I:I="双人沙发01")))&gt;0,"有","无")</f>
        <v>有</v>
      </c>
      <c r="Z24" s="52" t="str">
        <f>IF(COUNTIFS(户型资产表!E:E,I24,户型资产表!H:H,"餐桌")&gt;0,"有","无")</f>
        <v>有</v>
      </c>
      <c r="AA24" s="52" t="str">
        <f>IF(COUNTIFS(户型资产表!E:E,I24,户型资产表!H:H,"吸油烟机")&gt;0,"有","无")</f>
        <v>无</v>
      </c>
      <c r="AB24" s="52" t="str">
        <f>IF(COUNTIFS(户型资产表!E:E,I24,户型资产表!H:H,"冰箱")&gt;0,"有","无")</f>
        <v>无</v>
      </c>
      <c r="AC24" s="52" t="str">
        <f>IF(COUNTIFS(户型资产表!E:E,I24,户型资产表!H:H,"电视柜")&gt;0,"有","无")</f>
        <v>无</v>
      </c>
      <c r="AD24" s="51" t="str">
        <f t="shared" si="10"/>
        <v>适中</v>
      </c>
      <c r="AE24" s="52">
        <f>VLOOKUP($AD$1&amp;AD24,【1】定价因子!E:F,2,0)</f>
        <v>1</v>
      </c>
      <c r="AF24" s="51" t="s">
        <v>63</v>
      </c>
      <c r="AG24" s="52">
        <f>VLOOKUP($AF$1&amp;AF24,【1】定价因子!E:F,2,0)</f>
        <v>1</v>
      </c>
      <c r="AH24" s="51" t="str">
        <f t="shared" si="12"/>
        <v>适中</v>
      </c>
      <c r="AI24" s="52">
        <f>VLOOKUP($AH$1&amp;AH24,【1】定价因子!E:F,2,0)</f>
        <v>1</v>
      </c>
      <c r="AJ24" s="52" t="str">
        <f>VLOOKUP(H24,'【3-1】大区填-采光基本要素'!A:H,8,0)</f>
        <v>1</v>
      </c>
      <c r="AK24" s="52">
        <f>VLOOKUP($AJ$1&amp;AJ24,【1】定价因子!E:F,2,0)</f>
        <v>0.91</v>
      </c>
      <c r="AL24" s="53">
        <f t="shared" si="13"/>
        <v>2227.18020525</v>
      </c>
      <c r="AM24" s="54">
        <v>2298.19</v>
      </c>
      <c r="AN24" s="55">
        <f t="shared" si="14"/>
        <v>0.031883273110372</v>
      </c>
      <c r="AO24" s="56">
        <f t="shared" si="9"/>
        <v>2308.19</v>
      </c>
    </row>
    <row r="25" spans="1:42">
      <c r="A25" s="47" t="str">
        <f>'【2】运营中心填-基本信息&amp;审核标准'!$E$2</f>
        <v>福围广生7-16、17栋</v>
      </c>
      <c r="B25" s="13"/>
      <c r="C25" s="13"/>
      <c r="D25" s="13"/>
      <c r="E25" s="13"/>
      <c r="F25" s="13"/>
      <c r="G25" s="13"/>
      <c r="H25" s="48">
        <v>310</v>
      </c>
      <c r="I25" s="49" t="s">
        <v>492</v>
      </c>
      <c r="J25" s="49" t="s">
        <v>40</v>
      </c>
      <c r="K25" s="13"/>
      <c r="L25" s="50">
        <f>VLOOKUP(J25,'【3】大区填-楼栋基准格局定价'!B:H,7,0)</f>
        <v>1658.8509</v>
      </c>
      <c r="M25" s="51" t="s">
        <v>63</v>
      </c>
      <c r="N25" s="51">
        <v>16.79</v>
      </c>
      <c r="O25" s="52"/>
      <c r="P25" s="52" t="str">
        <f>IF(COUNTIFS(户型资产表!E:E,I25,户型资产表!H:H,"阳台门")&gt;0,"有","无")</f>
        <v>无</v>
      </c>
      <c r="Q25" s="52"/>
      <c r="R25" s="52" t="str">
        <f>IF('【2】运营中心填-基本信息&amp;审核标准'!$D$4="是","无",IF(INT(H25/100)&gt;9,"9F",INT(H25/100)&amp;"F"))</f>
        <v>无</v>
      </c>
      <c r="S25" s="52">
        <f>VLOOKUP(R25,【1】定价因子!D:F,3,0)</f>
        <v>1</v>
      </c>
      <c r="T25" s="52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2-3F</v>
      </c>
      <c r="U25" s="52">
        <f>VLOOKUP($T$1&amp;T25,【1】定价因子!E:F,2,0)</f>
        <v>0.99</v>
      </c>
      <c r="V25" s="52" t="str">
        <f>IF(COUNTIFS(户型资产表!E:E,I25,户型资产表!H:H,"操作台")&gt;0,"有","无")</f>
        <v>有</v>
      </c>
      <c r="W25" s="52" t="str">
        <f>IF(COUNTIFS(户型资产表!E:E,I25,户型资产表!H:H,"书桌")&gt;0,"有","无")</f>
        <v>有</v>
      </c>
      <c r="X25" s="52" t="str" cm="1">
        <f t="array" ref="X25">IF(SUMPRODUCT((户型资产表!E:E=I25)*((户型资产表!I:I="沙发01单人")+(户型资产表!I:I="单人沙发02")))&gt;0,"有","无")</f>
        <v>无</v>
      </c>
      <c r="Y25" s="52" t="str" cm="1">
        <f t="array" ref="Y25">IF(SUMPRODUCT((户型资产表!E:E=I25)*((户型资产表!I:I="沙发02两人")+(户型资产表!I:I="双人沙发01")))&gt;0,"有","无")</f>
        <v>无</v>
      </c>
      <c r="Z25" s="52" t="str">
        <f>IF(COUNTIFS(户型资产表!E:E,I25,户型资产表!H:H,"餐桌")&gt;0,"有","无")</f>
        <v>无</v>
      </c>
      <c r="AA25" s="52" t="str">
        <f>IF(COUNTIFS(户型资产表!E:E,I25,户型资产表!H:H,"吸油烟机")&gt;0,"有","无")</f>
        <v>无</v>
      </c>
      <c r="AB25" s="52" t="str">
        <f>IF(COUNTIFS(户型资产表!E:E,I25,户型资产表!H:H,"冰箱")&gt;0,"有","无")</f>
        <v>无</v>
      </c>
      <c r="AC25" s="52" t="str">
        <f>IF(COUNTIFS(户型资产表!E:E,I25,户型资产表!H:H,"电视柜")&gt;0,"有","无")</f>
        <v>无</v>
      </c>
      <c r="AD25" s="51" t="str">
        <f t="shared" ref="AD25:AD39" si="15">IF(J25="开间",IF(AND(V25="无",W25="无"),"缺失",IF(AND(V25="无",W25="有"),"缺失（操作台）",IF(AND(V25="有",W25="无"),"缺失（书桌）",IF(AND(V25="有",W25="有"),IF(OR(AA25="有",Y25="有"),"充足（油烟机/双人沙发）",IF(OR(X25="有",Z25="有"),"充足（单人沙发/餐桌）",IF(AND(OR(X25="有",Y25="有"),Z25="有"),"非常充足","适中"))),"")))),"适中")</f>
        <v>适中</v>
      </c>
      <c r="AE25" s="52">
        <f>VLOOKUP($AD$1&amp;AD25,【1】定价因子!E:F,2,0)</f>
        <v>1</v>
      </c>
      <c r="AF25" s="51" t="str">
        <f t="shared" ref="AF25:AF39" si="16">IF(J25="一居室",IF(AND(V25="无",Y25="无",Z25="无"),"缺失",IF(OR(AND(Z25="有",V25="无",Y25="无"),AND(Z25="有",V25="无",Y25="有"),AND(Z25="有",V25="有",Y25="无"),AND(Z25="无",V25="有",Y25="无"),AND(Z25="无",V25="无",Y25="有")),"缺失（操作台/双人沙发）",IF(AND(V25="有",Y25="有",Z25="无"),"缺失（餐桌）",IF(AND(V25="有",Y25="有",Z25="有"),IF(AND(W25="无",AA25="有"),"充配（油烟机）",IF(AND(W25="有",AA25="无"),"充配（书桌）",IF(AND(W25="有",AA25="有"),"非常充配","适中"))),"")))),"适中")</f>
        <v>适中</v>
      </c>
      <c r="AG25" s="52">
        <f>VLOOKUP($AF$1&amp;AF25,【1】定价因子!E:F,2,0)</f>
        <v>1</v>
      </c>
      <c r="AH25" s="51" t="str">
        <f t="shared" ref="AH25:AH39" si="17">IF(J25="二居室",IF(AND(Y25="无",Z25="无",AC25="无",V25="无"),"缺失",IF(OR(AND(Y25="无",Z25="无",AC25="有"),AND(Y25="无",Z25="无",V25="有"),AND(Y25="无",Z25="无",AC25="有",V25="有"),AND(Y25="无",Z25="有",AC25="无"),AND(Y25="无",Z25="有",V25="无"),AND(Y25="无",Z25="有",AC25="有"),AND(Y25="无",Z25="有",V25="有"),AND(Y25="有",Z25="无",AC25="无"),AND(Y25="有",Z25="无",V25="无"),AND(Y25="有",Z25="无",AC25="有"),AND(Y25="有",Z25="无",V25="有")),"缺失（沙发/餐桌）",IF(AND(Y25="有",Z25="有",OR(AC25="无",V25="无")),"缺失（电视柜/操作台）",IF(AND(Y25="有",Z25="有",AC25="有",V25="有"),IF(OR(AA25="有",AB25="有"),"充配（油烟机/冰箱）",IF(AND(AA25="无",AB25="无"),"适中","")),"")))),"适中")</f>
        <v>适中</v>
      </c>
      <c r="AI25" s="52">
        <f>VLOOKUP($AH$1&amp;AH25,【1】定价因子!E:F,2,0)</f>
        <v>1</v>
      </c>
      <c r="AJ25" s="52" t="str">
        <f>VLOOKUP(H25,'【3-1】大区填-采光基本要素'!A:H,8,0)</f>
        <v>2</v>
      </c>
      <c r="AK25" s="52">
        <f>VLOOKUP($AJ$1&amp;AJ25,【1】定价因子!E:F,2,0)</f>
        <v>0.96</v>
      </c>
      <c r="AL25" s="53">
        <f t="shared" ref="AL25:AL39" si="18">L25*PRODUCT(AG25,AK25,AE25,U25,S25,Q25,O25)</f>
        <v>1576.57189536</v>
      </c>
      <c r="AM25" s="54">
        <v>1448</v>
      </c>
      <c r="AN25" s="55">
        <f t="shared" ref="AN25:AN39" si="19">AM25/AL25-1</f>
        <v>-0.0815515586307224</v>
      </c>
      <c r="AO25" s="56">
        <f t="shared" si="9"/>
        <v>1458</v>
      </c>
    </row>
    <row r="26" spans="1:42">
      <c r="A26" s="47" t="str">
        <f>'【2】运营中心填-基本信息&amp;审核标准'!$E$2</f>
        <v>福围广生7-16、17栋</v>
      </c>
      <c r="B26" s="13"/>
      <c r="C26" s="13"/>
      <c r="D26" s="13"/>
      <c r="E26" s="13"/>
      <c r="F26" s="13"/>
      <c r="G26" s="13"/>
      <c r="H26" s="48">
        <v>311</v>
      </c>
      <c r="I26" s="49" t="s">
        <v>492</v>
      </c>
      <c r="J26" s="49" t="s">
        <v>40</v>
      </c>
      <c r="K26" s="13"/>
      <c r="L26" s="50">
        <f>VLOOKUP(J26,'【3】大区填-楼栋基准格局定价'!B:H,7,0)</f>
        <v>1658.8509</v>
      </c>
      <c r="M26" s="51" t="s">
        <v>63</v>
      </c>
      <c r="N26" s="51">
        <v>16.65</v>
      </c>
      <c r="O26" s="52"/>
      <c r="P26" s="52" t="str">
        <f>IF(COUNTIFS(户型资产表!E:E,I26,户型资产表!H:H,"阳台门")&gt;0,"有","无")</f>
        <v>无</v>
      </c>
      <c r="Q26" s="52"/>
      <c r="R26" s="52" t="str">
        <f>IF('【2】运营中心填-基本信息&amp;审核标准'!$D$4="是","无",IF(INT(H26/100)&gt;9,"9F",INT(H26/100)&amp;"F"))</f>
        <v>无</v>
      </c>
      <c r="S26" s="52">
        <f>VLOOKUP(R26,【1】定价因子!D:F,3,0)</f>
        <v>1</v>
      </c>
      <c r="T26" s="52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2-3F</v>
      </c>
      <c r="U26" s="52">
        <f>VLOOKUP($T$1&amp;T26,【1】定价因子!E:F,2,0)</f>
        <v>0.99</v>
      </c>
      <c r="V26" s="52" t="str">
        <f>IF(COUNTIFS(户型资产表!E:E,I26,户型资产表!H:H,"操作台")&gt;0,"有","无")</f>
        <v>有</v>
      </c>
      <c r="W26" s="52" t="str">
        <f>IF(COUNTIFS(户型资产表!E:E,I26,户型资产表!H:H,"书桌")&gt;0,"有","无")</f>
        <v>有</v>
      </c>
      <c r="X26" s="52" t="str" cm="1">
        <f t="array" ref="X26">IF(SUMPRODUCT((户型资产表!E:E=I26)*((户型资产表!I:I="沙发01单人")+(户型资产表!I:I="单人沙发02")))&gt;0,"有","无")</f>
        <v>无</v>
      </c>
      <c r="Y26" s="52" t="str" cm="1">
        <f t="array" ref="Y26">IF(SUMPRODUCT((户型资产表!E:E=I26)*((户型资产表!I:I="沙发02两人")+(户型资产表!I:I="双人沙发01")))&gt;0,"有","无")</f>
        <v>无</v>
      </c>
      <c r="Z26" s="52" t="str">
        <f>IF(COUNTIFS(户型资产表!E:E,I26,户型资产表!H:H,"餐桌")&gt;0,"有","无")</f>
        <v>无</v>
      </c>
      <c r="AA26" s="52" t="str">
        <f>IF(COUNTIFS(户型资产表!E:E,I26,户型资产表!H:H,"吸油烟机")&gt;0,"有","无")</f>
        <v>无</v>
      </c>
      <c r="AB26" s="52" t="str">
        <f>IF(COUNTIFS(户型资产表!E:E,I26,户型资产表!H:H,"冰箱")&gt;0,"有","无")</f>
        <v>无</v>
      </c>
      <c r="AC26" s="52" t="str">
        <f>IF(COUNTIFS(户型资产表!E:E,I26,户型资产表!H:H,"电视柜")&gt;0,"有","无")</f>
        <v>无</v>
      </c>
      <c r="AD26" s="51" t="str">
        <f t="shared" si="15"/>
        <v>适中</v>
      </c>
      <c r="AE26" s="52">
        <f>VLOOKUP($AD$1&amp;AD26,【1】定价因子!E:F,2,0)</f>
        <v>1</v>
      </c>
      <c r="AF26" s="51" t="str">
        <f t="shared" si="16"/>
        <v>适中</v>
      </c>
      <c r="AG26" s="52">
        <f>VLOOKUP($AF$1&amp;AF26,【1】定价因子!E:F,2,0)</f>
        <v>1</v>
      </c>
      <c r="AH26" s="51" t="str">
        <f t="shared" si="17"/>
        <v>适中</v>
      </c>
      <c r="AI26" s="52">
        <f>VLOOKUP($AH$1&amp;AH26,【1】定价因子!E:F,2,0)</f>
        <v>1</v>
      </c>
      <c r="AJ26" s="52" t="str">
        <f>VLOOKUP(H26,'【3-1】大区填-采光基本要素'!A:H,8,0)</f>
        <v>2</v>
      </c>
      <c r="AK26" s="52">
        <f>VLOOKUP($AJ$1&amp;AJ26,【1】定价因子!E:F,2,0)</f>
        <v>0.96</v>
      </c>
      <c r="AL26" s="53">
        <f t="shared" si="18"/>
        <v>1576.57189536</v>
      </c>
      <c r="AM26" s="54">
        <v>1448</v>
      </c>
      <c r="AN26" s="55">
        <f t="shared" si="19"/>
        <v>-0.0815515586307224</v>
      </c>
      <c r="AO26" s="56">
        <f t="shared" si="9"/>
        <v>1458</v>
      </c>
    </row>
    <row r="27" spans="1:42">
      <c r="A27" s="47" t="str">
        <f>'【2】运营中心填-基本信息&amp;审核标准'!$E$2</f>
        <v>福围广生7-16、17栋</v>
      </c>
      <c r="B27" s="13"/>
      <c r="C27" s="13"/>
      <c r="D27" s="13"/>
      <c r="E27" s="13"/>
      <c r="F27" s="13"/>
      <c r="G27" s="13"/>
      <c r="H27" s="48">
        <v>312</v>
      </c>
      <c r="I27" s="49" t="s">
        <v>494</v>
      </c>
      <c r="J27" s="49" t="s">
        <v>40</v>
      </c>
      <c r="K27" s="13"/>
      <c r="L27" s="50">
        <f>VLOOKUP(J27,'【3】大区填-楼栋基准格局定价'!B:H,7,0)</f>
        <v>1658.8509</v>
      </c>
      <c r="M27" s="51" t="s">
        <v>61</v>
      </c>
      <c r="N27" s="51">
        <v>17.58</v>
      </c>
      <c r="O27" s="52"/>
      <c r="P27" s="52" t="str">
        <f>IF(COUNTIFS(户型资产表!E:E,I27,户型资产表!H:H,"阳台门")&gt;0,"有","无")</f>
        <v>无</v>
      </c>
      <c r="Q27" s="52"/>
      <c r="R27" s="52" t="str">
        <f>IF('【2】运营中心填-基本信息&amp;审核标准'!$D$4="是","无",IF(INT(H27/100)&gt;9,"9F",INT(H27/100)&amp;"F"))</f>
        <v>无</v>
      </c>
      <c r="S27" s="52">
        <f>VLOOKUP(R27,【1】定价因子!D:F,3,0)</f>
        <v>1</v>
      </c>
      <c r="T27" s="52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2-3F</v>
      </c>
      <c r="U27" s="52">
        <f>VLOOKUP($T$1&amp;T27,【1】定价因子!E:F,2,0)</f>
        <v>0.99</v>
      </c>
      <c r="V27" s="52" t="str">
        <f>IF(COUNTIFS(户型资产表!E:E,I27,户型资产表!H:H,"操作台")&gt;0,"有","无")</f>
        <v>有</v>
      </c>
      <c r="W27" s="52" t="str">
        <f>IF(COUNTIFS(户型资产表!E:E,I27,户型资产表!H:H,"书桌")&gt;0,"有","无")</f>
        <v>有</v>
      </c>
      <c r="X27" s="52" t="str" cm="1">
        <f t="array" ref="X27">IF(SUMPRODUCT((户型资产表!E:E=I27)*((户型资产表!I:I="沙发01单人")+(户型资产表!I:I="单人沙发02")))&gt;0,"有","无")</f>
        <v>无</v>
      </c>
      <c r="Y27" s="52" t="str" cm="1">
        <f t="array" ref="Y27">IF(SUMPRODUCT((户型资产表!E:E=I27)*((户型资产表!I:I="沙发02两人")+(户型资产表!I:I="双人沙发01")))&gt;0,"有","无")</f>
        <v>无</v>
      </c>
      <c r="Z27" s="52" t="str">
        <f>IF(COUNTIFS(户型资产表!E:E,I27,户型资产表!H:H,"餐桌")&gt;0,"有","无")</f>
        <v>无</v>
      </c>
      <c r="AA27" s="52" t="str">
        <f>IF(COUNTIFS(户型资产表!E:E,I27,户型资产表!H:H,"吸油烟机")&gt;0,"有","无")</f>
        <v>无</v>
      </c>
      <c r="AB27" s="52" t="str">
        <f>IF(COUNTIFS(户型资产表!E:E,I27,户型资产表!H:H,"冰箱")&gt;0,"有","无")</f>
        <v>无</v>
      </c>
      <c r="AC27" s="52" t="str">
        <f>IF(COUNTIFS(户型资产表!E:E,I27,户型资产表!H:H,"电视柜")&gt;0,"有","无")</f>
        <v>无</v>
      </c>
      <c r="AD27" s="51" t="str">
        <f t="shared" si="15"/>
        <v>适中</v>
      </c>
      <c r="AE27" s="52">
        <f>VLOOKUP($AD$1&amp;AD27,【1】定价因子!E:F,2,0)</f>
        <v>1</v>
      </c>
      <c r="AF27" s="51" t="str">
        <f t="shared" si="16"/>
        <v>适中</v>
      </c>
      <c r="AG27" s="52">
        <f>VLOOKUP($AF$1&amp;AF27,【1】定价因子!E:F,2,0)</f>
        <v>1</v>
      </c>
      <c r="AH27" s="51" t="str">
        <f t="shared" si="17"/>
        <v>适中</v>
      </c>
      <c r="AI27" s="52">
        <f>VLOOKUP($AH$1&amp;AH27,【1】定价因子!E:F,2,0)</f>
        <v>1</v>
      </c>
      <c r="AJ27" s="52" t="str">
        <f>VLOOKUP(H27,'【3-1】大区填-采光基本要素'!A:H,8,0)</f>
        <v>2</v>
      </c>
      <c r="AK27" s="52">
        <f>VLOOKUP($AJ$1&amp;AJ27,【1】定价因子!E:F,2,0)</f>
        <v>0.96</v>
      </c>
      <c r="AL27" s="53">
        <f t="shared" si="18"/>
        <v>1576.57189536</v>
      </c>
      <c r="AM27" s="54">
        <v>1448</v>
      </c>
      <c r="AN27" s="55">
        <f t="shared" si="19"/>
        <v>-0.0815515586307224</v>
      </c>
      <c r="AO27" s="56">
        <f t="shared" si="9"/>
        <v>1458</v>
      </c>
    </row>
    <row r="28" s="34" customFormat="1" spans="1:42">
      <c r="A28" s="57" t="str">
        <f>'【2】运营中心填-基本信息&amp;审核标准'!$E$2</f>
        <v>福围广生7-16、17栋</v>
      </c>
      <c r="B28" s="57"/>
      <c r="C28" s="57"/>
      <c r="D28" s="57"/>
      <c r="E28" s="57"/>
      <c r="F28" s="57"/>
      <c r="G28" s="57"/>
      <c r="H28" s="58">
        <v>313</v>
      </c>
      <c r="I28" s="59" t="s">
        <v>493</v>
      </c>
      <c r="J28" s="59" t="s">
        <v>43</v>
      </c>
      <c r="K28" s="57"/>
      <c r="L28" s="60">
        <f>VLOOKUP(J28,'【3】大区填-楼栋基准格局定价'!B:H,7,0)</f>
        <v>2472.1725</v>
      </c>
      <c r="M28" s="61" t="s">
        <v>65</v>
      </c>
      <c r="N28" s="61">
        <v>20.18</v>
      </c>
      <c r="O28" s="57"/>
      <c r="P28" s="57" t="str">
        <f>IF(COUNTIFS(户型资产表!E:E,I28,户型资产表!H:H,"阳台门")&gt;0,"有","无")</f>
        <v>无</v>
      </c>
      <c r="Q28" s="57"/>
      <c r="R28" s="57" t="str">
        <f>IF('【2】运营中心填-基本信息&amp;审核标准'!$D$4="是","无",IF(INT(H28/100)&gt;9,"9F",INT(H28/100)&amp;"F"))</f>
        <v>无</v>
      </c>
      <c r="S28" s="57">
        <f>VLOOKUP(R28,【1】定价因子!D:F,3,0)</f>
        <v>1</v>
      </c>
      <c r="T28" s="57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2-3F</v>
      </c>
      <c r="U28" s="57">
        <f>VLOOKUP($T$1&amp;T28,【1】定价因子!E:F,2,0)</f>
        <v>0.99</v>
      </c>
      <c r="V28" s="57" t="str">
        <f>IF(COUNTIFS(户型资产表!E:E,I28,户型资产表!H:H,"操作台")&gt;0,"有","无")</f>
        <v>有</v>
      </c>
      <c r="W28" s="57" t="str">
        <f>IF(COUNTIFS(户型资产表!E:E,I28,户型资产表!H:H,"书桌")&gt;0,"有","无")</f>
        <v>无</v>
      </c>
      <c r="X28" s="57" t="str" cm="1">
        <f t="array" ref="X28">IF(SUMPRODUCT((户型资产表!E:E=I28)*((户型资产表!I:I="沙发01单人")+(户型资产表!I:I="单人沙发02")))&gt;0,"有","无")</f>
        <v>无</v>
      </c>
      <c r="Y28" s="57" t="str" cm="1">
        <f t="array" ref="Y28">IF(SUMPRODUCT((户型资产表!E:E=I28)*((户型资产表!I:I="沙发02两人")+(户型资产表!I:I="双人沙发01")))&gt;0,"有","无")</f>
        <v>有</v>
      </c>
      <c r="Z28" s="57" t="str">
        <f>IF(COUNTIFS(户型资产表!E:E,I28,户型资产表!H:H,"餐桌")&gt;0,"有","无")</f>
        <v>有</v>
      </c>
      <c r="AA28" s="57" t="str">
        <f>IF(COUNTIFS(户型资产表!E:E,I28,户型资产表!H:H,"吸油烟机")&gt;0,"有","无")</f>
        <v>无</v>
      </c>
      <c r="AB28" s="57" t="str">
        <f>IF(COUNTIFS(户型资产表!E:E,I28,户型资产表!H:H,"冰箱")&gt;0,"有","无")</f>
        <v>无</v>
      </c>
      <c r="AC28" s="57" t="str">
        <f>IF(COUNTIFS(户型资产表!E:E,I28,户型资产表!H:H,"电视柜")&gt;0,"有","无")</f>
        <v>无</v>
      </c>
      <c r="AD28" s="61" t="str">
        <f t="shared" si="15"/>
        <v>适中</v>
      </c>
      <c r="AE28" s="57">
        <f>VLOOKUP($AD$1&amp;AD28,【1】定价因子!E:F,2,0)</f>
        <v>1</v>
      </c>
      <c r="AF28" s="61" t="str">
        <f t="shared" si="16"/>
        <v>适中</v>
      </c>
      <c r="AG28" s="57">
        <f>VLOOKUP($AF$1&amp;AF28,【1】定价因子!E:F,2,0)</f>
        <v>1</v>
      </c>
      <c r="AH28" s="61" t="str">
        <f t="shared" si="17"/>
        <v>适中</v>
      </c>
      <c r="AI28" s="57">
        <f>VLOOKUP($AH$1&amp;AH28,【1】定价因子!E:F,2,0)</f>
        <v>1</v>
      </c>
      <c r="AJ28" s="57" t="str">
        <f>VLOOKUP(H28,'【3-1】大区填-采光基本要素'!A:H,8,0)</f>
        <v>1</v>
      </c>
      <c r="AK28" s="57">
        <f>VLOOKUP($AJ$1&amp;AJ28,【1】定价因子!E:F,2,0)</f>
        <v>0.91</v>
      </c>
      <c r="AL28" s="62">
        <f t="shared" si="18"/>
        <v>2227.18020525</v>
      </c>
      <c r="AM28" s="63">
        <v>2080</v>
      </c>
      <c r="AN28" s="64">
        <f t="shared" si="19"/>
        <v>-0.0660836536276055</v>
      </c>
      <c r="AO28" s="65">
        <f t="shared" si="9"/>
        <v>2090</v>
      </c>
      <c r="AP28" s="34">
        <v>2248</v>
      </c>
    </row>
    <row r="29" spans="1:42">
      <c r="A29" s="47" t="str">
        <f>'【2】运营中心填-基本信息&amp;审核标准'!$E$2</f>
        <v>福围广生7-16、17栋</v>
      </c>
      <c r="B29" s="13"/>
      <c r="C29" s="13"/>
      <c r="D29" s="13"/>
      <c r="E29" s="13"/>
      <c r="F29" s="13"/>
      <c r="G29" s="13"/>
      <c r="H29" s="48">
        <v>314</v>
      </c>
      <c r="I29" s="49" t="s">
        <v>491</v>
      </c>
      <c r="J29" s="49" t="s">
        <v>43</v>
      </c>
      <c r="K29" s="13"/>
      <c r="L29" s="50">
        <f>VLOOKUP(J29,'【3】大区填-楼栋基准格局定价'!B:H,7,0)</f>
        <v>2472.1725</v>
      </c>
      <c r="M29" s="51" t="s">
        <v>63</v>
      </c>
      <c r="N29" s="51">
        <v>23.39</v>
      </c>
      <c r="O29" s="52"/>
      <c r="P29" s="52" t="str">
        <f>IF(COUNTIFS(户型资产表!E:E,I29,户型资产表!H:H,"阳台门")&gt;0,"有","无")</f>
        <v>无</v>
      </c>
      <c r="Q29" s="52"/>
      <c r="R29" s="52" t="str">
        <f>IF('【2】运营中心填-基本信息&amp;审核标准'!$D$4="是","无",IF(INT(H29/100)&gt;9,"9F",INT(H29/100)&amp;"F"))</f>
        <v>无</v>
      </c>
      <c r="S29" s="52">
        <f>VLOOKUP(R29,【1】定价因子!D:F,3,0)</f>
        <v>1</v>
      </c>
      <c r="T29" s="52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2-3F</v>
      </c>
      <c r="U29" s="52">
        <f>VLOOKUP($T$1&amp;T29,【1】定价因子!E:F,2,0)</f>
        <v>0.99</v>
      </c>
      <c r="V29" s="52" t="str">
        <f>IF(COUNTIFS(户型资产表!E:E,I29,户型资产表!H:H,"操作台")&gt;0,"有","无")</f>
        <v>有</v>
      </c>
      <c r="W29" s="52" t="str">
        <f>IF(COUNTIFS(户型资产表!E:E,I29,户型资产表!H:H,"书桌")&gt;0,"有","无")</f>
        <v>无</v>
      </c>
      <c r="X29" s="52" t="str" cm="1">
        <f t="array" ref="X29">IF(SUMPRODUCT((户型资产表!E:E=I29)*((户型资产表!I:I="沙发01单人")+(户型资产表!I:I="单人沙发02")))&gt;0,"有","无")</f>
        <v>无</v>
      </c>
      <c r="Y29" s="52" t="str" cm="1">
        <f t="array" ref="Y29">IF(SUMPRODUCT((户型资产表!E:E=I29)*((户型资产表!I:I="沙发02两人")+(户型资产表!I:I="双人沙发01")))&gt;0,"有","无")</f>
        <v>有</v>
      </c>
      <c r="Z29" s="52" t="str">
        <f>IF(COUNTIFS(户型资产表!E:E,I29,户型资产表!H:H,"餐桌")&gt;0,"有","无")</f>
        <v>有</v>
      </c>
      <c r="AA29" s="52" t="str">
        <f>IF(COUNTIFS(户型资产表!E:E,I29,户型资产表!H:H,"吸油烟机")&gt;0,"有","无")</f>
        <v>无</v>
      </c>
      <c r="AB29" s="52" t="str">
        <f>IF(COUNTIFS(户型资产表!E:E,I29,户型资产表!H:H,"冰箱")&gt;0,"有","无")</f>
        <v>无</v>
      </c>
      <c r="AC29" s="52" t="str">
        <f>IF(COUNTIFS(户型资产表!E:E,I29,户型资产表!H:H,"电视柜")&gt;0,"有","无")</f>
        <v>无</v>
      </c>
      <c r="AD29" s="51" t="str">
        <f t="shared" si="15"/>
        <v>适中</v>
      </c>
      <c r="AE29" s="52">
        <f>VLOOKUP($AD$1&amp;AD29,【1】定价因子!E:F,2,0)</f>
        <v>1</v>
      </c>
      <c r="AF29" s="51" t="str">
        <f t="shared" si="16"/>
        <v>适中</v>
      </c>
      <c r="AG29" s="52">
        <f>VLOOKUP($AF$1&amp;AF29,【1】定价因子!E:F,2,0)</f>
        <v>1</v>
      </c>
      <c r="AH29" s="51" t="str">
        <f t="shared" si="17"/>
        <v>适中</v>
      </c>
      <c r="AI29" s="52">
        <f>VLOOKUP($AH$1&amp;AH29,【1】定价因子!E:F,2,0)</f>
        <v>1</v>
      </c>
      <c r="AJ29" s="52" t="str">
        <f>VLOOKUP(H29,'【3-1】大区填-采光基本要素'!A:H,8,0)</f>
        <v>1</v>
      </c>
      <c r="AK29" s="52">
        <f>VLOOKUP($AJ$1&amp;AJ29,【1】定价因子!E:F,2,0)</f>
        <v>0.91</v>
      </c>
      <c r="AL29" s="53">
        <f t="shared" si="18"/>
        <v>2227.18020525</v>
      </c>
      <c r="AM29" s="54">
        <v>2248.19</v>
      </c>
      <c r="AN29" s="55">
        <f t="shared" si="19"/>
        <v>0.00943336093795866</v>
      </c>
      <c r="AO29" s="56">
        <f t="shared" si="9"/>
        <v>2258.19</v>
      </c>
    </row>
    <row r="30" spans="1:42">
      <c r="A30" s="47" t="str">
        <f>'【2】运营中心填-基本信息&amp;审核标准'!$E$2</f>
        <v>福围广生7-16、17栋</v>
      </c>
      <c r="B30" s="13"/>
      <c r="C30" s="13"/>
      <c r="D30" s="13"/>
      <c r="E30" s="13"/>
      <c r="F30" s="13"/>
      <c r="G30" s="13"/>
      <c r="H30" s="48">
        <v>401</v>
      </c>
      <c r="I30" s="49" t="s">
        <v>491</v>
      </c>
      <c r="J30" s="49" t="s">
        <v>43</v>
      </c>
      <c r="K30" s="13"/>
      <c r="L30" s="50">
        <f>VLOOKUP(J30,'【3】大区填-楼栋基准格局定价'!B:H,7,0)</f>
        <v>2472.1725</v>
      </c>
      <c r="M30" s="51" t="s">
        <v>65</v>
      </c>
      <c r="N30" s="51">
        <v>22.14</v>
      </c>
      <c r="O30" s="52"/>
      <c r="P30" s="52" t="str">
        <f>IF(COUNTIFS(户型资产表!E:E,I30,户型资产表!H:H,"阳台门")&gt;0,"有","无")</f>
        <v>无</v>
      </c>
      <c r="Q30" s="52"/>
      <c r="R30" s="52" t="str">
        <f>IF('【2】运营中心填-基本信息&amp;审核标准'!$D$4="是","无",IF(INT(H30/100)&gt;9,"9F",INT(H30/100)&amp;"F"))</f>
        <v>无</v>
      </c>
      <c r="S30" s="52">
        <f>VLOOKUP(R30,【1】定价因子!D:F,3,0)</f>
        <v>1</v>
      </c>
      <c r="T30" s="52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4F</v>
      </c>
      <c r="U30" s="52">
        <f>VLOOKUP($T$1&amp;T30,【1】定价因子!E:F,2,0)</f>
        <v>1</v>
      </c>
      <c r="V30" s="52" t="str">
        <f>IF(COUNTIFS(户型资产表!E:E,I30,户型资产表!H:H,"操作台")&gt;0,"有","无")</f>
        <v>有</v>
      </c>
      <c r="W30" s="52" t="str">
        <f>IF(COUNTIFS(户型资产表!E:E,I30,户型资产表!H:H,"书桌")&gt;0,"有","无")</f>
        <v>无</v>
      </c>
      <c r="X30" s="52" t="str" cm="1">
        <f t="array" ref="X30">IF(SUMPRODUCT((户型资产表!E:E=I30)*((户型资产表!I:I="沙发01单人")+(户型资产表!I:I="单人沙发02")))&gt;0,"有","无")</f>
        <v>无</v>
      </c>
      <c r="Y30" s="52" t="str" cm="1">
        <f t="array" ref="Y30">IF(SUMPRODUCT((户型资产表!E:E=I30)*((户型资产表!I:I="沙发02两人")+(户型资产表!I:I="双人沙发01")))&gt;0,"有","无")</f>
        <v>有</v>
      </c>
      <c r="Z30" s="52" t="str">
        <f>IF(COUNTIFS(户型资产表!E:E,I30,户型资产表!H:H,"餐桌")&gt;0,"有","无")</f>
        <v>有</v>
      </c>
      <c r="AA30" s="52" t="str">
        <f>IF(COUNTIFS(户型资产表!E:E,I30,户型资产表!H:H,"吸油烟机")&gt;0,"有","无")</f>
        <v>无</v>
      </c>
      <c r="AB30" s="52" t="str">
        <f>IF(COUNTIFS(户型资产表!E:E,I30,户型资产表!H:H,"冰箱")&gt;0,"有","无")</f>
        <v>无</v>
      </c>
      <c r="AC30" s="52" t="str">
        <f>IF(COUNTIFS(户型资产表!E:E,I30,户型资产表!H:H,"电视柜")&gt;0,"有","无")</f>
        <v>无</v>
      </c>
      <c r="AD30" s="51" t="str">
        <f t="shared" si="15"/>
        <v>适中</v>
      </c>
      <c r="AE30" s="52">
        <f>VLOOKUP($AD$1&amp;AD30,【1】定价因子!E:F,2,0)</f>
        <v>1</v>
      </c>
      <c r="AF30" s="51" t="str">
        <f t="shared" si="16"/>
        <v>适中</v>
      </c>
      <c r="AG30" s="52">
        <f>VLOOKUP($AF$1&amp;AF30,【1】定价因子!E:F,2,0)</f>
        <v>1</v>
      </c>
      <c r="AH30" s="51" t="str">
        <f t="shared" si="17"/>
        <v>适中</v>
      </c>
      <c r="AI30" s="52">
        <f>VLOOKUP($AH$1&amp;AH30,【1】定价因子!E:F,2,0)</f>
        <v>1</v>
      </c>
      <c r="AJ30" s="52" t="str">
        <f>VLOOKUP(H30,'【3-1】大区填-采光基本要素'!A:H,8,0)</f>
        <v>1</v>
      </c>
      <c r="AK30" s="52">
        <f>VLOOKUP($AJ$1&amp;AJ30,【1】定价因子!E:F,2,0)</f>
        <v>0.91</v>
      </c>
      <c r="AL30" s="53">
        <f t="shared" si="18"/>
        <v>2249.676975</v>
      </c>
      <c r="AM30" s="54">
        <v>2068.19</v>
      </c>
      <c r="AN30" s="55">
        <f t="shared" si="19"/>
        <v>-0.080672459653902</v>
      </c>
      <c r="AO30" s="56">
        <f t="shared" si="9"/>
        <v>2078.19</v>
      </c>
    </row>
    <row r="31" spans="1:42">
      <c r="A31" s="47" t="str">
        <f>'【2】运营中心填-基本信息&amp;审核标准'!$E$2</f>
        <v>福围广生7-16、17栋</v>
      </c>
      <c r="B31" s="13"/>
      <c r="C31" s="13"/>
      <c r="D31" s="13"/>
      <c r="E31" s="13"/>
      <c r="F31" s="13"/>
      <c r="G31" s="13"/>
      <c r="H31" s="48">
        <v>402</v>
      </c>
      <c r="I31" s="49" t="s">
        <v>492</v>
      </c>
      <c r="J31" s="49" t="s">
        <v>40</v>
      </c>
      <c r="K31" s="13"/>
      <c r="L31" s="50">
        <f>VLOOKUP(J31,'【3】大区填-楼栋基准格局定价'!B:H,7,0)</f>
        <v>1658.8509</v>
      </c>
      <c r="M31" s="51" t="s">
        <v>58</v>
      </c>
      <c r="N31" s="51">
        <v>21.67</v>
      </c>
      <c r="O31" s="52"/>
      <c r="P31" s="52" t="str">
        <f>IF(COUNTIFS(户型资产表!E:E,I31,户型资产表!H:H,"阳台门")&gt;0,"有","无")</f>
        <v>无</v>
      </c>
      <c r="Q31" s="52"/>
      <c r="R31" s="52" t="str">
        <f>IF('【2】运营中心填-基本信息&amp;审核标准'!$D$4="是","无",IF(INT(H31/100)&gt;9,"9F",INT(H31/100)&amp;"F"))</f>
        <v>无</v>
      </c>
      <c r="S31" s="52">
        <f>VLOOKUP(R31,【1】定价因子!D:F,3,0)</f>
        <v>1</v>
      </c>
      <c r="T31" s="52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4F</v>
      </c>
      <c r="U31" s="52">
        <f>VLOOKUP($T$1&amp;T31,【1】定价因子!E:F,2,0)</f>
        <v>1</v>
      </c>
      <c r="V31" s="52" t="str">
        <f>IF(COUNTIFS(户型资产表!E:E,I31,户型资产表!H:H,"操作台")&gt;0,"有","无")</f>
        <v>有</v>
      </c>
      <c r="W31" s="52" t="str">
        <f>IF(COUNTIFS(户型资产表!E:E,I31,户型资产表!H:H,"书桌")&gt;0,"有","无")</f>
        <v>有</v>
      </c>
      <c r="X31" s="52" t="str" cm="1">
        <f t="array" ref="X31">IF(SUMPRODUCT((户型资产表!E:E=I31)*((户型资产表!I:I="沙发01单人")+(户型资产表!I:I="单人沙发02")))&gt;0,"有","无")</f>
        <v>无</v>
      </c>
      <c r="Y31" s="52" t="str" cm="1">
        <f t="array" ref="Y31">IF(SUMPRODUCT((户型资产表!E:E=I31)*((户型资产表!I:I="沙发02两人")+(户型资产表!I:I="双人沙发01")))&gt;0,"有","无")</f>
        <v>无</v>
      </c>
      <c r="Z31" s="52" t="str">
        <f>IF(COUNTIFS(户型资产表!E:E,I31,户型资产表!H:H,"餐桌")&gt;0,"有","无")</f>
        <v>无</v>
      </c>
      <c r="AA31" s="52" t="str">
        <f>IF(COUNTIFS(户型资产表!E:E,I31,户型资产表!H:H,"吸油烟机")&gt;0,"有","无")</f>
        <v>无</v>
      </c>
      <c r="AB31" s="52" t="str">
        <f>IF(COUNTIFS(户型资产表!E:E,I31,户型资产表!H:H,"冰箱")&gt;0,"有","无")</f>
        <v>无</v>
      </c>
      <c r="AC31" s="52" t="str">
        <f>IF(COUNTIFS(户型资产表!E:E,I31,户型资产表!H:H,"电视柜")&gt;0,"有","无")</f>
        <v>无</v>
      </c>
      <c r="AD31" s="51" t="str">
        <f t="shared" si="15"/>
        <v>适中</v>
      </c>
      <c r="AE31" s="52">
        <f>VLOOKUP($AD$1&amp;AD31,【1】定价因子!E:F,2,0)</f>
        <v>1</v>
      </c>
      <c r="AF31" s="51" t="str">
        <f t="shared" si="16"/>
        <v>适中</v>
      </c>
      <c r="AG31" s="52">
        <f>VLOOKUP($AF$1&amp;AF31,【1】定价因子!E:F,2,0)</f>
        <v>1</v>
      </c>
      <c r="AH31" s="51" t="str">
        <f t="shared" si="17"/>
        <v>适中</v>
      </c>
      <c r="AI31" s="52">
        <f>VLOOKUP($AH$1&amp;AH31,【1】定价因子!E:F,2,0)</f>
        <v>1</v>
      </c>
      <c r="AJ31" s="52" t="str">
        <f>VLOOKUP(H31,'【3-1】大区填-采光基本要素'!A:H,8,0)</f>
        <v>2</v>
      </c>
      <c r="AK31" s="52">
        <f>VLOOKUP($AJ$1&amp;AJ31,【1】定价因子!E:F,2,0)</f>
        <v>0.96</v>
      </c>
      <c r="AL31" s="53">
        <f t="shared" si="18"/>
        <v>1592.496864</v>
      </c>
      <c r="AM31" s="54">
        <v>1458</v>
      </c>
      <c r="AN31" s="55">
        <f t="shared" si="19"/>
        <v>-0.0844565958278709</v>
      </c>
      <c r="AO31" s="56">
        <f t="shared" si="9"/>
        <v>1468</v>
      </c>
    </row>
    <row r="32" s="34" customFormat="1" spans="1:42">
      <c r="A32" s="57" t="str">
        <f>'【2】运营中心填-基本信息&amp;审核标准'!$E$2</f>
        <v>福围广生7-16、17栋</v>
      </c>
      <c r="B32" s="57"/>
      <c r="C32" s="57"/>
      <c r="D32" s="57"/>
      <c r="E32" s="57"/>
      <c r="F32" s="57"/>
      <c r="G32" s="57"/>
      <c r="H32" s="58">
        <v>403</v>
      </c>
      <c r="I32" s="59" t="s">
        <v>492</v>
      </c>
      <c r="J32" s="59" t="s">
        <v>40</v>
      </c>
      <c r="K32" s="57"/>
      <c r="L32" s="60">
        <f>VLOOKUP(J32,'【3】大区填-楼栋基准格局定价'!B:H,7,0)</f>
        <v>1658.8509</v>
      </c>
      <c r="M32" s="61" t="s">
        <v>63</v>
      </c>
      <c r="N32" s="61">
        <v>16.32</v>
      </c>
      <c r="O32" s="57"/>
      <c r="P32" s="57" t="str">
        <f>IF(COUNTIFS(户型资产表!E:E,I32,户型资产表!H:H,"阳台门")&gt;0,"有","无")</f>
        <v>无</v>
      </c>
      <c r="Q32" s="57"/>
      <c r="R32" s="57" t="str">
        <f>IF('【2】运营中心填-基本信息&amp;审核标准'!$D$4="是","无",IF(INT(H32/100)&gt;9,"9F",INT(H32/100)&amp;"F"))</f>
        <v>无</v>
      </c>
      <c r="S32" s="57">
        <f>VLOOKUP(R32,【1】定价因子!D:F,3,0)</f>
        <v>1</v>
      </c>
      <c r="T32" s="57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4F</v>
      </c>
      <c r="U32" s="57">
        <f>VLOOKUP($T$1&amp;T32,【1】定价因子!E:F,2,0)</f>
        <v>1</v>
      </c>
      <c r="V32" s="57" t="str">
        <f>IF(COUNTIFS(户型资产表!E:E,I32,户型资产表!H:H,"操作台")&gt;0,"有","无")</f>
        <v>有</v>
      </c>
      <c r="W32" s="57" t="str">
        <f>IF(COUNTIFS(户型资产表!E:E,I32,户型资产表!H:H,"书桌")&gt;0,"有","无")</f>
        <v>有</v>
      </c>
      <c r="X32" s="57" t="str" cm="1">
        <f t="array" ref="X32">IF(SUMPRODUCT((户型资产表!E:E=I32)*((户型资产表!I:I="沙发01单人")+(户型资产表!I:I="单人沙发02")))&gt;0,"有","无")</f>
        <v>无</v>
      </c>
      <c r="Y32" s="57" t="str" cm="1">
        <f t="array" ref="Y32">IF(SUMPRODUCT((户型资产表!E:E=I32)*((户型资产表!I:I="沙发02两人")+(户型资产表!I:I="双人沙发01")))&gt;0,"有","无")</f>
        <v>无</v>
      </c>
      <c r="Z32" s="57" t="str">
        <f>IF(COUNTIFS(户型资产表!E:E,I32,户型资产表!H:H,"餐桌")&gt;0,"有","无")</f>
        <v>无</v>
      </c>
      <c r="AA32" s="57" t="str">
        <f>IF(COUNTIFS(户型资产表!E:E,I32,户型资产表!H:H,"吸油烟机")&gt;0,"有","无")</f>
        <v>无</v>
      </c>
      <c r="AB32" s="57" t="str">
        <f>IF(COUNTIFS(户型资产表!E:E,I32,户型资产表!H:H,"冰箱")&gt;0,"有","无")</f>
        <v>无</v>
      </c>
      <c r="AC32" s="57" t="str">
        <f>IF(COUNTIFS(户型资产表!E:E,I32,户型资产表!H:H,"电视柜")&gt;0,"有","无")</f>
        <v>无</v>
      </c>
      <c r="AD32" s="61" t="str">
        <f t="shared" si="15"/>
        <v>适中</v>
      </c>
      <c r="AE32" s="57">
        <f>VLOOKUP($AD$1&amp;AD32,【1】定价因子!E:F,2,0)</f>
        <v>1</v>
      </c>
      <c r="AF32" s="61" t="str">
        <f t="shared" si="16"/>
        <v>适中</v>
      </c>
      <c r="AG32" s="57">
        <f>VLOOKUP($AF$1&amp;AF32,【1】定价因子!E:F,2,0)</f>
        <v>1</v>
      </c>
      <c r="AH32" s="61" t="str">
        <f t="shared" si="17"/>
        <v>适中</v>
      </c>
      <c r="AI32" s="57">
        <f>VLOOKUP($AH$1&amp;AH32,【1】定价因子!E:F,2,0)</f>
        <v>1</v>
      </c>
      <c r="AJ32" s="57" t="str">
        <f>VLOOKUP(H32,'【3-1】大区填-采光基本要素'!A:H,8,0)</f>
        <v>2</v>
      </c>
      <c r="AK32" s="57">
        <f>VLOOKUP($AJ$1&amp;AJ32,【1】定价因子!E:F,2,0)</f>
        <v>0.96</v>
      </c>
      <c r="AL32" s="62">
        <f t="shared" si="18"/>
        <v>1592.496864</v>
      </c>
      <c r="AM32" s="63">
        <v>1400</v>
      </c>
      <c r="AN32" s="64">
        <f t="shared" si="19"/>
        <v>-0.120877389683827</v>
      </c>
      <c r="AO32" s="65">
        <f t="shared" si="9"/>
        <v>1410</v>
      </c>
      <c r="AP32" s="34">
        <v>1458</v>
      </c>
    </row>
    <row r="33" s="34" customFormat="1" spans="1:42">
      <c r="A33" s="57" t="str">
        <f>'【2】运营中心填-基本信息&amp;审核标准'!$E$2</f>
        <v>福围广生7-16、17栋</v>
      </c>
      <c r="B33" s="57"/>
      <c r="C33" s="57"/>
      <c r="D33" s="57"/>
      <c r="E33" s="57"/>
      <c r="F33" s="57"/>
      <c r="G33" s="57"/>
      <c r="H33" s="58">
        <v>404</v>
      </c>
      <c r="I33" s="59" t="s">
        <v>491</v>
      </c>
      <c r="J33" s="59" t="s">
        <v>43</v>
      </c>
      <c r="K33" s="57"/>
      <c r="L33" s="60">
        <f>VLOOKUP(J33,'【3】大区填-楼栋基准格局定价'!B:H,7,0)</f>
        <v>2472.1725</v>
      </c>
      <c r="M33" s="61" t="s">
        <v>65</v>
      </c>
      <c r="N33" s="61">
        <v>20.73</v>
      </c>
      <c r="O33" s="57"/>
      <c r="P33" s="57" t="str">
        <f>IF(COUNTIFS(户型资产表!E:E,I33,户型资产表!H:H,"阳台门")&gt;0,"有","无")</f>
        <v>无</v>
      </c>
      <c r="Q33" s="57"/>
      <c r="R33" s="57" t="str">
        <f>IF('【2】运营中心填-基本信息&amp;审核标准'!$D$4="是","无",IF(INT(H33/100)&gt;9,"9F",INT(H33/100)&amp;"F"))</f>
        <v>无</v>
      </c>
      <c r="S33" s="57">
        <f>VLOOKUP(R33,【1】定价因子!D:F,3,0)</f>
        <v>1</v>
      </c>
      <c r="T33" s="57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4F</v>
      </c>
      <c r="U33" s="57">
        <f>VLOOKUP($T$1&amp;T33,【1】定价因子!E:F,2,0)</f>
        <v>1</v>
      </c>
      <c r="V33" s="57" t="str">
        <f>IF(COUNTIFS(户型资产表!E:E,I33,户型资产表!H:H,"操作台")&gt;0,"有","无")</f>
        <v>有</v>
      </c>
      <c r="W33" s="57" t="str">
        <f>IF(COUNTIFS(户型资产表!E:E,I33,户型资产表!H:H,"书桌")&gt;0,"有","无")</f>
        <v>无</v>
      </c>
      <c r="X33" s="57" t="str" cm="1">
        <f t="array" ref="X33">IF(SUMPRODUCT((户型资产表!E:E=I33)*((户型资产表!I:I="沙发01单人")+(户型资产表!I:I="单人沙发02")))&gt;0,"有","无")</f>
        <v>无</v>
      </c>
      <c r="Y33" s="57" t="str" cm="1">
        <f t="array" ref="Y33">IF(SUMPRODUCT((户型资产表!E:E=I33)*((户型资产表!I:I="沙发02两人")+(户型资产表!I:I="双人沙发01")))&gt;0,"有","无")</f>
        <v>有</v>
      </c>
      <c r="Z33" s="57" t="str">
        <f>IF(COUNTIFS(户型资产表!E:E,I33,户型资产表!H:H,"餐桌")&gt;0,"有","无")</f>
        <v>有</v>
      </c>
      <c r="AA33" s="57" t="str">
        <f>IF(COUNTIFS(户型资产表!E:E,I33,户型资产表!H:H,"吸油烟机")&gt;0,"有","无")</f>
        <v>无</v>
      </c>
      <c r="AB33" s="57" t="str">
        <f>IF(COUNTIFS(户型资产表!E:E,I33,户型资产表!H:H,"冰箱")&gt;0,"有","无")</f>
        <v>无</v>
      </c>
      <c r="AC33" s="57" t="str">
        <f>IF(COUNTIFS(户型资产表!E:E,I33,户型资产表!H:H,"电视柜")&gt;0,"有","无")</f>
        <v>无</v>
      </c>
      <c r="AD33" s="61" t="str">
        <f t="shared" si="15"/>
        <v>适中</v>
      </c>
      <c r="AE33" s="57">
        <f>VLOOKUP($AD$1&amp;AD33,【1】定价因子!E:F,2,0)</f>
        <v>1</v>
      </c>
      <c r="AF33" s="61" t="str">
        <f t="shared" si="16"/>
        <v>适中</v>
      </c>
      <c r="AG33" s="57">
        <f>VLOOKUP($AF$1&amp;AF33,【1】定价因子!E:F,2,0)</f>
        <v>1</v>
      </c>
      <c r="AH33" s="61" t="str">
        <f t="shared" si="17"/>
        <v>适中</v>
      </c>
      <c r="AI33" s="57">
        <f>VLOOKUP($AH$1&amp;AH33,【1】定价因子!E:F,2,0)</f>
        <v>1</v>
      </c>
      <c r="AJ33" s="57" t="str">
        <f>VLOOKUP(H33,'【3-1】大区填-采光基本要素'!A:H,8,0)</f>
        <v>1</v>
      </c>
      <c r="AK33" s="57">
        <f>VLOOKUP($AJ$1&amp;AJ33,【1】定价因子!E:F,2,0)</f>
        <v>0.91</v>
      </c>
      <c r="AL33" s="62">
        <f t="shared" si="18"/>
        <v>2249.676975</v>
      </c>
      <c r="AM33" s="63">
        <v>1950</v>
      </c>
      <c r="AN33" s="64">
        <f t="shared" si="19"/>
        <v>-0.133208891023121</v>
      </c>
      <c r="AO33" s="65">
        <f t="shared" si="9"/>
        <v>1960</v>
      </c>
      <c r="AP33" s="34">
        <v>2098</v>
      </c>
    </row>
    <row r="34" s="34" customFormat="1" spans="1:42">
      <c r="A34" s="57" t="str">
        <f>'【2】运营中心填-基本信息&amp;审核标准'!$E$2</f>
        <v>福围广生7-16、17栋</v>
      </c>
      <c r="B34" s="57"/>
      <c r="C34" s="57"/>
      <c r="D34" s="57"/>
      <c r="E34" s="57"/>
      <c r="F34" s="57"/>
      <c r="G34" s="57"/>
      <c r="H34" s="58">
        <v>405</v>
      </c>
      <c r="I34" s="59" t="s">
        <v>493</v>
      </c>
      <c r="J34" s="59" t="s">
        <v>43</v>
      </c>
      <c r="K34" s="57"/>
      <c r="L34" s="60">
        <f>VLOOKUP(J34,'【3】大区填-楼栋基准格局定价'!B:H,7,0)</f>
        <v>2472.1725</v>
      </c>
      <c r="M34" s="61" t="s">
        <v>65</v>
      </c>
      <c r="N34" s="61">
        <v>21.83</v>
      </c>
      <c r="O34" s="57"/>
      <c r="P34" s="57" t="str">
        <f>IF(COUNTIFS(户型资产表!E:E,I34,户型资产表!H:H,"阳台门")&gt;0,"有","无")</f>
        <v>无</v>
      </c>
      <c r="Q34" s="57"/>
      <c r="R34" s="57" t="str">
        <f>IF('【2】运营中心填-基本信息&amp;审核标准'!$D$4="是","无",IF(INT(H34/100)&gt;9,"9F",INT(H34/100)&amp;"F"))</f>
        <v>无</v>
      </c>
      <c r="S34" s="57">
        <f>VLOOKUP(R34,【1】定价因子!D:F,3,0)</f>
        <v>1</v>
      </c>
      <c r="T34" s="57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4F</v>
      </c>
      <c r="U34" s="57">
        <f>VLOOKUP($T$1&amp;T34,【1】定价因子!E:F,2,0)</f>
        <v>1</v>
      </c>
      <c r="V34" s="57" t="str">
        <f>IF(COUNTIFS(户型资产表!E:E,I34,户型资产表!H:H,"操作台")&gt;0,"有","无")</f>
        <v>有</v>
      </c>
      <c r="W34" s="57" t="str">
        <f>IF(COUNTIFS(户型资产表!E:E,I34,户型资产表!H:H,"书桌")&gt;0,"有","无")</f>
        <v>无</v>
      </c>
      <c r="X34" s="57" t="str" cm="1">
        <f t="array" ref="X34">IF(SUMPRODUCT((户型资产表!E:E=I34)*((户型资产表!I:I="沙发01单人")+(户型资产表!I:I="单人沙发02")))&gt;0,"有","无")</f>
        <v>无</v>
      </c>
      <c r="Y34" s="57" t="str" cm="1">
        <f t="array" ref="Y34">IF(SUMPRODUCT((户型资产表!E:E=I34)*((户型资产表!I:I="沙发02两人")+(户型资产表!I:I="双人沙发01")))&gt;0,"有","无")</f>
        <v>有</v>
      </c>
      <c r="Z34" s="57" t="str">
        <f>IF(COUNTIFS(户型资产表!E:E,I34,户型资产表!H:H,"餐桌")&gt;0,"有","无")</f>
        <v>有</v>
      </c>
      <c r="AA34" s="57" t="str">
        <f>IF(COUNTIFS(户型资产表!E:E,I34,户型资产表!H:H,"吸油烟机")&gt;0,"有","无")</f>
        <v>无</v>
      </c>
      <c r="AB34" s="57" t="str">
        <f>IF(COUNTIFS(户型资产表!E:E,I34,户型资产表!H:H,"冰箱")&gt;0,"有","无")</f>
        <v>无</v>
      </c>
      <c r="AC34" s="57" t="str">
        <f>IF(COUNTIFS(户型资产表!E:E,I34,户型资产表!H:H,"电视柜")&gt;0,"有","无")</f>
        <v>无</v>
      </c>
      <c r="AD34" s="61" t="str">
        <f t="shared" si="15"/>
        <v>适中</v>
      </c>
      <c r="AE34" s="57">
        <f>VLOOKUP($AD$1&amp;AD34,【1】定价因子!E:F,2,0)</f>
        <v>1</v>
      </c>
      <c r="AF34" s="61" t="str">
        <f t="shared" si="16"/>
        <v>适中</v>
      </c>
      <c r="AG34" s="57">
        <f>VLOOKUP($AF$1&amp;AF34,【1】定价因子!E:F,2,0)</f>
        <v>1</v>
      </c>
      <c r="AH34" s="61" t="str">
        <f t="shared" si="17"/>
        <v>适中</v>
      </c>
      <c r="AI34" s="57">
        <f>VLOOKUP($AH$1&amp;AH34,【1】定价因子!E:F,2,0)</f>
        <v>1</v>
      </c>
      <c r="AJ34" s="57" t="str">
        <f>VLOOKUP(H34,'【3-1】大区填-采光基本要素'!A:H,8,0)</f>
        <v>1</v>
      </c>
      <c r="AK34" s="57">
        <f>VLOOKUP($AJ$1&amp;AJ34,【1】定价因子!E:F,2,0)</f>
        <v>0.91</v>
      </c>
      <c r="AL34" s="62">
        <f t="shared" si="18"/>
        <v>2249.676975</v>
      </c>
      <c r="AM34" s="63">
        <v>1980</v>
      </c>
      <c r="AN34" s="64">
        <f t="shared" si="19"/>
        <v>-0.119873643192708</v>
      </c>
      <c r="AO34" s="65">
        <f t="shared" si="9"/>
        <v>1990</v>
      </c>
      <c r="AP34" s="34">
        <v>2098</v>
      </c>
    </row>
    <row r="35" spans="1:42">
      <c r="A35" s="47" t="str">
        <f>'【2】运营中心填-基本信息&amp;审核标准'!$E$2</f>
        <v>福围广生7-16、17栋</v>
      </c>
      <c r="B35" s="13"/>
      <c r="C35" s="13"/>
      <c r="D35" s="13"/>
      <c r="E35" s="13"/>
      <c r="F35" s="13"/>
      <c r="G35" s="13"/>
      <c r="H35" s="48">
        <v>406</v>
      </c>
      <c r="I35" s="49" t="s">
        <v>494</v>
      </c>
      <c r="J35" s="49" t="s">
        <v>40</v>
      </c>
      <c r="K35" s="13"/>
      <c r="L35" s="50">
        <f>VLOOKUP(J35,'【3】大区填-楼栋基准格局定价'!B:H,7,0)</f>
        <v>1658.8509</v>
      </c>
      <c r="M35" s="51" t="s">
        <v>61</v>
      </c>
      <c r="N35" s="51">
        <v>17.58</v>
      </c>
      <c r="O35" s="52"/>
      <c r="P35" s="52" t="str">
        <f>IF(COUNTIFS(户型资产表!E:E,I35,户型资产表!H:H,"阳台门")&gt;0,"有","无")</f>
        <v>无</v>
      </c>
      <c r="Q35" s="52"/>
      <c r="R35" s="52" t="str">
        <f>IF('【2】运营中心填-基本信息&amp;审核标准'!$D$4="是","无",IF(INT(H35/100)&gt;9,"9F",INT(H35/100)&amp;"F"))</f>
        <v>无</v>
      </c>
      <c r="S35" s="52">
        <f>VLOOKUP(R35,【1】定价因子!D:F,3,0)</f>
        <v>1</v>
      </c>
      <c r="T35" s="52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4F</v>
      </c>
      <c r="U35" s="52">
        <f>VLOOKUP($T$1&amp;T35,【1】定价因子!E:F,2,0)</f>
        <v>1</v>
      </c>
      <c r="V35" s="52" t="str">
        <f>IF(COUNTIFS(户型资产表!E:E,I35,户型资产表!H:H,"操作台")&gt;0,"有","无")</f>
        <v>有</v>
      </c>
      <c r="W35" s="52" t="str">
        <f>IF(COUNTIFS(户型资产表!E:E,I35,户型资产表!H:H,"书桌")&gt;0,"有","无")</f>
        <v>有</v>
      </c>
      <c r="X35" s="52" t="str" cm="1">
        <f t="array" ref="X35">IF(SUMPRODUCT((户型资产表!E:E=I35)*((户型资产表!I:I="沙发01单人")+(户型资产表!I:I="单人沙发02")))&gt;0,"有","无")</f>
        <v>无</v>
      </c>
      <c r="Y35" s="52" t="str" cm="1">
        <f t="array" ref="Y35">IF(SUMPRODUCT((户型资产表!E:E=I35)*((户型资产表!I:I="沙发02两人")+(户型资产表!I:I="双人沙发01")))&gt;0,"有","无")</f>
        <v>无</v>
      </c>
      <c r="Z35" s="52" t="str">
        <f>IF(COUNTIFS(户型资产表!E:E,I35,户型资产表!H:H,"餐桌")&gt;0,"有","无")</f>
        <v>无</v>
      </c>
      <c r="AA35" s="52" t="str">
        <f>IF(COUNTIFS(户型资产表!E:E,I35,户型资产表!H:H,"吸油烟机")&gt;0,"有","无")</f>
        <v>无</v>
      </c>
      <c r="AB35" s="52" t="str">
        <f>IF(COUNTIFS(户型资产表!E:E,I35,户型资产表!H:H,"冰箱")&gt;0,"有","无")</f>
        <v>无</v>
      </c>
      <c r="AC35" s="52" t="str">
        <f>IF(COUNTIFS(户型资产表!E:E,I35,户型资产表!H:H,"电视柜")&gt;0,"有","无")</f>
        <v>无</v>
      </c>
      <c r="AD35" s="51" t="str">
        <f t="shared" si="15"/>
        <v>适中</v>
      </c>
      <c r="AE35" s="52">
        <f>VLOOKUP($AD$1&amp;AD35,【1】定价因子!E:F,2,0)</f>
        <v>1</v>
      </c>
      <c r="AF35" s="51" t="str">
        <f t="shared" si="16"/>
        <v>适中</v>
      </c>
      <c r="AG35" s="52">
        <f>VLOOKUP($AF$1&amp;AF35,【1】定价因子!E:F,2,0)</f>
        <v>1</v>
      </c>
      <c r="AH35" s="51" t="str">
        <f t="shared" si="17"/>
        <v>适中</v>
      </c>
      <c r="AI35" s="52">
        <f>VLOOKUP($AH$1&amp;AH35,【1】定价因子!E:F,2,0)</f>
        <v>1</v>
      </c>
      <c r="AJ35" s="52" t="str">
        <f>VLOOKUP(H35,'【3-1】大区填-采光基本要素'!A:H,8,0)</f>
        <v>1</v>
      </c>
      <c r="AK35" s="52">
        <f>VLOOKUP($AJ$1&amp;AJ35,【1】定价因子!E:F,2,0)</f>
        <v>0.91</v>
      </c>
      <c r="AL35" s="53">
        <f t="shared" si="18"/>
        <v>1509.554319</v>
      </c>
      <c r="AM35" s="54">
        <v>1388</v>
      </c>
      <c r="AN35" s="55">
        <f t="shared" si="19"/>
        <v>-0.0805233157032225</v>
      </c>
      <c r="AO35" s="56">
        <f t="shared" ref="AO35:AO66" si="20">AM35+10</f>
        <v>1398</v>
      </c>
    </row>
    <row r="36" spans="1:42">
      <c r="A36" s="47" t="str">
        <f>'【2】运营中心填-基本信息&amp;审核标准'!$E$2</f>
        <v>福围广生7-16、17栋</v>
      </c>
      <c r="B36" s="13"/>
      <c r="C36" s="13"/>
      <c r="D36" s="13"/>
      <c r="E36" s="13"/>
      <c r="F36" s="13"/>
      <c r="G36" s="13"/>
      <c r="H36" s="48">
        <v>407</v>
      </c>
      <c r="I36" s="49" t="s">
        <v>492</v>
      </c>
      <c r="J36" s="49" t="s">
        <v>40</v>
      </c>
      <c r="K36" s="13"/>
      <c r="L36" s="50">
        <f>VLOOKUP(J36,'【3】大区填-楼栋基准格局定价'!B:H,7,0)</f>
        <v>1658.8509</v>
      </c>
      <c r="M36" s="51" t="s">
        <v>63</v>
      </c>
      <c r="N36" s="51">
        <v>16.65</v>
      </c>
      <c r="O36" s="52"/>
      <c r="P36" s="52" t="str">
        <f>IF(COUNTIFS(户型资产表!E:E,I36,户型资产表!H:H,"阳台门")&gt;0,"有","无")</f>
        <v>无</v>
      </c>
      <c r="Q36" s="52"/>
      <c r="R36" s="52" t="str">
        <f>IF('【2】运营中心填-基本信息&amp;审核标准'!$D$4="是","无",IF(INT(H36/100)&gt;9,"9F",INT(H36/100)&amp;"F"))</f>
        <v>无</v>
      </c>
      <c r="S36" s="52">
        <f>VLOOKUP(R36,【1】定价因子!D:F,3,0)</f>
        <v>1</v>
      </c>
      <c r="T36" s="52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4F</v>
      </c>
      <c r="U36" s="52">
        <f>VLOOKUP($T$1&amp;T36,【1】定价因子!E:F,2,0)</f>
        <v>1</v>
      </c>
      <c r="V36" s="52" t="str">
        <f>IF(COUNTIFS(户型资产表!E:E,I36,户型资产表!H:H,"操作台")&gt;0,"有","无")</f>
        <v>有</v>
      </c>
      <c r="W36" s="52" t="str">
        <f>IF(COUNTIFS(户型资产表!E:E,I36,户型资产表!H:H,"书桌")&gt;0,"有","无")</f>
        <v>有</v>
      </c>
      <c r="X36" s="52" t="str" cm="1">
        <f t="array" ref="X36">IF(SUMPRODUCT((户型资产表!E:E=I36)*((户型资产表!I:I="沙发01单人")+(户型资产表!I:I="单人沙发02")))&gt;0,"有","无")</f>
        <v>无</v>
      </c>
      <c r="Y36" s="52" t="str" cm="1">
        <f t="array" ref="Y36">IF(SUMPRODUCT((户型资产表!E:E=I36)*((户型资产表!I:I="沙发02两人")+(户型资产表!I:I="双人沙发01")))&gt;0,"有","无")</f>
        <v>无</v>
      </c>
      <c r="Z36" s="52" t="str">
        <f>IF(COUNTIFS(户型资产表!E:E,I36,户型资产表!H:H,"餐桌")&gt;0,"有","无")</f>
        <v>无</v>
      </c>
      <c r="AA36" s="52" t="str">
        <f>IF(COUNTIFS(户型资产表!E:E,I36,户型资产表!H:H,"吸油烟机")&gt;0,"有","无")</f>
        <v>无</v>
      </c>
      <c r="AB36" s="52" t="str">
        <f>IF(COUNTIFS(户型资产表!E:E,I36,户型资产表!H:H,"冰箱")&gt;0,"有","无")</f>
        <v>无</v>
      </c>
      <c r="AC36" s="52" t="str">
        <f>IF(COUNTIFS(户型资产表!E:E,I36,户型资产表!H:H,"电视柜")&gt;0,"有","无")</f>
        <v>无</v>
      </c>
      <c r="AD36" s="51" t="str">
        <f t="shared" si="15"/>
        <v>适中</v>
      </c>
      <c r="AE36" s="52">
        <f>VLOOKUP($AD$1&amp;AD36,【1】定价因子!E:F,2,0)</f>
        <v>1</v>
      </c>
      <c r="AF36" s="51" t="str">
        <f t="shared" si="16"/>
        <v>适中</v>
      </c>
      <c r="AG36" s="52">
        <f>VLOOKUP($AF$1&amp;AF36,【1】定价因子!E:F,2,0)</f>
        <v>1</v>
      </c>
      <c r="AH36" s="51" t="str">
        <f t="shared" si="17"/>
        <v>适中</v>
      </c>
      <c r="AI36" s="52">
        <f>VLOOKUP($AH$1&amp;AH36,【1】定价因子!E:F,2,0)</f>
        <v>1</v>
      </c>
      <c r="AJ36" s="52" t="str">
        <f>VLOOKUP(H36,'【3-1】大区填-采光基本要素'!A:H,8,0)</f>
        <v>2</v>
      </c>
      <c r="AK36" s="52">
        <f>VLOOKUP($AJ$1&amp;AJ36,【1】定价因子!E:F,2,0)</f>
        <v>0.96</v>
      </c>
      <c r="AL36" s="53">
        <f t="shared" si="18"/>
        <v>1592.496864</v>
      </c>
      <c r="AM36" s="54">
        <v>1458</v>
      </c>
      <c r="AN36" s="55">
        <f t="shared" si="19"/>
        <v>-0.0844565958278709</v>
      </c>
      <c r="AO36" s="56">
        <f t="shared" si="20"/>
        <v>1468</v>
      </c>
    </row>
    <row r="37" spans="1:42">
      <c r="A37" s="47" t="str">
        <f>'【2】运营中心填-基本信息&amp;审核标准'!$E$2</f>
        <v>福围广生7-16、17栋</v>
      </c>
      <c r="B37" s="13"/>
      <c r="C37" s="13"/>
      <c r="D37" s="13"/>
      <c r="E37" s="13"/>
      <c r="F37" s="13"/>
      <c r="G37" s="13"/>
      <c r="H37" s="48">
        <v>408</v>
      </c>
      <c r="I37" s="49" t="s">
        <v>492</v>
      </c>
      <c r="J37" s="49" t="s">
        <v>40</v>
      </c>
      <c r="K37" s="13"/>
      <c r="L37" s="50">
        <f>VLOOKUP(J37,'【3】大区填-楼栋基准格局定价'!B:H,7,0)</f>
        <v>1658.8509</v>
      </c>
      <c r="M37" s="51" t="s">
        <v>63</v>
      </c>
      <c r="N37" s="51">
        <v>16.79</v>
      </c>
      <c r="O37" s="52"/>
      <c r="P37" s="52" t="str">
        <f>IF(COUNTIFS(户型资产表!E:E,I37,户型资产表!H:H,"阳台门")&gt;0,"有","无")</f>
        <v>无</v>
      </c>
      <c r="Q37" s="52"/>
      <c r="R37" s="52" t="str">
        <f>IF('【2】运营中心填-基本信息&amp;审核标准'!$D$4="是","无",IF(INT(H37/100)&gt;9,"9F",INT(H37/100)&amp;"F"))</f>
        <v>无</v>
      </c>
      <c r="S37" s="52">
        <f>VLOOKUP(R37,【1】定价因子!D:F,3,0)</f>
        <v>1</v>
      </c>
      <c r="T37" s="52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4F</v>
      </c>
      <c r="U37" s="52">
        <f>VLOOKUP($T$1&amp;T37,【1】定价因子!E:F,2,0)</f>
        <v>1</v>
      </c>
      <c r="V37" s="52" t="str">
        <f>IF(COUNTIFS(户型资产表!E:E,I37,户型资产表!H:H,"操作台")&gt;0,"有","无")</f>
        <v>有</v>
      </c>
      <c r="W37" s="52" t="str">
        <f>IF(COUNTIFS(户型资产表!E:E,I37,户型资产表!H:H,"书桌")&gt;0,"有","无")</f>
        <v>有</v>
      </c>
      <c r="X37" s="52" t="str" cm="1">
        <f t="array" ref="X37">IF(SUMPRODUCT((户型资产表!E:E=I37)*((户型资产表!I:I="沙发01单人")+(户型资产表!I:I="单人沙发02")))&gt;0,"有","无")</f>
        <v>无</v>
      </c>
      <c r="Y37" s="52" t="str" cm="1">
        <f t="array" ref="Y37">IF(SUMPRODUCT((户型资产表!E:E=I37)*((户型资产表!I:I="沙发02两人")+(户型资产表!I:I="双人沙发01")))&gt;0,"有","无")</f>
        <v>无</v>
      </c>
      <c r="Z37" s="52" t="str">
        <f>IF(COUNTIFS(户型资产表!E:E,I37,户型资产表!H:H,"餐桌")&gt;0,"有","无")</f>
        <v>无</v>
      </c>
      <c r="AA37" s="52" t="str">
        <f>IF(COUNTIFS(户型资产表!E:E,I37,户型资产表!H:H,"吸油烟机")&gt;0,"有","无")</f>
        <v>无</v>
      </c>
      <c r="AB37" s="52" t="str">
        <f>IF(COUNTIFS(户型资产表!E:E,I37,户型资产表!H:H,"冰箱")&gt;0,"有","无")</f>
        <v>无</v>
      </c>
      <c r="AC37" s="52" t="str">
        <f>IF(COUNTIFS(户型资产表!E:E,I37,户型资产表!H:H,"电视柜")&gt;0,"有","无")</f>
        <v>无</v>
      </c>
      <c r="AD37" s="51" t="str">
        <f t="shared" si="15"/>
        <v>适中</v>
      </c>
      <c r="AE37" s="52">
        <f>VLOOKUP($AD$1&amp;AD37,【1】定价因子!E:F,2,0)</f>
        <v>1</v>
      </c>
      <c r="AF37" s="51" t="str">
        <f t="shared" si="16"/>
        <v>适中</v>
      </c>
      <c r="AG37" s="52">
        <f>VLOOKUP($AF$1&amp;AF37,【1】定价因子!E:F,2,0)</f>
        <v>1</v>
      </c>
      <c r="AH37" s="51" t="str">
        <f t="shared" si="17"/>
        <v>适中</v>
      </c>
      <c r="AI37" s="52">
        <f>VLOOKUP($AH$1&amp;AH37,【1】定价因子!E:F,2,0)</f>
        <v>1</v>
      </c>
      <c r="AJ37" s="52" t="str">
        <f>VLOOKUP(H37,'【3-1】大区填-采光基本要素'!A:H,8,0)</f>
        <v>2</v>
      </c>
      <c r="AK37" s="52">
        <f>VLOOKUP($AJ$1&amp;AJ37,【1】定价因子!E:F,2,0)</f>
        <v>0.96</v>
      </c>
      <c r="AL37" s="53">
        <f t="shared" si="18"/>
        <v>1592.496864</v>
      </c>
      <c r="AM37" s="54">
        <v>1458</v>
      </c>
      <c r="AN37" s="55">
        <f t="shared" si="19"/>
        <v>-0.0844565958278709</v>
      </c>
      <c r="AO37" s="56">
        <f t="shared" si="20"/>
        <v>1468</v>
      </c>
    </row>
    <row r="38" spans="1:42">
      <c r="A38" s="47" t="str">
        <f>'【2】运营中心填-基本信息&amp;审核标准'!$E$2</f>
        <v>福围广生7-16、17栋</v>
      </c>
      <c r="B38" s="13"/>
      <c r="C38" s="13"/>
      <c r="D38" s="13"/>
      <c r="E38" s="13"/>
      <c r="F38" s="13"/>
      <c r="G38" s="13"/>
      <c r="H38" s="48">
        <v>409</v>
      </c>
      <c r="I38" s="49" t="s">
        <v>495</v>
      </c>
      <c r="J38" s="49" t="s">
        <v>43</v>
      </c>
      <c r="K38" s="13"/>
      <c r="L38" s="50">
        <f>VLOOKUP(J38,'【3】大区填-楼栋基准格局定价'!B:H,7,0)</f>
        <v>2472.1725</v>
      </c>
      <c r="M38" s="51" t="s">
        <v>58</v>
      </c>
      <c r="N38" s="51">
        <v>30.92</v>
      </c>
      <c r="O38" s="52"/>
      <c r="P38" s="52" t="str">
        <f>IF(COUNTIFS(户型资产表!E:E,I38,户型资产表!H:H,"阳台门")&gt;0,"有","无")</f>
        <v>无</v>
      </c>
      <c r="Q38" s="52"/>
      <c r="R38" s="52" t="str">
        <f>IF('【2】运营中心填-基本信息&amp;审核标准'!$D$4="是","无",IF(INT(H38/100)&gt;9,"9F",INT(H38/100)&amp;"F"))</f>
        <v>无</v>
      </c>
      <c r="S38" s="52">
        <f>VLOOKUP(R38,【1】定价因子!D:F,3,0)</f>
        <v>1</v>
      </c>
      <c r="T38" s="52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4F</v>
      </c>
      <c r="U38" s="52">
        <f>VLOOKUP($T$1&amp;T38,【1】定价因子!E:F,2,0)</f>
        <v>1</v>
      </c>
      <c r="V38" s="52" t="str">
        <f>IF(COUNTIFS(户型资产表!E:E,I38,户型资产表!H:H,"操作台")&gt;0,"有","无")</f>
        <v>有</v>
      </c>
      <c r="W38" s="52" t="str">
        <f>IF(COUNTIFS(户型资产表!E:E,I38,户型资产表!H:H,"书桌")&gt;0,"有","无")</f>
        <v>有</v>
      </c>
      <c r="X38" s="52" t="str" cm="1">
        <f t="array" ref="X38">IF(SUMPRODUCT((户型资产表!E:E=I38)*((户型资产表!I:I="沙发01单人")+(户型资产表!I:I="单人沙发02")))&gt;0,"有","无")</f>
        <v>有</v>
      </c>
      <c r="Y38" s="52" t="str" cm="1">
        <f t="array" ref="Y38">IF(SUMPRODUCT((户型资产表!E:E=I38)*((户型资产表!I:I="沙发02两人")+(户型资产表!I:I="双人沙发01")))&gt;0,"有","无")</f>
        <v>有</v>
      </c>
      <c r="Z38" s="52" t="str">
        <f>IF(COUNTIFS(户型资产表!E:E,I38,户型资产表!H:H,"餐桌")&gt;0,"有","无")</f>
        <v>有</v>
      </c>
      <c r="AA38" s="52" t="str">
        <f>IF(COUNTIFS(户型资产表!E:E,I38,户型资产表!H:H,"吸油烟机")&gt;0,"有","无")</f>
        <v>无</v>
      </c>
      <c r="AB38" s="52" t="str">
        <f>IF(COUNTIFS(户型资产表!E:E,I38,户型资产表!H:H,"冰箱")&gt;0,"有","无")</f>
        <v>无</v>
      </c>
      <c r="AC38" s="52" t="str">
        <f>IF(COUNTIFS(户型资产表!E:E,I38,户型资产表!H:H,"电视柜")&gt;0,"有","无")</f>
        <v>无</v>
      </c>
      <c r="AD38" s="51" t="str">
        <f t="shared" si="15"/>
        <v>适中</v>
      </c>
      <c r="AE38" s="52">
        <f>VLOOKUP($AD$1&amp;AD38,【1】定价因子!E:F,2,0)</f>
        <v>1</v>
      </c>
      <c r="AF38" s="51" t="s">
        <v>63</v>
      </c>
      <c r="AG38" s="52">
        <f>VLOOKUP($AF$1&amp;AF38,【1】定价因子!E:F,2,0)</f>
        <v>1</v>
      </c>
      <c r="AH38" s="51" t="str">
        <f t="shared" si="17"/>
        <v>适中</v>
      </c>
      <c r="AI38" s="52">
        <f>VLOOKUP($AH$1&amp;AH38,【1】定价因子!E:F,2,0)</f>
        <v>1</v>
      </c>
      <c r="AJ38" s="52" t="str">
        <f>VLOOKUP(H38,'【3-1】大区填-采光基本要素'!A:H,8,0)</f>
        <v>1</v>
      </c>
      <c r="AK38" s="52">
        <f>VLOOKUP($AJ$1&amp;AJ38,【1】定价因子!E:F,2,0)</f>
        <v>0.91</v>
      </c>
      <c r="AL38" s="53">
        <f t="shared" si="18"/>
        <v>2249.676975</v>
      </c>
      <c r="AM38" s="54">
        <v>2298.19</v>
      </c>
      <c r="AN38" s="55">
        <f t="shared" si="19"/>
        <v>0.0215644403792683</v>
      </c>
      <c r="AO38" s="56">
        <f t="shared" si="20"/>
        <v>2308.19</v>
      </c>
    </row>
    <row r="39" spans="1:42">
      <c r="A39" s="47" t="str">
        <f>'【2】运营中心填-基本信息&amp;审核标准'!$E$2</f>
        <v>福围广生7-16、17栋</v>
      </c>
      <c r="B39" s="13"/>
      <c r="C39" s="13"/>
      <c r="D39" s="13"/>
      <c r="E39" s="13"/>
      <c r="F39" s="13"/>
      <c r="G39" s="13"/>
      <c r="H39" s="48">
        <v>410</v>
      </c>
      <c r="I39" s="49" t="s">
        <v>492</v>
      </c>
      <c r="J39" s="49" t="s">
        <v>40</v>
      </c>
      <c r="K39" s="13"/>
      <c r="L39" s="50">
        <f>VLOOKUP(J39,'【3】大区填-楼栋基准格局定价'!B:H,7,0)</f>
        <v>1658.8509</v>
      </c>
      <c r="M39" s="51" t="s">
        <v>63</v>
      </c>
      <c r="N39" s="51">
        <v>16.79</v>
      </c>
      <c r="O39" s="52"/>
      <c r="P39" s="52" t="str">
        <f>IF(COUNTIFS(户型资产表!E:E,I39,户型资产表!H:H,"阳台门")&gt;0,"有","无")</f>
        <v>无</v>
      </c>
      <c r="Q39" s="52"/>
      <c r="R39" s="52" t="str">
        <f>IF('【2】运营中心填-基本信息&amp;审核标准'!$D$4="是","无",IF(INT(H39/100)&gt;9,"9F",INT(H39/100)&amp;"F"))</f>
        <v>无</v>
      </c>
      <c r="S39" s="52">
        <f>VLOOKUP(R39,【1】定价因子!D:F,3,0)</f>
        <v>1</v>
      </c>
      <c r="T39" s="52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4F</v>
      </c>
      <c r="U39" s="52">
        <f>VLOOKUP($T$1&amp;T39,【1】定价因子!E:F,2,0)</f>
        <v>1</v>
      </c>
      <c r="V39" s="52" t="str">
        <f>IF(COUNTIFS(户型资产表!E:E,I39,户型资产表!H:H,"操作台")&gt;0,"有","无")</f>
        <v>有</v>
      </c>
      <c r="W39" s="52" t="str">
        <f>IF(COUNTIFS(户型资产表!E:E,I39,户型资产表!H:H,"书桌")&gt;0,"有","无")</f>
        <v>有</v>
      </c>
      <c r="X39" s="52" t="str" cm="1">
        <f t="array" ref="X39">IF(SUMPRODUCT((户型资产表!E:E=I39)*((户型资产表!I:I="沙发01单人")+(户型资产表!I:I="单人沙发02")))&gt;0,"有","无")</f>
        <v>无</v>
      </c>
      <c r="Y39" s="52" t="str" cm="1">
        <f t="array" ref="Y39">IF(SUMPRODUCT((户型资产表!E:E=I39)*((户型资产表!I:I="沙发02两人")+(户型资产表!I:I="双人沙发01")))&gt;0,"有","无")</f>
        <v>无</v>
      </c>
      <c r="Z39" s="52" t="str">
        <f>IF(COUNTIFS(户型资产表!E:E,I39,户型资产表!H:H,"餐桌")&gt;0,"有","无")</f>
        <v>无</v>
      </c>
      <c r="AA39" s="52" t="str">
        <f>IF(COUNTIFS(户型资产表!E:E,I39,户型资产表!H:H,"吸油烟机")&gt;0,"有","无")</f>
        <v>无</v>
      </c>
      <c r="AB39" s="52" t="str">
        <f>IF(COUNTIFS(户型资产表!E:E,I39,户型资产表!H:H,"冰箱")&gt;0,"有","无")</f>
        <v>无</v>
      </c>
      <c r="AC39" s="52" t="str">
        <f>IF(COUNTIFS(户型资产表!E:E,I39,户型资产表!H:H,"电视柜")&gt;0,"有","无")</f>
        <v>无</v>
      </c>
      <c r="AD39" s="51" t="str">
        <f t="shared" si="15"/>
        <v>适中</v>
      </c>
      <c r="AE39" s="52">
        <f>VLOOKUP($AD$1&amp;AD39,【1】定价因子!E:F,2,0)</f>
        <v>1</v>
      </c>
      <c r="AF39" s="51" t="str">
        <f t="shared" si="16"/>
        <v>适中</v>
      </c>
      <c r="AG39" s="52">
        <f>VLOOKUP($AF$1&amp;AF39,【1】定价因子!E:F,2,0)</f>
        <v>1</v>
      </c>
      <c r="AH39" s="51" t="str">
        <f t="shared" si="17"/>
        <v>适中</v>
      </c>
      <c r="AI39" s="52">
        <f>VLOOKUP($AH$1&amp;AH39,【1】定价因子!E:F,2,0)</f>
        <v>1</v>
      </c>
      <c r="AJ39" s="52" t="str">
        <f>VLOOKUP(H39,'【3-1】大区填-采光基本要素'!A:H,8,0)</f>
        <v>2</v>
      </c>
      <c r="AK39" s="52">
        <f>VLOOKUP($AJ$1&amp;AJ39,【1】定价因子!E:F,2,0)</f>
        <v>0.96</v>
      </c>
      <c r="AL39" s="53">
        <f t="shared" si="18"/>
        <v>1592.496864</v>
      </c>
      <c r="AM39" s="54">
        <v>1458</v>
      </c>
      <c r="AN39" s="55">
        <f t="shared" si="19"/>
        <v>-0.0844565958278709</v>
      </c>
      <c r="AO39" s="56">
        <f t="shared" si="20"/>
        <v>1468</v>
      </c>
    </row>
    <row r="40" spans="1:42">
      <c r="A40" s="47" t="str">
        <f>'【2】运营中心填-基本信息&amp;审核标准'!$E$2</f>
        <v>福围广生7-16、17栋</v>
      </c>
      <c r="B40" s="13"/>
      <c r="C40" s="13"/>
      <c r="D40" s="13"/>
      <c r="E40" s="13"/>
      <c r="F40" s="13"/>
      <c r="G40" s="13"/>
      <c r="H40" s="48">
        <v>411</v>
      </c>
      <c r="I40" s="49" t="s">
        <v>492</v>
      </c>
      <c r="J40" s="49" t="s">
        <v>40</v>
      </c>
      <c r="K40" s="13"/>
      <c r="L40" s="50">
        <f>VLOOKUP(J40,'【3】大区填-楼栋基准格局定价'!B:H,7,0)</f>
        <v>1658.8509</v>
      </c>
      <c r="M40" s="51" t="s">
        <v>63</v>
      </c>
      <c r="N40" s="51">
        <v>16.65</v>
      </c>
      <c r="O40" s="52"/>
      <c r="P40" s="52" t="str">
        <f>IF(COUNTIFS(户型资产表!E:E,I40,户型资产表!H:H,"阳台门")&gt;0,"有","无")</f>
        <v>无</v>
      </c>
      <c r="Q40" s="52"/>
      <c r="R40" s="52" t="str">
        <f>IF('【2】运营中心填-基本信息&amp;审核标准'!$D$4="是","无",IF(INT(H40/100)&gt;9,"9F",INT(H40/100)&amp;"F"))</f>
        <v>无</v>
      </c>
      <c r="S40" s="52">
        <f>VLOOKUP(R40,【1】定价因子!D:F,3,0)</f>
        <v>1</v>
      </c>
      <c r="T40" s="52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4F</v>
      </c>
      <c r="U40" s="52">
        <f>VLOOKUP($T$1&amp;T40,【1】定价因子!E:F,2,0)</f>
        <v>1</v>
      </c>
      <c r="V40" s="52" t="str">
        <f>IF(COUNTIFS(户型资产表!E:E,I40,户型资产表!H:H,"操作台")&gt;0,"有","无")</f>
        <v>有</v>
      </c>
      <c r="W40" s="52" t="str">
        <f>IF(COUNTIFS(户型资产表!E:E,I40,户型资产表!H:H,"书桌")&gt;0,"有","无")</f>
        <v>有</v>
      </c>
      <c r="X40" s="52" t="str" cm="1">
        <f t="array" ref="X40">IF(SUMPRODUCT((户型资产表!E:E=I40)*((户型资产表!I:I="沙发01单人")+(户型资产表!I:I="单人沙发02")))&gt;0,"有","无")</f>
        <v>无</v>
      </c>
      <c r="Y40" s="52" t="str" cm="1">
        <f t="array" ref="Y40">IF(SUMPRODUCT((户型资产表!E:E=I40)*((户型资产表!I:I="沙发02两人")+(户型资产表!I:I="双人沙发01")))&gt;0,"有","无")</f>
        <v>无</v>
      </c>
      <c r="Z40" s="52" t="str">
        <f>IF(COUNTIFS(户型资产表!E:E,I40,户型资产表!H:H,"餐桌")&gt;0,"有","无")</f>
        <v>无</v>
      </c>
      <c r="AA40" s="52" t="str">
        <f>IF(COUNTIFS(户型资产表!E:E,I40,户型资产表!H:H,"吸油烟机")&gt;0,"有","无")</f>
        <v>无</v>
      </c>
      <c r="AB40" s="52" t="str">
        <f>IF(COUNTIFS(户型资产表!E:E,I40,户型资产表!H:H,"冰箱")&gt;0,"有","无")</f>
        <v>无</v>
      </c>
      <c r="AC40" s="52" t="str">
        <f>IF(COUNTIFS(户型资产表!E:E,I40,户型资产表!H:H,"电视柜")&gt;0,"有","无")</f>
        <v>无</v>
      </c>
      <c r="AD40" s="51" t="str">
        <f t="shared" ref="AD40:AD103" si="21">IF(J40="开间",IF(AND(V40="无",W40="无"),"缺失",IF(AND(V40="无",W40="有"),"缺失（操作台）",IF(AND(V40="有",W40="无"),"缺失（书桌）",IF(AND(V40="有",W40="有"),IF(OR(AA40="有",Y40="有"),"充足（油烟机/双人沙发）",IF(OR(X40="有",Z40="有"),"充足（单人沙发/餐桌）",IF(AND(OR(X40="有",Y40="有"),Z40="有"),"非常充足","适中"))),"")))),"适中")</f>
        <v>适中</v>
      </c>
      <c r="AE40" s="52">
        <f>VLOOKUP($AD$1&amp;AD40,【1】定价因子!E:F,2,0)</f>
        <v>1</v>
      </c>
      <c r="AF40" s="51" t="str">
        <f t="shared" ref="AF40:AF103" si="22">IF(J40="一居室",IF(AND(V40="无",Y40="无",Z40="无"),"缺失",IF(OR(AND(Z40="有",V40="无",Y40="无"),AND(Z40="有",V40="无",Y40="有"),AND(Z40="有",V40="有",Y40="无"),AND(Z40="无",V40="有",Y40="无"),AND(Z40="无",V40="无",Y40="有")),"缺失（操作台/双人沙发）",IF(AND(V40="有",Y40="有",Z40="无"),"缺失（餐桌）",IF(AND(V40="有",Y40="有",Z40="有"),IF(AND(W40="无",AA40="有"),"充配（油烟机）",IF(AND(W40="有",AA40="无"),"充配（书桌）",IF(AND(W40="有",AA40="有"),"非常充配","适中"))),"")))),"适中")</f>
        <v>适中</v>
      </c>
      <c r="AG40" s="52">
        <f>VLOOKUP($AF$1&amp;AF40,【1】定价因子!E:F,2,0)</f>
        <v>1</v>
      </c>
      <c r="AH40" s="51" t="str">
        <f t="shared" ref="AH40:AH103" si="23">IF(J40="二居室",IF(AND(Y40="无",Z40="无",AC40="无",V40="无"),"缺失",IF(OR(AND(Y40="无",Z40="无",AC40="有"),AND(Y40="无",Z40="无",V40="有"),AND(Y40="无",Z40="无",AC40="有",V40="有"),AND(Y40="无",Z40="有",AC40="无"),AND(Y40="无",Z40="有",V40="无"),AND(Y40="无",Z40="有",AC40="有"),AND(Y40="无",Z40="有",V40="有"),AND(Y40="有",Z40="无",AC40="无"),AND(Y40="有",Z40="无",V40="无"),AND(Y40="有",Z40="无",AC40="有"),AND(Y40="有",Z40="无",V40="有")),"缺失（沙发/餐桌）",IF(AND(Y40="有",Z40="有",OR(AC40="无",V40="无")),"缺失（电视柜/操作台）",IF(AND(Y40="有",Z40="有",AC40="有",V40="有"),IF(OR(AA40="有",AB40="有"),"充配（油烟机/冰箱）",IF(AND(AA40="无",AB40="无"),"适中","")),"")))),"适中")</f>
        <v>适中</v>
      </c>
      <c r="AI40" s="52">
        <f>VLOOKUP($AH$1&amp;AH40,【1】定价因子!E:F,2,0)</f>
        <v>1</v>
      </c>
      <c r="AJ40" s="52" t="str">
        <f>VLOOKUP(H40,'【3-1】大区填-采光基本要素'!A:H,8,0)</f>
        <v>2</v>
      </c>
      <c r="AK40" s="52">
        <f>VLOOKUP($AJ$1&amp;AJ40,【1】定价因子!E:F,2,0)</f>
        <v>0.96</v>
      </c>
      <c r="AL40" s="53">
        <f t="shared" ref="AL40:AL103" si="24">L40*PRODUCT(AG40,AK40,AE40,U40,S40,Q40,O40)</f>
        <v>1592.496864</v>
      </c>
      <c r="AM40" s="54">
        <v>1458</v>
      </c>
      <c r="AN40" s="55">
        <f t="shared" ref="AN40:AN103" si="25">AM40/AL40-1</f>
        <v>-0.0844565958278709</v>
      </c>
      <c r="AO40" s="56">
        <f t="shared" si="20"/>
        <v>1468</v>
      </c>
    </row>
    <row r="41" spans="1:42">
      <c r="A41" s="47" t="str">
        <f>'【2】运营中心填-基本信息&amp;审核标准'!$E$2</f>
        <v>福围广生7-16、17栋</v>
      </c>
      <c r="B41" s="13"/>
      <c r="C41" s="13"/>
      <c r="D41" s="13"/>
      <c r="E41" s="13"/>
      <c r="F41" s="13"/>
      <c r="G41" s="13"/>
      <c r="H41" s="48">
        <v>412</v>
      </c>
      <c r="I41" s="49" t="s">
        <v>494</v>
      </c>
      <c r="J41" s="49" t="s">
        <v>40</v>
      </c>
      <c r="K41" s="13"/>
      <c r="L41" s="50">
        <f>VLOOKUP(J41,'【3】大区填-楼栋基准格局定价'!B:H,7,0)</f>
        <v>1658.8509</v>
      </c>
      <c r="M41" s="51" t="s">
        <v>61</v>
      </c>
      <c r="N41" s="51">
        <v>17.58</v>
      </c>
      <c r="O41" s="52"/>
      <c r="P41" s="52" t="str">
        <f>IF(COUNTIFS(户型资产表!E:E,I41,户型资产表!H:H,"阳台门")&gt;0,"有","无")</f>
        <v>无</v>
      </c>
      <c r="Q41" s="52"/>
      <c r="R41" s="52" t="str">
        <f>IF('【2】运营中心填-基本信息&amp;审核标准'!$D$4="是","无",IF(INT(H41/100)&gt;9,"9F",INT(H41/100)&amp;"F"))</f>
        <v>无</v>
      </c>
      <c r="S41" s="52">
        <f>VLOOKUP(R41,【1】定价因子!D:F,3,0)</f>
        <v>1</v>
      </c>
      <c r="T41" s="52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4F</v>
      </c>
      <c r="U41" s="52">
        <f>VLOOKUP($T$1&amp;T41,【1】定价因子!E:F,2,0)</f>
        <v>1</v>
      </c>
      <c r="V41" s="52" t="str">
        <f>IF(COUNTIFS(户型资产表!E:E,I41,户型资产表!H:H,"操作台")&gt;0,"有","无")</f>
        <v>有</v>
      </c>
      <c r="W41" s="52" t="str">
        <f>IF(COUNTIFS(户型资产表!E:E,I41,户型资产表!H:H,"书桌")&gt;0,"有","无")</f>
        <v>有</v>
      </c>
      <c r="X41" s="52" t="str" cm="1">
        <f t="array" ref="X41">IF(SUMPRODUCT((户型资产表!E:E=I41)*((户型资产表!I:I="沙发01单人")+(户型资产表!I:I="单人沙发02")))&gt;0,"有","无")</f>
        <v>无</v>
      </c>
      <c r="Y41" s="52" t="str" cm="1">
        <f t="array" ref="Y41">IF(SUMPRODUCT((户型资产表!E:E=I41)*((户型资产表!I:I="沙发02两人")+(户型资产表!I:I="双人沙发01")))&gt;0,"有","无")</f>
        <v>无</v>
      </c>
      <c r="Z41" s="52" t="str">
        <f>IF(COUNTIFS(户型资产表!E:E,I41,户型资产表!H:H,"餐桌")&gt;0,"有","无")</f>
        <v>无</v>
      </c>
      <c r="AA41" s="52" t="str">
        <f>IF(COUNTIFS(户型资产表!E:E,I41,户型资产表!H:H,"吸油烟机")&gt;0,"有","无")</f>
        <v>无</v>
      </c>
      <c r="AB41" s="52" t="str">
        <f>IF(COUNTIFS(户型资产表!E:E,I41,户型资产表!H:H,"冰箱")&gt;0,"有","无")</f>
        <v>无</v>
      </c>
      <c r="AC41" s="52" t="str">
        <f>IF(COUNTIFS(户型资产表!E:E,I41,户型资产表!H:H,"电视柜")&gt;0,"有","无")</f>
        <v>无</v>
      </c>
      <c r="AD41" s="51" t="str">
        <f t="shared" si="21"/>
        <v>适中</v>
      </c>
      <c r="AE41" s="52">
        <f>VLOOKUP($AD$1&amp;AD41,【1】定价因子!E:F,2,0)</f>
        <v>1</v>
      </c>
      <c r="AF41" s="51" t="str">
        <f t="shared" si="22"/>
        <v>适中</v>
      </c>
      <c r="AG41" s="52">
        <f>VLOOKUP($AF$1&amp;AF41,【1】定价因子!E:F,2,0)</f>
        <v>1</v>
      </c>
      <c r="AH41" s="51" t="str">
        <f t="shared" si="23"/>
        <v>适中</v>
      </c>
      <c r="AI41" s="52">
        <f>VLOOKUP($AH$1&amp;AH41,【1】定价因子!E:F,2,0)</f>
        <v>1</v>
      </c>
      <c r="AJ41" s="52" t="str">
        <f>VLOOKUP(H41,'【3-1】大区填-采光基本要素'!A:H,8,0)</f>
        <v>2</v>
      </c>
      <c r="AK41" s="52">
        <f>VLOOKUP($AJ$1&amp;AJ41,【1】定价因子!E:F,2,0)</f>
        <v>0.96</v>
      </c>
      <c r="AL41" s="53">
        <f t="shared" si="24"/>
        <v>1592.496864</v>
      </c>
      <c r="AM41" s="54">
        <v>1458</v>
      </c>
      <c r="AN41" s="55">
        <f t="shared" si="25"/>
        <v>-0.0844565958278709</v>
      </c>
      <c r="AO41" s="56">
        <f t="shared" si="20"/>
        <v>1468</v>
      </c>
    </row>
    <row r="42" spans="1:42">
      <c r="A42" s="47" t="str">
        <f>'【2】运营中心填-基本信息&amp;审核标准'!$E$2</f>
        <v>福围广生7-16、17栋</v>
      </c>
      <c r="B42" s="13"/>
      <c r="C42" s="13"/>
      <c r="D42" s="13"/>
      <c r="E42" s="13"/>
      <c r="F42" s="13"/>
      <c r="G42" s="13"/>
      <c r="H42" s="48">
        <v>413</v>
      </c>
      <c r="I42" s="49" t="s">
        <v>493</v>
      </c>
      <c r="J42" s="49" t="s">
        <v>43</v>
      </c>
      <c r="K42" s="13"/>
      <c r="L42" s="50">
        <f>VLOOKUP(J42,'【3】大区填-楼栋基准格局定价'!B:H,7,0)</f>
        <v>2472.1725</v>
      </c>
      <c r="M42" s="51" t="s">
        <v>65</v>
      </c>
      <c r="N42" s="51">
        <v>20.18</v>
      </c>
      <c r="O42" s="52"/>
      <c r="P42" s="52" t="str">
        <f>IF(COUNTIFS(户型资产表!E:E,I42,户型资产表!H:H,"阳台门")&gt;0,"有","无")</f>
        <v>无</v>
      </c>
      <c r="Q42" s="52"/>
      <c r="R42" s="52" t="str">
        <f>IF('【2】运营中心填-基本信息&amp;审核标准'!$D$4="是","无",IF(INT(H42/100)&gt;9,"9F",INT(H42/100)&amp;"F"))</f>
        <v>无</v>
      </c>
      <c r="S42" s="52">
        <f>VLOOKUP(R42,【1】定价因子!D:F,3,0)</f>
        <v>1</v>
      </c>
      <c r="T42" s="52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4F</v>
      </c>
      <c r="U42" s="52">
        <f>VLOOKUP($T$1&amp;T42,【1】定价因子!E:F,2,0)</f>
        <v>1</v>
      </c>
      <c r="V42" s="52" t="str">
        <f>IF(COUNTIFS(户型资产表!E:E,I42,户型资产表!H:H,"操作台")&gt;0,"有","无")</f>
        <v>有</v>
      </c>
      <c r="W42" s="52" t="str">
        <f>IF(COUNTIFS(户型资产表!E:E,I42,户型资产表!H:H,"书桌")&gt;0,"有","无")</f>
        <v>无</v>
      </c>
      <c r="X42" s="52" t="str" cm="1">
        <f t="array" ref="X42">IF(SUMPRODUCT((户型资产表!E:E=I42)*((户型资产表!I:I="沙发01单人")+(户型资产表!I:I="单人沙发02")))&gt;0,"有","无")</f>
        <v>无</v>
      </c>
      <c r="Y42" s="52" t="str" cm="1">
        <f t="array" ref="Y42">IF(SUMPRODUCT((户型资产表!E:E=I42)*((户型资产表!I:I="沙发02两人")+(户型资产表!I:I="双人沙发01")))&gt;0,"有","无")</f>
        <v>有</v>
      </c>
      <c r="Z42" s="52" t="str">
        <f>IF(COUNTIFS(户型资产表!E:E,I42,户型资产表!H:H,"餐桌")&gt;0,"有","无")</f>
        <v>有</v>
      </c>
      <c r="AA42" s="52" t="str">
        <f>IF(COUNTIFS(户型资产表!E:E,I42,户型资产表!H:H,"吸油烟机")&gt;0,"有","无")</f>
        <v>无</v>
      </c>
      <c r="AB42" s="52" t="str">
        <f>IF(COUNTIFS(户型资产表!E:E,I42,户型资产表!H:H,"冰箱")&gt;0,"有","无")</f>
        <v>无</v>
      </c>
      <c r="AC42" s="52" t="str">
        <f>IF(COUNTIFS(户型资产表!E:E,I42,户型资产表!H:H,"电视柜")&gt;0,"有","无")</f>
        <v>无</v>
      </c>
      <c r="AD42" s="51" t="str">
        <f t="shared" si="21"/>
        <v>适中</v>
      </c>
      <c r="AE42" s="52">
        <f>VLOOKUP($AD$1&amp;AD42,【1】定价因子!E:F,2,0)</f>
        <v>1</v>
      </c>
      <c r="AF42" s="51" t="str">
        <f t="shared" si="22"/>
        <v>适中</v>
      </c>
      <c r="AG42" s="52">
        <f>VLOOKUP($AF$1&amp;AF42,【1】定价因子!E:F,2,0)</f>
        <v>1</v>
      </c>
      <c r="AH42" s="51" t="str">
        <f t="shared" si="23"/>
        <v>适中</v>
      </c>
      <c r="AI42" s="52">
        <f>VLOOKUP($AH$1&amp;AH42,【1】定价因子!E:F,2,0)</f>
        <v>1</v>
      </c>
      <c r="AJ42" s="52" t="str">
        <f>VLOOKUP(H42,'【3-1】大区填-采光基本要素'!A:H,8,0)</f>
        <v>2</v>
      </c>
      <c r="AK42" s="52">
        <f>VLOOKUP($AJ$1&amp;AJ42,【1】定价因子!E:F,2,0)</f>
        <v>0.96</v>
      </c>
      <c r="AL42" s="53">
        <f t="shared" si="24"/>
        <v>2373.2856</v>
      </c>
      <c r="AM42" s="54">
        <v>2248.19</v>
      </c>
      <c r="AN42" s="55">
        <f t="shared" si="25"/>
        <v>-0.0527098803447845</v>
      </c>
      <c r="AO42" s="56">
        <f t="shared" si="20"/>
        <v>2258.19</v>
      </c>
    </row>
    <row r="43" s="34" customFormat="1" spans="1:42">
      <c r="A43" s="57" t="str">
        <f>'【2】运营中心填-基本信息&amp;审核标准'!$E$2</f>
        <v>福围广生7-16、17栋</v>
      </c>
      <c r="B43" s="57"/>
      <c r="C43" s="57"/>
      <c r="D43" s="57"/>
      <c r="E43" s="57"/>
      <c r="F43" s="57"/>
      <c r="G43" s="57"/>
      <c r="H43" s="58">
        <v>414</v>
      </c>
      <c r="I43" s="59" t="s">
        <v>491</v>
      </c>
      <c r="J43" s="59" t="s">
        <v>43</v>
      </c>
      <c r="K43" s="57"/>
      <c r="L43" s="60">
        <f>VLOOKUP(J43,'【3】大区填-楼栋基准格局定价'!B:H,7,0)</f>
        <v>2472.1725</v>
      </c>
      <c r="M43" s="61" t="s">
        <v>63</v>
      </c>
      <c r="N43" s="61">
        <v>23.39</v>
      </c>
      <c r="O43" s="57"/>
      <c r="P43" s="57" t="str">
        <f>IF(COUNTIFS(户型资产表!E:E,I43,户型资产表!H:H,"阳台门")&gt;0,"有","无")</f>
        <v>无</v>
      </c>
      <c r="Q43" s="57"/>
      <c r="R43" s="57" t="str">
        <f>IF('【2】运营中心填-基本信息&amp;审核标准'!$D$4="是","无",IF(INT(H43/100)&gt;9,"9F",INT(H43/100)&amp;"F"))</f>
        <v>无</v>
      </c>
      <c r="S43" s="57">
        <f>VLOOKUP(R43,【1】定价因子!D:F,3,0)</f>
        <v>1</v>
      </c>
      <c r="T43" s="57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4F</v>
      </c>
      <c r="U43" s="57">
        <f>VLOOKUP($T$1&amp;T43,【1】定价因子!E:F,2,0)</f>
        <v>1</v>
      </c>
      <c r="V43" s="57" t="str">
        <f>IF(COUNTIFS(户型资产表!E:E,I43,户型资产表!H:H,"操作台")&gt;0,"有","无")</f>
        <v>有</v>
      </c>
      <c r="W43" s="57" t="str">
        <f>IF(COUNTIFS(户型资产表!E:E,I43,户型资产表!H:H,"书桌")&gt;0,"有","无")</f>
        <v>无</v>
      </c>
      <c r="X43" s="57" t="str" cm="1">
        <f t="array" ref="X43">IF(SUMPRODUCT((户型资产表!E:E=I43)*((户型资产表!I:I="沙发01单人")+(户型资产表!I:I="单人沙发02")))&gt;0,"有","无")</f>
        <v>无</v>
      </c>
      <c r="Y43" s="57" t="str" cm="1">
        <f t="array" ref="Y43">IF(SUMPRODUCT((户型资产表!E:E=I43)*((户型资产表!I:I="沙发02两人")+(户型资产表!I:I="双人沙发01")))&gt;0,"有","无")</f>
        <v>有</v>
      </c>
      <c r="Z43" s="57" t="str">
        <f>IF(COUNTIFS(户型资产表!E:E,I43,户型资产表!H:H,"餐桌")&gt;0,"有","无")</f>
        <v>有</v>
      </c>
      <c r="AA43" s="57" t="str">
        <f>IF(COUNTIFS(户型资产表!E:E,I43,户型资产表!H:H,"吸油烟机")&gt;0,"有","无")</f>
        <v>无</v>
      </c>
      <c r="AB43" s="57" t="str">
        <f>IF(COUNTIFS(户型资产表!E:E,I43,户型资产表!H:H,"冰箱")&gt;0,"有","无")</f>
        <v>无</v>
      </c>
      <c r="AC43" s="57" t="str">
        <f>IF(COUNTIFS(户型资产表!E:E,I43,户型资产表!H:H,"电视柜")&gt;0,"有","无")</f>
        <v>无</v>
      </c>
      <c r="AD43" s="61" t="str">
        <f t="shared" si="21"/>
        <v>适中</v>
      </c>
      <c r="AE43" s="57">
        <f>VLOOKUP($AD$1&amp;AD43,【1】定价因子!E:F,2,0)</f>
        <v>1</v>
      </c>
      <c r="AF43" s="61" t="str">
        <f t="shared" si="22"/>
        <v>适中</v>
      </c>
      <c r="AG43" s="57">
        <f>VLOOKUP($AF$1&amp;AF43,【1】定价因子!E:F,2,0)</f>
        <v>1</v>
      </c>
      <c r="AH43" s="61" t="str">
        <f t="shared" si="23"/>
        <v>适中</v>
      </c>
      <c r="AI43" s="57">
        <f>VLOOKUP($AH$1&amp;AH43,【1】定价因子!E:F,2,0)</f>
        <v>1</v>
      </c>
      <c r="AJ43" s="57" t="str">
        <f>VLOOKUP(H43,'【3-1】大区填-采光基本要素'!A:H,8,0)</f>
        <v>2</v>
      </c>
      <c r="AK43" s="57">
        <f>VLOOKUP($AJ$1&amp;AJ43,【1】定价因子!E:F,2,0)</f>
        <v>0.96</v>
      </c>
      <c r="AL43" s="62">
        <f t="shared" si="24"/>
        <v>2373.2856</v>
      </c>
      <c r="AM43" s="63">
        <v>2100</v>
      </c>
      <c r="AN43" s="64">
        <f t="shared" si="25"/>
        <v>-0.115150742919436</v>
      </c>
      <c r="AO43" s="65">
        <f t="shared" si="20"/>
        <v>2110</v>
      </c>
      <c r="AP43" s="34">
        <v>2248</v>
      </c>
    </row>
    <row r="44" spans="1:42">
      <c r="A44" s="47" t="str">
        <f>'【2】运营中心填-基本信息&amp;审核标准'!$E$2</f>
        <v>福围广生7-16、17栋</v>
      </c>
      <c r="B44" s="13"/>
      <c r="C44" s="13"/>
      <c r="D44" s="13"/>
      <c r="E44" s="13"/>
      <c r="F44" s="13"/>
      <c r="G44" s="13"/>
      <c r="H44" s="48">
        <v>501</v>
      </c>
      <c r="I44" s="49" t="s">
        <v>491</v>
      </c>
      <c r="J44" s="49" t="s">
        <v>43</v>
      </c>
      <c r="K44" s="13"/>
      <c r="L44" s="50">
        <f>VLOOKUP(J44,'【3】大区填-楼栋基准格局定价'!B:H,7,0)</f>
        <v>2472.1725</v>
      </c>
      <c r="M44" s="51" t="s">
        <v>65</v>
      </c>
      <c r="N44" s="51">
        <v>22.14</v>
      </c>
      <c r="O44" s="52"/>
      <c r="P44" s="52" t="str">
        <f>IF(COUNTIFS(户型资产表!E:E,I44,户型资产表!H:H,"阳台门")&gt;0,"有","无")</f>
        <v>无</v>
      </c>
      <c r="Q44" s="52"/>
      <c r="R44" s="52" t="str">
        <f>IF('【2】运营中心填-基本信息&amp;审核标准'!$D$4="是","无",IF(INT(H44/100)&gt;9,"9F",INT(H44/100)&amp;"F"))</f>
        <v>无</v>
      </c>
      <c r="S44" s="52">
        <f>VLOOKUP(R44,【1】定价因子!D:F,3,0)</f>
        <v>1</v>
      </c>
      <c r="T44" s="52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5-6F</v>
      </c>
      <c r="U44" s="52">
        <f>VLOOKUP($T$1&amp;T44,【1】定价因子!E:F,2,0)</f>
        <v>1.01</v>
      </c>
      <c r="V44" s="52" t="str">
        <f>IF(COUNTIFS(户型资产表!E:E,I44,户型资产表!H:H,"操作台")&gt;0,"有","无")</f>
        <v>有</v>
      </c>
      <c r="W44" s="52" t="str">
        <f>IF(COUNTIFS(户型资产表!E:E,I44,户型资产表!H:H,"书桌")&gt;0,"有","无")</f>
        <v>无</v>
      </c>
      <c r="X44" s="52" t="str" cm="1">
        <f t="array" ref="X44">IF(SUMPRODUCT((户型资产表!E:E=I44)*((户型资产表!I:I="沙发01单人")+(户型资产表!I:I="单人沙发02")))&gt;0,"有","无")</f>
        <v>无</v>
      </c>
      <c r="Y44" s="52" t="str" cm="1">
        <f t="array" ref="Y44">IF(SUMPRODUCT((户型资产表!E:E=I44)*((户型资产表!I:I="沙发02两人")+(户型资产表!I:I="双人沙发01")))&gt;0,"有","无")</f>
        <v>有</v>
      </c>
      <c r="Z44" s="52" t="str">
        <f>IF(COUNTIFS(户型资产表!E:E,I44,户型资产表!H:H,"餐桌")&gt;0,"有","无")</f>
        <v>有</v>
      </c>
      <c r="AA44" s="52" t="str">
        <f>IF(COUNTIFS(户型资产表!E:E,I44,户型资产表!H:H,"吸油烟机")&gt;0,"有","无")</f>
        <v>无</v>
      </c>
      <c r="AB44" s="52" t="str">
        <f>IF(COUNTIFS(户型资产表!E:E,I44,户型资产表!H:H,"冰箱")&gt;0,"有","无")</f>
        <v>无</v>
      </c>
      <c r="AC44" s="52" t="str">
        <f>IF(COUNTIFS(户型资产表!E:E,I44,户型资产表!H:H,"电视柜")&gt;0,"有","无")</f>
        <v>无</v>
      </c>
      <c r="AD44" s="51" t="str">
        <f t="shared" si="21"/>
        <v>适中</v>
      </c>
      <c r="AE44" s="52">
        <f>VLOOKUP($AD$1&amp;AD44,【1】定价因子!E:F,2,0)</f>
        <v>1</v>
      </c>
      <c r="AF44" s="51" t="str">
        <f t="shared" si="22"/>
        <v>适中</v>
      </c>
      <c r="AG44" s="52">
        <f>VLOOKUP($AF$1&amp;AF44,【1】定价因子!E:F,2,0)</f>
        <v>1</v>
      </c>
      <c r="AH44" s="51" t="str">
        <f t="shared" si="23"/>
        <v>适中</v>
      </c>
      <c r="AI44" s="52">
        <f>VLOOKUP($AH$1&amp;AH44,【1】定价因子!E:F,2,0)</f>
        <v>1</v>
      </c>
      <c r="AJ44" s="52" t="str">
        <f>VLOOKUP(H44,'【3-1】大区填-采光基本要素'!A:H,8,0)</f>
        <v>1</v>
      </c>
      <c r="AK44" s="52">
        <f>VLOOKUP($AJ$1&amp;AJ44,【1】定价因子!E:F,2,0)</f>
        <v>0.91</v>
      </c>
      <c r="AL44" s="53">
        <f t="shared" si="24"/>
        <v>2272.17374475</v>
      </c>
      <c r="AM44" s="54">
        <v>2148</v>
      </c>
      <c r="AN44" s="55">
        <f t="shared" si="25"/>
        <v>-0.0546497577647446</v>
      </c>
      <c r="AO44" s="56">
        <f t="shared" si="20"/>
        <v>2158</v>
      </c>
    </row>
    <row r="45" spans="1:42">
      <c r="A45" s="47" t="str">
        <f>'【2】运营中心填-基本信息&amp;审核标准'!$E$2</f>
        <v>福围广生7-16、17栋</v>
      </c>
      <c r="B45" s="13"/>
      <c r="C45" s="13"/>
      <c r="D45" s="13"/>
      <c r="E45" s="13"/>
      <c r="F45" s="13"/>
      <c r="G45" s="13"/>
      <c r="H45" s="48">
        <v>502</v>
      </c>
      <c r="I45" s="49" t="s">
        <v>492</v>
      </c>
      <c r="J45" s="49" t="s">
        <v>40</v>
      </c>
      <c r="K45" s="13"/>
      <c r="L45" s="50">
        <f>VLOOKUP(J45,'【3】大区填-楼栋基准格局定价'!B:H,7,0)</f>
        <v>1658.8509</v>
      </c>
      <c r="M45" s="51" t="s">
        <v>58</v>
      </c>
      <c r="N45" s="51">
        <v>21.67</v>
      </c>
      <c r="O45" s="52"/>
      <c r="P45" s="52" t="str">
        <f>IF(COUNTIFS(户型资产表!E:E,I45,户型资产表!H:H,"阳台门")&gt;0,"有","无")</f>
        <v>无</v>
      </c>
      <c r="Q45" s="52"/>
      <c r="R45" s="52" t="str">
        <f>IF('【2】运营中心填-基本信息&amp;审核标准'!$D$4="是","无",IF(INT(H45/100)&gt;9,"9F",INT(H45/100)&amp;"F"))</f>
        <v>无</v>
      </c>
      <c r="S45" s="52">
        <f>VLOOKUP(R45,【1】定价因子!D:F,3,0)</f>
        <v>1</v>
      </c>
      <c r="T45" s="52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5-6F</v>
      </c>
      <c r="U45" s="52">
        <f>VLOOKUP($T$1&amp;T45,【1】定价因子!E:F,2,0)</f>
        <v>1.01</v>
      </c>
      <c r="V45" s="52" t="str">
        <f>IF(COUNTIFS(户型资产表!E:E,I45,户型资产表!H:H,"操作台")&gt;0,"有","无")</f>
        <v>有</v>
      </c>
      <c r="W45" s="52" t="str">
        <f>IF(COUNTIFS(户型资产表!E:E,I45,户型资产表!H:H,"书桌")&gt;0,"有","无")</f>
        <v>有</v>
      </c>
      <c r="X45" s="52" t="str" cm="1">
        <f t="array" ref="X45">IF(SUMPRODUCT((户型资产表!E:E=I45)*((户型资产表!I:I="沙发01单人")+(户型资产表!I:I="单人沙发02")))&gt;0,"有","无")</f>
        <v>无</v>
      </c>
      <c r="Y45" s="52" t="str" cm="1">
        <f t="array" ref="Y45">IF(SUMPRODUCT((户型资产表!E:E=I45)*((户型资产表!I:I="沙发02两人")+(户型资产表!I:I="双人沙发01")))&gt;0,"有","无")</f>
        <v>无</v>
      </c>
      <c r="Z45" s="52" t="str">
        <f>IF(COUNTIFS(户型资产表!E:E,I45,户型资产表!H:H,"餐桌")&gt;0,"有","无")</f>
        <v>无</v>
      </c>
      <c r="AA45" s="52" t="str">
        <f>IF(COUNTIFS(户型资产表!E:E,I45,户型资产表!H:H,"吸油烟机")&gt;0,"有","无")</f>
        <v>无</v>
      </c>
      <c r="AB45" s="52" t="str">
        <f>IF(COUNTIFS(户型资产表!E:E,I45,户型资产表!H:H,"冰箱")&gt;0,"有","无")</f>
        <v>无</v>
      </c>
      <c r="AC45" s="52" t="str">
        <f>IF(COUNTIFS(户型资产表!E:E,I45,户型资产表!H:H,"电视柜")&gt;0,"有","无")</f>
        <v>无</v>
      </c>
      <c r="AD45" s="51" t="str">
        <f t="shared" si="21"/>
        <v>适中</v>
      </c>
      <c r="AE45" s="52">
        <f>VLOOKUP($AD$1&amp;AD45,【1】定价因子!E:F,2,0)</f>
        <v>1</v>
      </c>
      <c r="AF45" s="51" t="str">
        <f t="shared" si="22"/>
        <v>适中</v>
      </c>
      <c r="AG45" s="52">
        <f>VLOOKUP($AF$1&amp;AF45,【1】定价因子!E:F,2,0)</f>
        <v>1</v>
      </c>
      <c r="AH45" s="51" t="str">
        <f t="shared" si="23"/>
        <v>适中</v>
      </c>
      <c r="AI45" s="52">
        <f>VLOOKUP($AH$1&amp;AH45,【1】定价因子!E:F,2,0)</f>
        <v>1</v>
      </c>
      <c r="AJ45" s="52" t="str">
        <f>VLOOKUP(H45,'【3-1】大区填-采光基本要素'!A:H,8,0)</f>
        <v>2</v>
      </c>
      <c r="AK45" s="52">
        <f>VLOOKUP($AJ$1&amp;AJ45,【1】定价因子!E:F,2,0)</f>
        <v>0.96</v>
      </c>
      <c r="AL45" s="53">
        <f t="shared" si="24"/>
        <v>1608.42183264</v>
      </c>
      <c r="AM45" s="54">
        <v>1468</v>
      </c>
      <c r="AN45" s="55">
        <f t="shared" si="25"/>
        <v>-0.0873041075359672</v>
      </c>
      <c r="AO45" s="56">
        <f t="shared" si="20"/>
        <v>1478</v>
      </c>
    </row>
    <row r="46" s="34" customFormat="1" spans="1:42">
      <c r="A46" s="57" t="str">
        <f>'【2】运营中心填-基本信息&amp;审核标准'!$E$2</f>
        <v>福围广生7-16、17栋</v>
      </c>
      <c r="B46" s="57"/>
      <c r="C46" s="57"/>
      <c r="D46" s="57"/>
      <c r="E46" s="57"/>
      <c r="F46" s="57"/>
      <c r="G46" s="57"/>
      <c r="H46" s="58">
        <v>503</v>
      </c>
      <c r="I46" s="59" t="s">
        <v>492</v>
      </c>
      <c r="J46" s="59" t="s">
        <v>40</v>
      </c>
      <c r="K46" s="57"/>
      <c r="L46" s="60">
        <f>VLOOKUP(J46,'【3】大区填-楼栋基准格局定价'!B:H,7,0)</f>
        <v>1658.8509</v>
      </c>
      <c r="M46" s="61" t="s">
        <v>63</v>
      </c>
      <c r="N46" s="61">
        <v>16.32</v>
      </c>
      <c r="O46" s="57"/>
      <c r="P46" s="57" t="str">
        <f>IF(COUNTIFS(户型资产表!E:E,I46,户型资产表!H:H,"阳台门")&gt;0,"有","无")</f>
        <v>无</v>
      </c>
      <c r="Q46" s="57"/>
      <c r="R46" s="57" t="str">
        <f>IF('【2】运营中心填-基本信息&amp;审核标准'!$D$4="是","无",IF(INT(H46/100)&gt;9,"9F",INT(H46/100)&amp;"F"))</f>
        <v>无</v>
      </c>
      <c r="S46" s="57">
        <f>VLOOKUP(R46,【1】定价因子!D:F,3,0)</f>
        <v>1</v>
      </c>
      <c r="T46" s="57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5-6F</v>
      </c>
      <c r="U46" s="57">
        <f>VLOOKUP($T$1&amp;T46,【1】定价因子!E:F,2,0)</f>
        <v>1.01</v>
      </c>
      <c r="V46" s="57" t="str">
        <f>IF(COUNTIFS(户型资产表!E:E,I46,户型资产表!H:H,"操作台")&gt;0,"有","无")</f>
        <v>有</v>
      </c>
      <c r="W46" s="57" t="str">
        <f>IF(COUNTIFS(户型资产表!E:E,I46,户型资产表!H:H,"书桌")&gt;0,"有","无")</f>
        <v>有</v>
      </c>
      <c r="X46" s="57" t="str" cm="1">
        <f t="array" ref="X46">IF(SUMPRODUCT((户型资产表!E:E=I46)*((户型资产表!I:I="沙发01单人")+(户型资产表!I:I="单人沙发02")))&gt;0,"有","无")</f>
        <v>无</v>
      </c>
      <c r="Y46" s="57" t="str" cm="1">
        <f t="array" ref="Y46">IF(SUMPRODUCT((户型资产表!E:E=I46)*((户型资产表!I:I="沙发02两人")+(户型资产表!I:I="双人沙发01")))&gt;0,"有","无")</f>
        <v>无</v>
      </c>
      <c r="Z46" s="57" t="str">
        <f>IF(COUNTIFS(户型资产表!E:E,I46,户型资产表!H:H,"餐桌")&gt;0,"有","无")</f>
        <v>无</v>
      </c>
      <c r="AA46" s="57" t="str">
        <f>IF(COUNTIFS(户型资产表!E:E,I46,户型资产表!H:H,"吸油烟机")&gt;0,"有","无")</f>
        <v>无</v>
      </c>
      <c r="AB46" s="57" t="str">
        <f>IF(COUNTIFS(户型资产表!E:E,I46,户型资产表!H:H,"冰箱")&gt;0,"有","无")</f>
        <v>无</v>
      </c>
      <c r="AC46" s="57" t="str">
        <f>IF(COUNTIFS(户型资产表!E:E,I46,户型资产表!H:H,"电视柜")&gt;0,"有","无")</f>
        <v>无</v>
      </c>
      <c r="AD46" s="61" t="str">
        <f t="shared" si="21"/>
        <v>适中</v>
      </c>
      <c r="AE46" s="57">
        <f>VLOOKUP($AD$1&amp;AD46,【1】定价因子!E:F,2,0)</f>
        <v>1</v>
      </c>
      <c r="AF46" s="61" t="str">
        <f t="shared" si="22"/>
        <v>适中</v>
      </c>
      <c r="AG46" s="57">
        <f>VLOOKUP($AF$1&amp;AF46,【1】定价因子!E:F,2,0)</f>
        <v>1</v>
      </c>
      <c r="AH46" s="61" t="str">
        <f t="shared" si="23"/>
        <v>适中</v>
      </c>
      <c r="AI46" s="57">
        <f>VLOOKUP($AH$1&amp;AH46,【1】定价因子!E:F,2,0)</f>
        <v>1</v>
      </c>
      <c r="AJ46" s="57" t="str">
        <f>VLOOKUP(H46,'【3-1】大区填-采光基本要素'!A:H,8,0)</f>
        <v>2</v>
      </c>
      <c r="AK46" s="57">
        <f>VLOOKUP($AJ$1&amp;AJ46,【1】定价因子!E:F,2,0)</f>
        <v>0.96</v>
      </c>
      <c r="AL46" s="62">
        <f t="shared" si="24"/>
        <v>1608.42183264</v>
      </c>
      <c r="AM46" s="63">
        <v>1450</v>
      </c>
      <c r="AN46" s="64">
        <f t="shared" si="25"/>
        <v>-0.0984952015852537</v>
      </c>
      <c r="AO46" s="65">
        <f t="shared" si="20"/>
        <v>1460</v>
      </c>
    </row>
    <row r="47" s="34" customFormat="1" spans="1:42">
      <c r="A47" s="57" t="str">
        <f>'【2】运营中心填-基本信息&amp;审核标准'!$E$2</f>
        <v>福围广生7-16、17栋</v>
      </c>
      <c r="B47" s="57"/>
      <c r="C47" s="57"/>
      <c r="D47" s="57"/>
      <c r="E47" s="57"/>
      <c r="F47" s="57"/>
      <c r="G47" s="57"/>
      <c r="H47" s="58">
        <v>504</v>
      </c>
      <c r="I47" s="59" t="s">
        <v>491</v>
      </c>
      <c r="J47" s="59" t="s">
        <v>43</v>
      </c>
      <c r="K47" s="57"/>
      <c r="L47" s="60">
        <f>VLOOKUP(J47,'【3】大区填-楼栋基准格局定价'!B:H,7,0)</f>
        <v>2472.1725</v>
      </c>
      <c r="M47" s="61" t="s">
        <v>65</v>
      </c>
      <c r="N47" s="61">
        <v>20.73</v>
      </c>
      <c r="O47" s="57"/>
      <c r="P47" s="57" t="str">
        <f>IF(COUNTIFS(户型资产表!E:E,I47,户型资产表!H:H,"阳台门")&gt;0,"有","无")</f>
        <v>无</v>
      </c>
      <c r="Q47" s="57"/>
      <c r="R47" s="57" t="str">
        <f>IF('【2】运营中心填-基本信息&amp;审核标准'!$D$4="是","无",IF(INT(H47/100)&gt;9,"9F",INT(H47/100)&amp;"F"))</f>
        <v>无</v>
      </c>
      <c r="S47" s="57">
        <f>VLOOKUP(R47,【1】定价因子!D:F,3,0)</f>
        <v>1</v>
      </c>
      <c r="T47" s="57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5-6F</v>
      </c>
      <c r="U47" s="57">
        <f>VLOOKUP($T$1&amp;T47,【1】定价因子!E:F,2,0)</f>
        <v>1.01</v>
      </c>
      <c r="V47" s="57" t="str">
        <f>IF(COUNTIFS(户型资产表!E:E,I47,户型资产表!H:H,"操作台")&gt;0,"有","无")</f>
        <v>有</v>
      </c>
      <c r="W47" s="57" t="str">
        <f>IF(COUNTIFS(户型资产表!E:E,I47,户型资产表!H:H,"书桌")&gt;0,"有","无")</f>
        <v>无</v>
      </c>
      <c r="X47" s="57" t="str" cm="1">
        <f t="array" ref="X47">IF(SUMPRODUCT((户型资产表!E:E=I47)*((户型资产表!I:I="沙发01单人")+(户型资产表!I:I="单人沙发02")))&gt;0,"有","无")</f>
        <v>无</v>
      </c>
      <c r="Y47" s="57" t="str" cm="1">
        <f t="array" ref="Y47">IF(SUMPRODUCT((户型资产表!E:E=I47)*((户型资产表!I:I="沙发02两人")+(户型资产表!I:I="双人沙发01")))&gt;0,"有","无")</f>
        <v>有</v>
      </c>
      <c r="Z47" s="57" t="str">
        <f>IF(COUNTIFS(户型资产表!E:E,I47,户型资产表!H:H,"餐桌")&gt;0,"有","无")</f>
        <v>有</v>
      </c>
      <c r="AA47" s="57" t="str">
        <f>IF(COUNTIFS(户型资产表!E:E,I47,户型资产表!H:H,"吸油烟机")&gt;0,"有","无")</f>
        <v>无</v>
      </c>
      <c r="AB47" s="57" t="str">
        <f>IF(COUNTIFS(户型资产表!E:E,I47,户型资产表!H:H,"冰箱")&gt;0,"有","无")</f>
        <v>无</v>
      </c>
      <c r="AC47" s="57" t="str">
        <f>IF(COUNTIFS(户型资产表!E:E,I47,户型资产表!H:H,"电视柜")&gt;0,"有","无")</f>
        <v>无</v>
      </c>
      <c r="AD47" s="61" t="str">
        <f t="shared" si="21"/>
        <v>适中</v>
      </c>
      <c r="AE47" s="57">
        <f>VLOOKUP($AD$1&amp;AD47,【1】定价因子!E:F,2,0)</f>
        <v>1</v>
      </c>
      <c r="AF47" s="61" t="str">
        <f t="shared" si="22"/>
        <v>适中</v>
      </c>
      <c r="AG47" s="57">
        <f>VLOOKUP($AF$1&amp;AF47,【1】定价因子!E:F,2,0)</f>
        <v>1</v>
      </c>
      <c r="AH47" s="61" t="str">
        <f t="shared" si="23"/>
        <v>适中</v>
      </c>
      <c r="AI47" s="57">
        <f>VLOOKUP($AH$1&amp;AH47,【1】定价因子!E:F,2,0)</f>
        <v>1</v>
      </c>
      <c r="AJ47" s="57" t="str">
        <f>VLOOKUP(H47,'【3-1】大区填-采光基本要素'!A:H,8,0)</f>
        <v>1</v>
      </c>
      <c r="AK47" s="57">
        <f>VLOOKUP($AJ$1&amp;AJ47,【1】定价因子!E:F,2,0)</f>
        <v>0.91</v>
      </c>
      <c r="AL47" s="62">
        <f t="shared" si="24"/>
        <v>2272.17374475</v>
      </c>
      <c r="AM47" s="63">
        <v>2050</v>
      </c>
      <c r="AN47" s="64">
        <f t="shared" si="25"/>
        <v>-0.0977802622987552</v>
      </c>
      <c r="AO47" s="65">
        <f t="shared" si="20"/>
        <v>2060</v>
      </c>
      <c r="AP47" s="63">
        <v>2118</v>
      </c>
    </row>
    <row r="48" s="34" customFormat="1" spans="1:42">
      <c r="A48" s="57" t="str">
        <f>'【2】运营中心填-基本信息&amp;审核标准'!$E$2</f>
        <v>福围广生7-16、17栋</v>
      </c>
      <c r="B48" s="57"/>
      <c r="C48" s="57"/>
      <c r="D48" s="57"/>
      <c r="E48" s="57"/>
      <c r="F48" s="57"/>
      <c r="G48" s="57"/>
      <c r="H48" s="58">
        <v>505</v>
      </c>
      <c r="I48" s="59" t="s">
        <v>493</v>
      </c>
      <c r="J48" s="59" t="s">
        <v>43</v>
      </c>
      <c r="K48" s="57"/>
      <c r="L48" s="60">
        <f>VLOOKUP(J48,'【3】大区填-楼栋基准格局定价'!B:H,7,0)</f>
        <v>2472.1725</v>
      </c>
      <c r="M48" s="61" t="s">
        <v>65</v>
      </c>
      <c r="N48" s="61">
        <v>21.83</v>
      </c>
      <c r="O48" s="57"/>
      <c r="P48" s="57" t="str">
        <f>IF(COUNTIFS(户型资产表!E:E,I48,户型资产表!H:H,"阳台门")&gt;0,"有","无")</f>
        <v>无</v>
      </c>
      <c r="Q48" s="57"/>
      <c r="R48" s="57" t="str">
        <f>IF('【2】运营中心填-基本信息&amp;审核标准'!$D$4="是","无",IF(INT(H48/100)&gt;9,"9F",INT(H48/100)&amp;"F"))</f>
        <v>无</v>
      </c>
      <c r="S48" s="57">
        <f>VLOOKUP(R48,【1】定价因子!D:F,3,0)</f>
        <v>1</v>
      </c>
      <c r="T48" s="57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5-6F</v>
      </c>
      <c r="U48" s="57">
        <f>VLOOKUP($T$1&amp;T48,【1】定价因子!E:F,2,0)</f>
        <v>1.01</v>
      </c>
      <c r="V48" s="57" t="str">
        <f>IF(COUNTIFS(户型资产表!E:E,I48,户型资产表!H:H,"操作台")&gt;0,"有","无")</f>
        <v>有</v>
      </c>
      <c r="W48" s="57" t="str">
        <f>IF(COUNTIFS(户型资产表!E:E,I48,户型资产表!H:H,"书桌")&gt;0,"有","无")</f>
        <v>无</v>
      </c>
      <c r="X48" s="57" t="str" cm="1">
        <f t="array" ref="X48">IF(SUMPRODUCT((户型资产表!E:E=I48)*((户型资产表!I:I="沙发01单人")+(户型资产表!I:I="单人沙发02")))&gt;0,"有","无")</f>
        <v>无</v>
      </c>
      <c r="Y48" s="57" t="str" cm="1">
        <f t="array" ref="Y48">IF(SUMPRODUCT((户型资产表!E:E=I48)*((户型资产表!I:I="沙发02两人")+(户型资产表!I:I="双人沙发01")))&gt;0,"有","无")</f>
        <v>有</v>
      </c>
      <c r="Z48" s="57" t="str">
        <f>IF(COUNTIFS(户型资产表!E:E,I48,户型资产表!H:H,"餐桌")&gt;0,"有","无")</f>
        <v>有</v>
      </c>
      <c r="AA48" s="57" t="str">
        <f>IF(COUNTIFS(户型资产表!E:E,I48,户型资产表!H:H,"吸油烟机")&gt;0,"有","无")</f>
        <v>无</v>
      </c>
      <c r="AB48" s="57" t="str">
        <f>IF(COUNTIFS(户型资产表!E:E,I48,户型资产表!H:H,"冰箱")&gt;0,"有","无")</f>
        <v>无</v>
      </c>
      <c r="AC48" s="57" t="str">
        <f>IF(COUNTIFS(户型资产表!E:E,I48,户型资产表!H:H,"电视柜")&gt;0,"有","无")</f>
        <v>无</v>
      </c>
      <c r="AD48" s="61" t="str">
        <f t="shared" si="21"/>
        <v>适中</v>
      </c>
      <c r="AE48" s="57">
        <f>VLOOKUP($AD$1&amp;AD48,【1】定价因子!E:F,2,0)</f>
        <v>1</v>
      </c>
      <c r="AF48" s="61" t="str">
        <f t="shared" si="22"/>
        <v>适中</v>
      </c>
      <c r="AG48" s="57">
        <f>VLOOKUP($AF$1&amp;AF48,【1】定价因子!E:F,2,0)</f>
        <v>1</v>
      </c>
      <c r="AH48" s="61" t="str">
        <f t="shared" si="23"/>
        <v>适中</v>
      </c>
      <c r="AI48" s="57">
        <f>VLOOKUP($AH$1&amp;AH48,【1】定价因子!E:F,2,0)</f>
        <v>1</v>
      </c>
      <c r="AJ48" s="57" t="str">
        <f>VLOOKUP(H48,'【3-1】大区填-采光基本要素'!A:H,8,0)</f>
        <v>2</v>
      </c>
      <c r="AK48" s="57">
        <f>VLOOKUP($AJ$1&amp;AJ48,【1】定价因子!E:F,2,0)</f>
        <v>0.96</v>
      </c>
      <c r="AL48" s="62">
        <f t="shared" si="24"/>
        <v>2397.018456</v>
      </c>
      <c r="AM48" s="63">
        <v>2080</v>
      </c>
      <c r="AN48" s="64">
        <f t="shared" si="25"/>
        <v>-0.132255325446689</v>
      </c>
      <c r="AO48" s="65">
        <f t="shared" si="20"/>
        <v>2090</v>
      </c>
      <c r="AP48" s="63">
        <v>2168</v>
      </c>
    </row>
    <row r="49" spans="1:42">
      <c r="A49" s="47" t="str">
        <f>'【2】运营中心填-基本信息&amp;审核标准'!$E$2</f>
        <v>福围广生7-16、17栋</v>
      </c>
      <c r="B49" s="13"/>
      <c r="C49" s="13"/>
      <c r="D49" s="13"/>
      <c r="E49" s="13"/>
      <c r="F49" s="13"/>
      <c r="G49" s="13"/>
      <c r="H49" s="48">
        <v>506</v>
      </c>
      <c r="I49" s="49" t="s">
        <v>494</v>
      </c>
      <c r="J49" s="49" t="s">
        <v>40</v>
      </c>
      <c r="K49" s="13"/>
      <c r="L49" s="50">
        <f>VLOOKUP(J49,'【3】大区填-楼栋基准格局定价'!B:H,7,0)</f>
        <v>1658.8509</v>
      </c>
      <c r="M49" s="51" t="s">
        <v>61</v>
      </c>
      <c r="N49" s="51">
        <v>17.58</v>
      </c>
      <c r="O49" s="52"/>
      <c r="P49" s="52" t="str">
        <f>IF(COUNTIFS(户型资产表!E:E,I49,户型资产表!H:H,"阳台门")&gt;0,"有","无")</f>
        <v>无</v>
      </c>
      <c r="Q49" s="52"/>
      <c r="R49" s="52" t="str">
        <f>IF('【2】运营中心填-基本信息&amp;审核标准'!$D$4="是","无",IF(INT(H49/100)&gt;9,"9F",INT(H49/100)&amp;"F"))</f>
        <v>无</v>
      </c>
      <c r="S49" s="52">
        <f>VLOOKUP(R49,【1】定价因子!D:F,3,0)</f>
        <v>1</v>
      </c>
      <c r="T49" s="52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5-6F</v>
      </c>
      <c r="U49" s="52">
        <f>VLOOKUP($T$1&amp;T49,【1】定价因子!E:F,2,0)</f>
        <v>1.01</v>
      </c>
      <c r="V49" s="52" t="str">
        <f>IF(COUNTIFS(户型资产表!E:E,I49,户型资产表!H:H,"操作台")&gt;0,"有","无")</f>
        <v>有</v>
      </c>
      <c r="W49" s="52" t="str">
        <f>IF(COUNTIFS(户型资产表!E:E,I49,户型资产表!H:H,"书桌")&gt;0,"有","无")</f>
        <v>有</v>
      </c>
      <c r="X49" s="52" t="str" cm="1">
        <f t="array" ref="X49">IF(SUMPRODUCT((户型资产表!E:E=I49)*((户型资产表!I:I="沙发01单人")+(户型资产表!I:I="单人沙发02")))&gt;0,"有","无")</f>
        <v>无</v>
      </c>
      <c r="Y49" s="52" t="str" cm="1">
        <f t="array" ref="Y49">IF(SUMPRODUCT((户型资产表!E:E=I49)*((户型资产表!I:I="沙发02两人")+(户型资产表!I:I="双人沙发01")))&gt;0,"有","无")</f>
        <v>无</v>
      </c>
      <c r="Z49" s="52" t="str">
        <f>IF(COUNTIFS(户型资产表!E:E,I49,户型资产表!H:H,"餐桌")&gt;0,"有","无")</f>
        <v>无</v>
      </c>
      <c r="AA49" s="52" t="str">
        <f>IF(COUNTIFS(户型资产表!E:E,I49,户型资产表!H:H,"吸油烟机")&gt;0,"有","无")</f>
        <v>无</v>
      </c>
      <c r="AB49" s="52" t="str">
        <f>IF(COUNTIFS(户型资产表!E:E,I49,户型资产表!H:H,"冰箱")&gt;0,"有","无")</f>
        <v>无</v>
      </c>
      <c r="AC49" s="52" t="str">
        <f>IF(COUNTIFS(户型资产表!E:E,I49,户型资产表!H:H,"电视柜")&gt;0,"有","无")</f>
        <v>无</v>
      </c>
      <c r="AD49" s="51" t="str">
        <f t="shared" si="21"/>
        <v>适中</v>
      </c>
      <c r="AE49" s="52">
        <f>VLOOKUP($AD$1&amp;AD49,【1】定价因子!E:F,2,0)</f>
        <v>1</v>
      </c>
      <c r="AF49" s="51" t="str">
        <f t="shared" si="22"/>
        <v>适中</v>
      </c>
      <c r="AG49" s="52">
        <f>VLOOKUP($AF$1&amp;AF49,【1】定价因子!E:F,2,0)</f>
        <v>1</v>
      </c>
      <c r="AH49" s="51" t="str">
        <f t="shared" si="23"/>
        <v>适中</v>
      </c>
      <c r="AI49" s="52">
        <f>VLOOKUP($AH$1&amp;AH49,【1】定价因子!E:F,2,0)</f>
        <v>1</v>
      </c>
      <c r="AJ49" s="52" t="str">
        <f>VLOOKUP(H49,'【3-1】大区填-采光基本要素'!A:H,8,0)</f>
        <v>3</v>
      </c>
      <c r="AK49" s="52">
        <f>VLOOKUP($AJ$1&amp;AJ49,【1】定价因子!E:F,2,0)</f>
        <v>1</v>
      </c>
      <c r="AL49" s="53">
        <f t="shared" si="24"/>
        <v>1675.439409</v>
      </c>
      <c r="AM49" s="54">
        <v>1528</v>
      </c>
      <c r="AN49" s="55">
        <f t="shared" si="25"/>
        <v>-0.0880004422768117</v>
      </c>
      <c r="AO49" s="56">
        <f t="shared" si="20"/>
        <v>1538</v>
      </c>
    </row>
    <row r="50" spans="1:42">
      <c r="A50" s="47" t="str">
        <f>'【2】运营中心填-基本信息&amp;审核标准'!$E$2</f>
        <v>福围广生7-16、17栋</v>
      </c>
      <c r="B50" s="13"/>
      <c r="C50" s="13"/>
      <c r="D50" s="13"/>
      <c r="E50" s="13"/>
      <c r="F50" s="13"/>
      <c r="G50" s="13"/>
      <c r="H50" s="48">
        <v>507</v>
      </c>
      <c r="I50" s="49" t="s">
        <v>492</v>
      </c>
      <c r="J50" s="49" t="s">
        <v>40</v>
      </c>
      <c r="K50" s="13"/>
      <c r="L50" s="50">
        <f>VLOOKUP(J50,'【3】大区填-楼栋基准格局定价'!B:H,7,0)</f>
        <v>1658.8509</v>
      </c>
      <c r="M50" s="51" t="s">
        <v>63</v>
      </c>
      <c r="N50" s="51">
        <v>16.65</v>
      </c>
      <c r="O50" s="52"/>
      <c r="P50" s="52" t="str">
        <f>IF(COUNTIFS(户型资产表!E:E,I50,户型资产表!H:H,"阳台门")&gt;0,"有","无")</f>
        <v>无</v>
      </c>
      <c r="Q50" s="52"/>
      <c r="R50" s="52" t="str">
        <f>IF('【2】运营中心填-基本信息&amp;审核标准'!$D$4="是","无",IF(INT(H50/100)&gt;9,"9F",INT(H50/100)&amp;"F"))</f>
        <v>无</v>
      </c>
      <c r="S50" s="52">
        <f>VLOOKUP(R50,【1】定价因子!D:F,3,0)</f>
        <v>1</v>
      </c>
      <c r="T50" s="52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5-6F</v>
      </c>
      <c r="U50" s="52">
        <f>VLOOKUP($T$1&amp;T50,【1】定价因子!E:F,2,0)</f>
        <v>1.01</v>
      </c>
      <c r="V50" s="52" t="str">
        <f>IF(COUNTIFS(户型资产表!E:E,I50,户型资产表!H:H,"操作台")&gt;0,"有","无")</f>
        <v>有</v>
      </c>
      <c r="W50" s="52" t="str">
        <f>IF(COUNTIFS(户型资产表!E:E,I50,户型资产表!H:H,"书桌")&gt;0,"有","无")</f>
        <v>有</v>
      </c>
      <c r="X50" s="52" t="str" cm="1">
        <f t="array" ref="X50">IF(SUMPRODUCT((户型资产表!E:E=I50)*((户型资产表!I:I="沙发01单人")+(户型资产表!I:I="单人沙发02")))&gt;0,"有","无")</f>
        <v>无</v>
      </c>
      <c r="Y50" s="52" t="str" cm="1">
        <f t="array" ref="Y50">IF(SUMPRODUCT((户型资产表!E:E=I50)*((户型资产表!I:I="沙发02两人")+(户型资产表!I:I="双人沙发01")))&gt;0,"有","无")</f>
        <v>无</v>
      </c>
      <c r="Z50" s="52" t="str">
        <f>IF(COUNTIFS(户型资产表!E:E,I50,户型资产表!H:H,"餐桌")&gt;0,"有","无")</f>
        <v>无</v>
      </c>
      <c r="AA50" s="52" t="str">
        <f>IF(COUNTIFS(户型资产表!E:E,I50,户型资产表!H:H,"吸油烟机")&gt;0,"有","无")</f>
        <v>无</v>
      </c>
      <c r="AB50" s="52" t="str">
        <f>IF(COUNTIFS(户型资产表!E:E,I50,户型资产表!H:H,"冰箱")&gt;0,"有","无")</f>
        <v>无</v>
      </c>
      <c r="AC50" s="52" t="str">
        <f>IF(COUNTIFS(户型资产表!E:E,I50,户型资产表!H:H,"电视柜")&gt;0,"有","无")</f>
        <v>无</v>
      </c>
      <c r="AD50" s="51" t="str">
        <f t="shared" si="21"/>
        <v>适中</v>
      </c>
      <c r="AE50" s="52">
        <f>VLOOKUP($AD$1&amp;AD50,【1】定价因子!E:F,2,0)</f>
        <v>1</v>
      </c>
      <c r="AF50" s="51" t="str">
        <f t="shared" si="22"/>
        <v>适中</v>
      </c>
      <c r="AG50" s="52">
        <f>VLOOKUP($AF$1&amp;AF50,【1】定价因子!E:F,2,0)</f>
        <v>1</v>
      </c>
      <c r="AH50" s="51" t="str">
        <f t="shared" si="23"/>
        <v>适中</v>
      </c>
      <c r="AI50" s="52">
        <f>VLOOKUP($AH$1&amp;AH50,【1】定价因子!E:F,2,0)</f>
        <v>1</v>
      </c>
      <c r="AJ50" s="52" t="str">
        <f>VLOOKUP(H50,'【3-1】大区填-采光基本要素'!A:H,8,0)</f>
        <v>3</v>
      </c>
      <c r="AK50" s="52">
        <f>VLOOKUP($AJ$1&amp;AJ50,【1】定价因子!E:F,2,0)</f>
        <v>1</v>
      </c>
      <c r="AL50" s="53">
        <f t="shared" si="24"/>
        <v>1675.439409</v>
      </c>
      <c r="AM50" s="54">
        <v>1528</v>
      </c>
      <c r="AN50" s="55">
        <f t="shared" si="25"/>
        <v>-0.0880004422768117</v>
      </c>
      <c r="AO50" s="56">
        <f t="shared" si="20"/>
        <v>1538</v>
      </c>
    </row>
    <row r="51" spans="1:42">
      <c r="A51" s="47" t="str">
        <f>'【2】运营中心填-基本信息&amp;审核标准'!$E$2</f>
        <v>福围广生7-16、17栋</v>
      </c>
      <c r="B51" s="13"/>
      <c r="C51" s="13"/>
      <c r="D51" s="13"/>
      <c r="E51" s="13"/>
      <c r="F51" s="13"/>
      <c r="G51" s="13"/>
      <c r="H51" s="48">
        <v>508</v>
      </c>
      <c r="I51" s="49" t="s">
        <v>492</v>
      </c>
      <c r="J51" s="49" t="s">
        <v>40</v>
      </c>
      <c r="K51" s="13"/>
      <c r="L51" s="50">
        <f>VLOOKUP(J51,'【3】大区填-楼栋基准格局定价'!B:H,7,0)</f>
        <v>1658.8509</v>
      </c>
      <c r="M51" s="51" t="s">
        <v>63</v>
      </c>
      <c r="N51" s="51">
        <v>16.79</v>
      </c>
      <c r="O51" s="52"/>
      <c r="P51" s="52" t="str">
        <f>IF(COUNTIFS(户型资产表!E:E,I51,户型资产表!H:H,"阳台门")&gt;0,"有","无")</f>
        <v>无</v>
      </c>
      <c r="Q51" s="52"/>
      <c r="R51" s="52" t="str">
        <f>IF('【2】运营中心填-基本信息&amp;审核标准'!$D$4="是","无",IF(INT(H51/100)&gt;9,"9F",INT(H51/100)&amp;"F"))</f>
        <v>无</v>
      </c>
      <c r="S51" s="52">
        <f>VLOOKUP(R51,【1】定价因子!D:F,3,0)</f>
        <v>1</v>
      </c>
      <c r="T51" s="52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5-6F</v>
      </c>
      <c r="U51" s="52">
        <f>VLOOKUP($T$1&amp;T51,【1】定价因子!E:F,2,0)</f>
        <v>1.01</v>
      </c>
      <c r="V51" s="52" t="str">
        <f>IF(COUNTIFS(户型资产表!E:E,I51,户型资产表!H:H,"操作台")&gt;0,"有","无")</f>
        <v>有</v>
      </c>
      <c r="W51" s="52" t="str">
        <f>IF(COUNTIFS(户型资产表!E:E,I51,户型资产表!H:H,"书桌")&gt;0,"有","无")</f>
        <v>有</v>
      </c>
      <c r="X51" s="52" t="str" cm="1">
        <f t="array" ref="X51">IF(SUMPRODUCT((户型资产表!E:E=I51)*((户型资产表!I:I="沙发01单人")+(户型资产表!I:I="单人沙发02")))&gt;0,"有","无")</f>
        <v>无</v>
      </c>
      <c r="Y51" s="52" t="str" cm="1">
        <f t="array" ref="Y51">IF(SUMPRODUCT((户型资产表!E:E=I51)*((户型资产表!I:I="沙发02两人")+(户型资产表!I:I="双人沙发01")))&gt;0,"有","无")</f>
        <v>无</v>
      </c>
      <c r="Z51" s="52" t="str">
        <f>IF(COUNTIFS(户型资产表!E:E,I51,户型资产表!H:H,"餐桌")&gt;0,"有","无")</f>
        <v>无</v>
      </c>
      <c r="AA51" s="52" t="str">
        <f>IF(COUNTIFS(户型资产表!E:E,I51,户型资产表!H:H,"吸油烟机")&gt;0,"有","无")</f>
        <v>无</v>
      </c>
      <c r="AB51" s="52" t="str">
        <f>IF(COUNTIFS(户型资产表!E:E,I51,户型资产表!H:H,"冰箱")&gt;0,"有","无")</f>
        <v>无</v>
      </c>
      <c r="AC51" s="52" t="str">
        <f>IF(COUNTIFS(户型资产表!E:E,I51,户型资产表!H:H,"电视柜")&gt;0,"有","无")</f>
        <v>无</v>
      </c>
      <c r="AD51" s="51" t="str">
        <f t="shared" si="21"/>
        <v>适中</v>
      </c>
      <c r="AE51" s="52">
        <f>VLOOKUP($AD$1&amp;AD51,【1】定价因子!E:F,2,0)</f>
        <v>1</v>
      </c>
      <c r="AF51" s="51" t="str">
        <f t="shared" si="22"/>
        <v>适中</v>
      </c>
      <c r="AG51" s="52">
        <f>VLOOKUP($AF$1&amp;AF51,【1】定价因子!E:F,2,0)</f>
        <v>1</v>
      </c>
      <c r="AH51" s="51" t="str">
        <f t="shared" si="23"/>
        <v>适中</v>
      </c>
      <c r="AI51" s="52">
        <f>VLOOKUP($AH$1&amp;AH51,【1】定价因子!E:F,2,0)</f>
        <v>1</v>
      </c>
      <c r="AJ51" s="52" t="str">
        <f>VLOOKUP(H51,'【3-1】大区填-采光基本要素'!A:H,8,0)</f>
        <v>3</v>
      </c>
      <c r="AK51" s="52">
        <f>VLOOKUP($AJ$1&amp;AJ51,【1】定价因子!E:F,2,0)</f>
        <v>1</v>
      </c>
      <c r="AL51" s="53">
        <f t="shared" si="24"/>
        <v>1675.439409</v>
      </c>
      <c r="AM51" s="54">
        <v>1528</v>
      </c>
      <c r="AN51" s="55">
        <f t="shared" si="25"/>
        <v>-0.0880004422768117</v>
      </c>
      <c r="AO51" s="56">
        <f t="shared" si="20"/>
        <v>1538</v>
      </c>
    </row>
    <row r="52" spans="1:42">
      <c r="A52" s="47" t="str">
        <f>'【2】运营中心填-基本信息&amp;审核标准'!$E$2</f>
        <v>福围广生7-16、17栋</v>
      </c>
      <c r="B52" s="13"/>
      <c r="C52" s="13"/>
      <c r="D52" s="13"/>
      <c r="E52" s="13"/>
      <c r="F52" s="13"/>
      <c r="G52" s="13"/>
      <c r="H52" s="48">
        <v>509</v>
      </c>
      <c r="I52" s="49" t="s">
        <v>495</v>
      </c>
      <c r="J52" s="49" t="s">
        <v>43</v>
      </c>
      <c r="K52" s="13"/>
      <c r="L52" s="50">
        <f>VLOOKUP(J52,'【3】大区填-楼栋基准格局定价'!B:H,7,0)</f>
        <v>2472.1725</v>
      </c>
      <c r="M52" s="51" t="s">
        <v>58</v>
      </c>
      <c r="N52" s="51">
        <v>30.92</v>
      </c>
      <c r="O52" s="52"/>
      <c r="P52" s="52" t="str">
        <f>IF(COUNTIFS(户型资产表!E:E,I52,户型资产表!H:H,"阳台门")&gt;0,"有","无")</f>
        <v>无</v>
      </c>
      <c r="Q52" s="52"/>
      <c r="R52" s="52" t="str">
        <f>IF('【2】运营中心填-基本信息&amp;审核标准'!$D$4="是","无",IF(INT(H52/100)&gt;9,"9F",INT(H52/100)&amp;"F"))</f>
        <v>无</v>
      </c>
      <c r="S52" s="52">
        <f>VLOOKUP(R52,【1】定价因子!D:F,3,0)</f>
        <v>1</v>
      </c>
      <c r="T52" s="52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5-6F</v>
      </c>
      <c r="U52" s="52">
        <f>VLOOKUP($T$1&amp;T52,【1】定价因子!E:F,2,0)</f>
        <v>1.01</v>
      </c>
      <c r="V52" s="52" t="str">
        <f>IF(COUNTIFS(户型资产表!E:E,I52,户型资产表!H:H,"操作台")&gt;0,"有","无")</f>
        <v>有</v>
      </c>
      <c r="W52" s="52" t="str">
        <f>IF(COUNTIFS(户型资产表!E:E,I52,户型资产表!H:H,"书桌")&gt;0,"有","无")</f>
        <v>有</v>
      </c>
      <c r="X52" s="52" t="str" cm="1">
        <f t="array" ref="X52">IF(SUMPRODUCT((户型资产表!E:E=I52)*((户型资产表!I:I="沙发01单人")+(户型资产表!I:I="单人沙发02")))&gt;0,"有","无")</f>
        <v>有</v>
      </c>
      <c r="Y52" s="52" t="str" cm="1">
        <f t="array" ref="Y52">IF(SUMPRODUCT((户型资产表!E:E=I52)*((户型资产表!I:I="沙发02两人")+(户型资产表!I:I="双人沙发01")))&gt;0,"有","无")</f>
        <v>有</v>
      </c>
      <c r="Z52" s="52" t="str">
        <f>IF(COUNTIFS(户型资产表!E:E,I52,户型资产表!H:H,"餐桌")&gt;0,"有","无")</f>
        <v>有</v>
      </c>
      <c r="AA52" s="52" t="str">
        <f>IF(COUNTIFS(户型资产表!E:E,I52,户型资产表!H:H,"吸油烟机")&gt;0,"有","无")</f>
        <v>无</v>
      </c>
      <c r="AB52" s="52" t="str">
        <f>IF(COUNTIFS(户型资产表!E:E,I52,户型资产表!H:H,"冰箱")&gt;0,"有","无")</f>
        <v>无</v>
      </c>
      <c r="AC52" s="52" t="str">
        <f>IF(COUNTIFS(户型资产表!E:E,I52,户型资产表!H:H,"电视柜")&gt;0,"有","无")</f>
        <v>无</v>
      </c>
      <c r="AD52" s="51" t="str">
        <f t="shared" si="21"/>
        <v>适中</v>
      </c>
      <c r="AE52" s="52">
        <f>VLOOKUP($AD$1&amp;AD52,【1】定价因子!E:F,2,0)</f>
        <v>1</v>
      </c>
      <c r="AF52" s="51" t="s">
        <v>63</v>
      </c>
      <c r="AG52" s="52">
        <f>VLOOKUP($AF$1&amp;AF52,【1】定价因子!E:F,2,0)</f>
        <v>1</v>
      </c>
      <c r="AH52" s="51" t="str">
        <f t="shared" si="23"/>
        <v>适中</v>
      </c>
      <c r="AI52" s="52">
        <f>VLOOKUP($AH$1&amp;AH52,【1】定价因子!E:F,2,0)</f>
        <v>1</v>
      </c>
      <c r="AJ52" s="52" t="str">
        <f>VLOOKUP(H52,'【3-1】大区填-采光基本要素'!A:H,8,0)</f>
        <v>2</v>
      </c>
      <c r="AK52" s="52">
        <f>VLOOKUP($AJ$1&amp;AJ52,【1】定价因子!E:F,2,0)</f>
        <v>0.96</v>
      </c>
      <c r="AL52" s="53">
        <f t="shared" si="24"/>
        <v>2397.018456</v>
      </c>
      <c r="AM52" s="54">
        <v>2318</v>
      </c>
      <c r="AN52" s="55">
        <f t="shared" si="25"/>
        <v>-0.032965309800685</v>
      </c>
      <c r="AO52" s="56">
        <f t="shared" si="20"/>
        <v>2328</v>
      </c>
    </row>
    <row r="53" spans="1:42">
      <c r="A53" s="47" t="str">
        <f>'【2】运营中心填-基本信息&amp;审核标准'!$E$2</f>
        <v>福围广生7-16、17栋</v>
      </c>
      <c r="B53" s="13"/>
      <c r="C53" s="13"/>
      <c r="D53" s="13"/>
      <c r="E53" s="13"/>
      <c r="F53" s="13"/>
      <c r="G53" s="13"/>
      <c r="H53" s="48">
        <v>510</v>
      </c>
      <c r="I53" s="49" t="s">
        <v>492</v>
      </c>
      <c r="J53" s="49" t="s">
        <v>40</v>
      </c>
      <c r="K53" s="13"/>
      <c r="L53" s="50">
        <f>VLOOKUP(J53,'【3】大区填-楼栋基准格局定价'!B:H,7,0)</f>
        <v>1658.8509</v>
      </c>
      <c r="M53" s="51" t="s">
        <v>63</v>
      </c>
      <c r="N53" s="51">
        <v>16.79</v>
      </c>
      <c r="O53" s="52"/>
      <c r="P53" s="52" t="str">
        <f>IF(COUNTIFS(户型资产表!E:E,I53,户型资产表!H:H,"阳台门")&gt;0,"有","无")</f>
        <v>无</v>
      </c>
      <c r="Q53" s="52"/>
      <c r="R53" s="52" t="str">
        <f>IF('【2】运营中心填-基本信息&amp;审核标准'!$D$4="是","无",IF(INT(H53/100)&gt;9,"9F",INT(H53/100)&amp;"F"))</f>
        <v>无</v>
      </c>
      <c r="S53" s="52">
        <f>VLOOKUP(R53,【1】定价因子!D:F,3,0)</f>
        <v>1</v>
      </c>
      <c r="T53" s="52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5-6F</v>
      </c>
      <c r="U53" s="52">
        <f>VLOOKUP($T$1&amp;T53,【1】定价因子!E:F,2,0)</f>
        <v>1.01</v>
      </c>
      <c r="V53" s="52" t="str">
        <f>IF(COUNTIFS(户型资产表!E:E,I53,户型资产表!H:H,"操作台")&gt;0,"有","无")</f>
        <v>有</v>
      </c>
      <c r="W53" s="52" t="str">
        <f>IF(COUNTIFS(户型资产表!E:E,I53,户型资产表!H:H,"书桌")&gt;0,"有","无")</f>
        <v>有</v>
      </c>
      <c r="X53" s="52" t="str" cm="1">
        <f t="array" ref="X53">IF(SUMPRODUCT((户型资产表!E:E=I53)*((户型资产表!I:I="沙发01单人")+(户型资产表!I:I="单人沙发02")))&gt;0,"有","无")</f>
        <v>无</v>
      </c>
      <c r="Y53" s="52" t="str" cm="1">
        <f t="array" ref="Y53">IF(SUMPRODUCT((户型资产表!E:E=I53)*((户型资产表!I:I="沙发02两人")+(户型资产表!I:I="双人沙发01")))&gt;0,"有","无")</f>
        <v>无</v>
      </c>
      <c r="Z53" s="52" t="str">
        <f>IF(COUNTIFS(户型资产表!E:E,I53,户型资产表!H:H,"餐桌")&gt;0,"有","无")</f>
        <v>无</v>
      </c>
      <c r="AA53" s="52" t="str">
        <f>IF(COUNTIFS(户型资产表!E:E,I53,户型资产表!H:H,"吸油烟机")&gt;0,"有","无")</f>
        <v>无</v>
      </c>
      <c r="AB53" s="52" t="str">
        <f>IF(COUNTIFS(户型资产表!E:E,I53,户型资产表!H:H,"冰箱")&gt;0,"有","无")</f>
        <v>无</v>
      </c>
      <c r="AC53" s="52" t="str">
        <f>IF(COUNTIFS(户型资产表!E:E,I53,户型资产表!H:H,"电视柜")&gt;0,"有","无")</f>
        <v>无</v>
      </c>
      <c r="AD53" s="51" t="str">
        <f t="shared" si="21"/>
        <v>适中</v>
      </c>
      <c r="AE53" s="52">
        <f>VLOOKUP($AD$1&amp;AD53,【1】定价因子!E:F,2,0)</f>
        <v>1</v>
      </c>
      <c r="AF53" s="51" t="str">
        <f t="shared" si="22"/>
        <v>适中</v>
      </c>
      <c r="AG53" s="52">
        <f>VLOOKUP($AF$1&amp;AF53,【1】定价因子!E:F,2,0)</f>
        <v>1</v>
      </c>
      <c r="AH53" s="51" t="str">
        <f t="shared" si="23"/>
        <v>适中</v>
      </c>
      <c r="AI53" s="52">
        <f>VLOOKUP($AH$1&amp;AH53,【1】定价因子!E:F,2,0)</f>
        <v>1</v>
      </c>
      <c r="AJ53" s="52" t="str">
        <f>VLOOKUP(H53,'【3-1】大区填-采光基本要素'!A:H,8,0)</f>
        <v>2</v>
      </c>
      <c r="AK53" s="52">
        <f>VLOOKUP($AJ$1&amp;AJ53,【1】定价因子!E:F,2,0)</f>
        <v>0.96</v>
      </c>
      <c r="AL53" s="53">
        <f t="shared" si="24"/>
        <v>1608.42183264</v>
      </c>
      <c r="AM53" s="54">
        <v>1468</v>
      </c>
      <c r="AN53" s="55">
        <f t="shared" si="25"/>
        <v>-0.0873041075359672</v>
      </c>
      <c r="AO53" s="56">
        <f t="shared" si="20"/>
        <v>1478</v>
      </c>
    </row>
    <row r="54" spans="1:42">
      <c r="A54" s="47" t="str">
        <f>'【2】运营中心填-基本信息&amp;审核标准'!$E$2</f>
        <v>福围广生7-16、17栋</v>
      </c>
      <c r="B54" s="13"/>
      <c r="C54" s="13"/>
      <c r="D54" s="13"/>
      <c r="E54" s="13"/>
      <c r="F54" s="13"/>
      <c r="G54" s="13"/>
      <c r="H54" s="48">
        <v>511</v>
      </c>
      <c r="I54" s="49" t="s">
        <v>492</v>
      </c>
      <c r="J54" s="49" t="s">
        <v>40</v>
      </c>
      <c r="K54" s="13"/>
      <c r="L54" s="50">
        <f>VLOOKUP(J54,'【3】大区填-楼栋基准格局定价'!B:H,7,0)</f>
        <v>1658.8509</v>
      </c>
      <c r="M54" s="51" t="s">
        <v>63</v>
      </c>
      <c r="N54" s="51">
        <v>16.65</v>
      </c>
      <c r="O54" s="52"/>
      <c r="P54" s="52" t="str">
        <f>IF(COUNTIFS(户型资产表!E:E,I54,户型资产表!H:H,"阳台门")&gt;0,"有","无")</f>
        <v>无</v>
      </c>
      <c r="Q54" s="52"/>
      <c r="R54" s="52" t="str">
        <f>IF('【2】运营中心填-基本信息&amp;审核标准'!$D$4="是","无",IF(INT(H54/100)&gt;9,"9F",INT(H54/100)&amp;"F"))</f>
        <v>无</v>
      </c>
      <c r="S54" s="52">
        <f>VLOOKUP(R54,【1】定价因子!D:F,3,0)</f>
        <v>1</v>
      </c>
      <c r="T54" s="52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5-6F</v>
      </c>
      <c r="U54" s="52">
        <f>VLOOKUP($T$1&amp;T54,【1】定价因子!E:F,2,0)</f>
        <v>1.01</v>
      </c>
      <c r="V54" s="52" t="str">
        <f>IF(COUNTIFS(户型资产表!E:E,I54,户型资产表!H:H,"操作台")&gt;0,"有","无")</f>
        <v>有</v>
      </c>
      <c r="W54" s="52" t="str">
        <f>IF(COUNTIFS(户型资产表!E:E,I54,户型资产表!H:H,"书桌")&gt;0,"有","无")</f>
        <v>有</v>
      </c>
      <c r="X54" s="52" t="str" cm="1">
        <f t="array" ref="X54">IF(SUMPRODUCT((户型资产表!E:E=I54)*((户型资产表!I:I="沙发01单人")+(户型资产表!I:I="单人沙发02")))&gt;0,"有","无")</f>
        <v>无</v>
      </c>
      <c r="Y54" s="52" t="str" cm="1">
        <f t="array" ref="Y54">IF(SUMPRODUCT((户型资产表!E:E=I54)*((户型资产表!I:I="沙发02两人")+(户型资产表!I:I="双人沙发01")))&gt;0,"有","无")</f>
        <v>无</v>
      </c>
      <c r="Z54" s="52" t="str">
        <f>IF(COUNTIFS(户型资产表!E:E,I54,户型资产表!H:H,"餐桌")&gt;0,"有","无")</f>
        <v>无</v>
      </c>
      <c r="AA54" s="52" t="str">
        <f>IF(COUNTIFS(户型资产表!E:E,I54,户型资产表!H:H,"吸油烟机")&gt;0,"有","无")</f>
        <v>无</v>
      </c>
      <c r="AB54" s="52" t="str">
        <f>IF(COUNTIFS(户型资产表!E:E,I54,户型资产表!H:H,"冰箱")&gt;0,"有","无")</f>
        <v>无</v>
      </c>
      <c r="AC54" s="52" t="str">
        <f>IF(COUNTIFS(户型资产表!E:E,I54,户型资产表!H:H,"电视柜")&gt;0,"有","无")</f>
        <v>无</v>
      </c>
      <c r="AD54" s="51" t="str">
        <f t="shared" si="21"/>
        <v>适中</v>
      </c>
      <c r="AE54" s="52">
        <f>VLOOKUP($AD$1&amp;AD54,【1】定价因子!E:F,2,0)</f>
        <v>1</v>
      </c>
      <c r="AF54" s="51" t="str">
        <f t="shared" si="22"/>
        <v>适中</v>
      </c>
      <c r="AG54" s="52">
        <f>VLOOKUP($AF$1&amp;AF54,【1】定价因子!E:F,2,0)</f>
        <v>1</v>
      </c>
      <c r="AH54" s="51" t="str">
        <f t="shared" si="23"/>
        <v>适中</v>
      </c>
      <c r="AI54" s="52">
        <f>VLOOKUP($AH$1&amp;AH54,【1】定价因子!E:F,2,0)</f>
        <v>1</v>
      </c>
      <c r="AJ54" s="52" t="str">
        <f>VLOOKUP(H54,'【3-1】大区填-采光基本要素'!A:H,8,0)</f>
        <v>2</v>
      </c>
      <c r="AK54" s="52">
        <f>VLOOKUP($AJ$1&amp;AJ54,【1】定价因子!E:F,2,0)</f>
        <v>0.96</v>
      </c>
      <c r="AL54" s="53">
        <f t="shared" si="24"/>
        <v>1608.42183264</v>
      </c>
      <c r="AM54" s="54">
        <v>1468</v>
      </c>
      <c r="AN54" s="55">
        <f t="shared" si="25"/>
        <v>-0.0873041075359672</v>
      </c>
      <c r="AO54" s="56">
        <f t="shared" si="20"/>
        <v>1478</v>
      </c>
    </row>
    <row r="55" spans="1:42">
      <c r="A55" s="47" t="str">
        <f>'【2】运营中心填-基本信息&amp;审核标准'!$E$2</f>
        <v>福围广生7-16、17栋</v>
      </c>
      <c r="B55" s="13"/>
      <c r="C55" s="13"/>
      <c r="D55" s="13"/>
      <c r="E55" s="13"/>
      <c r="F55" s="13"/>
      <c r="G55" s="13"/>
      <c r="H55" s="48">
        <v>512</v>
      </c>
      <c r="I55" s="49" t="s">
        <v>494</v>
      </c>
      <c r="J55" s="49" t="s">
        <v>40</v>
      </c>
      <c r="K55" s="13"/>
      <c r="L55" s="50">
        <f>VLOOKUP(J55,'【3】大区填-楼栋基准格局定价'!B:H,7,0)</f>
        <v>1658.8509</v>
      </c>
      <c r="M55" s="51" t="s">
        <v>61</v>
      </c>
      <c r="N55" s="51">
        <v>17.58</v>
      </c>
      <c r="O55" s="52"/>
      <c r="P55" s="52" t="str">
        <f>IF(COUNTIFS(户型资产表!E:E,I55,户型资产表!H:H,"阳台门")&gt;0,"有","无")</f>
        <v>无</v>
      </c>
      <c r="Q55" s="52"/>
      <c r="R55" s="52" t="str">
        <f>IF('【2】运营中心填-基本信息&amp;审核标准'!$D$4="是","无",IF(INT(H55/100)&gt;9,"9F",INT(H55/100)&amp;"F"))</f>
        <v>无</v>
      </c>
      <c r="S55" s="52">
        <f>VLOOKUP(R55,【1】定价因子!D:F,3,0)</f>
        <v>1</v>
      </c>
      <c r="T55" s="52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5-6F</v>
      </c>
      <c r="U55" s="52">
        <f>VLOOKUP($T$1&amp;T55,【1】定价因子!E:F,2,0)</f>
        <v>1.01</v>
      </c>
      <c r="V55" s="52" t="str">
        <f>IF(COUNTIFS(户型资产表!E:E,I55,户型资产表!H:H,"操作台")&gt;0,"有","无")</f>
        <v>有</v>
      </c>
      <c r="W55" s="52" t="str">
        <f>IF(COUNTIFS(户型资产表!E:E,I55,户型资产表!H:H,"书桌")&gt;0,"有","无")</f>
        <v>有</v>
      </c>
      <c r="X55" s="52" t="str" cm="1">
        <f t="array" ref="X55">IF(SUMPRODUCT((户型资产表!E:E=I55)*((户型资产表!I:I="沙发01单人")+(户型资产表!I:I="单人沙发02")))&gt;0,"有","无")</f>
        <v>无</v>
      </c>
      <c r="Y55" s="52" t="str" cm="1">
        <f t="array" ref="Y55">IF(SUMPRODUCT((户型资产表!E:E=I55)*((户型资产表!I:I="沙发02两人")+(户型资产表!I:I="双人沙发01")))&gt;0,"有","无")</f>
        <v>无</v>
      </c>
      <c r="Z55" s="52" t="str">
        <f>IF(COUNTIFS(户型资产表!E:E,I55,户型资产表!H:H,"餐桌")&gt;0,"有","无")</f>
        <v>无</v>
      </c>
      <c r="AA55" s="52" t="str">
        <f>IF(COUNTIFS(户型资产表!E:E,I55,户型资产表!H:H,"吸油烟机")&gt;0,"有","无")</f>
        <v>无</v>
      </c>
      <c r="AB55" s="52" t="str">
        <f>IF(COUNTIFS(户型资产表!E:E,I55,户型资产表!H:H,"冰箱")&gt;0,"有","无")</f>
        <v>无</v>
      </c>
      <c r="AC55" s="52" t="str">
        <f>IF(COUNTIFS(户型资产表!E:E,I55,户型资产表!H:H,"电视柜")&gt;0,"有","无")</f>
        <v>无</v>
      </c>
      <c r="AD55" s="51" t="str">
        <f t="shared" si="21"/>
        <v>适中</v>
      </c>
      <c r="AE55" s="52">
        <f>VLOOKUP($AD$1&amp;AD55,【1】定价因子!E:F,2,0)</f>
        <v>1</v>
      </c>
      <c r="AF55" s="51" t="str">
        <f t="shared" si="22"/>
        <v>适中</v>
      </c>
      <c r="AG55" s="52">
        <f>VLOOKUP($AF$1&amp;AF55,【1】定价因子!E:F,2,0)</f>
        <v>1</v>
      </c>
      <c r="AH55" s="51" t="str">
        <f t="shared" si="23"/>
        <v>适中</v>
      </c>
      <c r="AI55" s="52">
        <f>VLOOKUP($AH$1&amp;AH55,【1】定价因子!E:F,2,0)</f>
        <v>1</v>
      </c>
      <c r="AJ55" s="52" t="str">
        <f>VLOOKUP(H55,'【3-1】大区填-采光基本要素'!A:H,8,0)</f>
        <v>2</v>
      </c>
      <c r="AK55" s="52">
        <f>VLOOKUP($AJ$1&amp;AJ55,【1】定价因子!E:F,2,0)</f>
        <v>0.96</v>
      </c>
      <c r="AL55" s="53">
        <f t="shared" si="24"/>
        <v>1608.42183264</v>
      </c>
      <c r="AM55" s="54">
        <v>1468</v>
      </c>
      <c r="AN55" s="55">
        <f t="shared" si="25"/>
        <v>-0.0873041075359672</v>
      </c>
      <c r="AO55" s="56">
        <f t="shared" si="20"/>
        <v>1478</v>
      </c>
    </row>
    <row r="56" s="34" customFormat="1" spans="1:42">
      <c r="A56" s="57" t="str">
        <f>'【2】运营中心填-基本信息&amp;审核标准'!$E$2</f>
        <v>福围广生7-16、17栋</v>
      </c>
      <c r="B56" s="57"/>
      <c r="C56" s="57"/>
      <c r="D56" s="57"/>
      <c r="E56" s="57"/>
      <c r="F56" s="57"/>
      <c r="G56" s="57"/>
      <c r="H56" s="58">
        <v>513</v>
      </c>
      <c r="I56" s="59" t="s">
        <v>493</v>
      </c>
      <c r="J56" s="59" t="s">
        <v>43</v>
      </c>
      <c r="K56" s="57"/>
      <c r="L56" s="60">
        <f>VLOOKUP(J56,'【3】大区填-楼栋基准格局定价'!B:H,7,0)</f>
        <v>2472.1725</v>
      </c>
      <c r="M56" s="61" t="s">
        <v>65</v>
      </c>
      <c r="N56" s="61">
        <v>20.18</v>
      </c>
      <c r="O56" s="57"/>
      <c r="P56" s="57" t="str">
        <f>IF(COUNTIFS(户型资产表!E:E,I56,户型资产表!H:H,"阳台门")&gt;0,"有","无")</f>
        <v>无</v>
      </c>
      <c r="Q56" s="57"/>
      <c r="R56" s="57" t="str">
        <f>IF('【2】运营中心填-基本信息&amp;审核标准'!$D$4="是","无",IF(INT(H56/100)&gt;9,"9F",INT(H56/100)&amp;"F"))</f>
        <v>无</v>
      </c>
      <c r="S56" s="57">
        <f>VLOOKUP(R56,【1】定价因子!D:F,3,0)</f>
        <v>1</v>
      </c>
      <c r="T56" s="57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5-6F</v>
      </c>
      <c r="U56" s="57">
        <f>VLOOKUP($T$1&amp;T56,【1】定价因子!E:F,2,0)</f>
        <v>1.01</v>
      </c>
      <c r="V56" s="57" t="str">
        <f>IF(COUNTIFS(户型资产表!E:E,I56,户型资产表!H:H,"操作台")&gt;0,"有","无")</f>
        <v>有</v>
      </c>
      <c r="W56" s="57" t="str">
        <f>IF(COUNTIFS(户型资产表!E:E,I56,户型资产表!H:H,"书桌")&gt;0,"有","无")</f>
        <v>无</v>
      </c>
      <c r="X56" s="57" t="str" cm="1">
        <f t="array" ref="X56">IF(SUMPRODUCT((户型资产表!E:E=I56)*((户型资产表!I:I="沙发01单人")+(户型资产表!I:I="单人沙发02")))&gt;0,"有","无")</f>
        <v>无</v>
      </c>
      <c r="Y56" s="57" t="str" cm="1">
        <f t="array" ref="Y56">IF(SUMPRODUCT((户型资产表!E:E=I56)*((户型资产表!I:I="沙发02两人")+(户型资产表!I:I="双人沙发01")))&gt;0,"有","无")</f>
        <v>有</v>
      </c>
      <c r="Z56" s="57" t="str">
        <f>IF(COUNTIFS(户型资产表!E:E,I56,户型资产表!H:H,"餐桌")&gt;0,"有","无")</f>
        <v>有</v>
      </c>
      <c r="AA56" s="57" t="str">
        <f>IF(COUNTIFS(户型资产表!E:E,I56,户型资产表!H:H,"吸油烟机")&gt;0,"有","无")</f>
        <v>无</v>
      </c>
      <c r="AB56" s="57" t="str">
        <f>IF(COUNTIFS(户型资产表!E:E,I56,户型资产表!H:H,"冰箱")&gt;0,"有","无")</f>
        <v>无</v>
      </c>
      <c r="AC56" s="57" t="str">
        <f>IF(COUNTIFS(户型资产表!E:E,I56,户型资产表!H:H,"电视柜")&gt;0,"有","无")</f>
        <v>无</v>
      </c>
      <c r="AD56" s="61" t="str">
        <f t="shared" si="21"/>
        <v>适中</v>
      </c>
      <c r="AE56" s="57">
        <f>VLOOKUP($AD$1&amp;AD56,【1】定价因子!E:F,2,0)</f>
        <v>1</v>
      </c>
      <c r="AF56" s="61" t="str">
        <f t="shared" si="22"/>
        <v>适中</v>
      </c>
      <c r="AG56" s="57">
        <f>VLOOKUP($AF$1&amp;AF56,【1】定价因子!E:F,2,0)</f>
        <v>1</v>
      </c>
      <c r="AH56" s="61" t="str">
        <f t="shared" si="23"/>
        <v>适中</v>
      </c>
      <c r="AI56" s="57">
        <f>VLOOKUP($AH$1&amp;AH56,【1】定价因子!E:F,2,0)</f>
        <v>1</v>
      </c>
      <c r="AJ56" s="57" t="str">
        <f>VLOOKUP(H56,'【3-1】大区填-采光基本要素'!A:H,8,0)</f>
        <v>2</v>
      </c>
      <c r="AK56" s="57">
        <f>VLOOKUP($AJ$1&amp;AJ56,【1】定价因子!E:F,2,0)</f>
        <v>0.96</v>
      </c>
      <c r="AL56" s="62">
        <f t="shared" si="24"/>
        <v>2397.018456</v>
      </c>
      <c r="AM56" s="63">
        <v>2180</v>
      </c>
      <c r="AN56" s="64">
        <f t="shared" si="25"/>
        <v>-0.0905368314777798</v>
      </c>
      <c r="AO56" s="65">
        <f t="shared" si="20"/>
        <v>2190</v>
      </c>
      <c r="AP56" s="34">
        <v>2268</v>
      </c>
    </row>
    <row r="57" spans="1:42">
      <c r="A57" s="47" t="str">
        <f>'【2】运营中心填-基本信息&amp;审核标准'!$E$2</f>
        <v>福围广生7-16、17栋</v>
      </c>
      <c r="B57" s="13"/>
      <c r="C57" s="13"/>
      <c r="D57" s="13"/>
      <c r="E57" s="13"/>
      <c r="F57" s="13"/>
      <c r="G57" s="13"/>
      <c r="H57" s="48">
        <v>514</v>
      </c>
      <c r="I57" s="49" t="s">
        <v>491</v>
      </c>
      <c r="J57" s="49" t="s">
        <v>43</v>
      </c>
      <c r="K57" s="13"/>
      <c r="L57" s="50">
        <f>VLOOKUP(J57,'【3】大区填-楼栋基准格局定价'!B:H,7,0)</f>
        <v>2472.1725</v>
      </c>
      <c r="M57" s="51" t="s">
        <v>63</v>
      </c>
      <c r="N57" s="51">
        <v>23.39</v>
      </c>
      <c r="O57" s="52"/>
      <c r="P57" s="52" t="str">
        <f>IF(COUNTIFS(户型资产表!E:E,I57,户型资产表!H:H,"阳台门")&gt;0,"有","无")</f>
        <v>无</v>
      </c>
      <c r="Q57" s="52"/>
      <c r="R57" s="52" t="str">
        <f>IF('【2】运营中心填-基本信息&amp;审核标准'!$D$4="是","无",IF(INT(H57/100)&gt;9,"9F",INT(H57/100)&amp;"F"))</f>
        <v>无</v>
      </c>
      <c r="S57" s="52">
        <f>VLOOKUP(R57,【1】定价因子!D:F,3,0)</f>
        <v>1</v>
      </c>
      <c r="T57" s="52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5-6F</v>
      </c>
      <c r="U57" s="52">
        <f>VLOOKUP($T$1&amp;T57,【1】定价因子!E:F,2,0)</f>
        <v>1.01</v>
      </c>
      <c r="V57" s="52" t="str">
        <f>IF(COUNTIFS(户型资产表!E:E,I57,户型资产表!H:H,"操作台")&gt;0,"有","无")</f>
        <v>有</v>
      </c>
      <c r="W57" s="52" t="str">
        <f>IF(COUNTIFS(户型资产表!E:E,I57,户型资产表!H:H,"书桌")&gt;0,"有","无")</f>
        <v>无</v>
      </c>
      <c r="X57" s="52" t="str" cm="1">
        <f t="array" ref="X57">IF(SUMPRODUCT((户型资产表!E:E=I57)*((户型资产表!I:I="沙发01单人")+(户型资产表!I:I="单人沙发02")))&gt;0,"有","无")</f>
        <v>无</v>
      </c>
      <c r="Y57" s="52" t="str" cm="1">
        <f t="array" ref="Y57">IF(SUMPRODUCT((户型资产表!E:E=I57)*((户型资产表!I:I="沙发02两人")+(户型资产表!I:I="双人沙发01")))&gt;0,"有","无")</f>
        <v>有</v>
      </c>
      <c r="Z57" s="52" t="str">
        <f>IF(COUNTIFS(户型资产表!E:E,I57,户型资产表!H:H,"餐桌")&gt;0,"有","无")</f>
        <v>有</v>
      </c>
      <c r="AA57" s="52" t="str">
        <f>IF(COUNTIFS(户型资产表!E:E,I57,户型资产表!H:H,"吸油烟机")&gt;0,"有","无")</f>
        <v>无</v>
      </c>
      <c r="AB57" s="52" t="str">
        <f>IF(COUNTIFS(户型资产表!E:E,I57,户型资产表!H:H,"冰箱")&gt;0,"有","无")</f>
        <v>无</v>
      </c>
      <c r="AC57" s="52" t="str">
        <f>IF(COUNTIFS(户型资产表!E:E,I57,户型资产表!H:H,"电视柜")&gt;0,"有","无")</f>
        <v>无</v>
      </c>
      <c r="AD57" s="51" t="str">
        <f t="shared" si="21"/>
        <v>适中</v>
      </c>
      <c r="AE57" s="52">
        <f>VLOOKUP($AD$1&amp;AD57,【1】定价因子!E:F,2,0)</f>
        <v>1</v>
      </c>
      <c r="AF57" s="51" t="str">
        <f t="shared" si="22"/>
        <v>适中</v>
      </c>
      <c r="AG57" s="52">
        <f>VLOOKUP($AF$1&amp;AF57,【1】定价因子!E:F,2,0)</f>
        <v>1</v>
      </c>
      <c r="AH57" s="51" t="str">
        <f t="shared" si="23"/>
        <v>适中</v>
      </c>
      <c r="AI57" s="52">
        <f>VLOOKUP($AH$1&amp;AH57,【1】定价因子!E:F,2,0)</f>
        <v>1</v>
      </c>
      <c r="AJ57" s="52" t="str">
        <f>VLOOKUP(H57,'【3-1】大区填-采光基本要素'!A:H,8,0)</f>
        <v>2</v>
      </c>
      <c r="AK57" s="52">
        <f>VLOOKUP($AJ$1&amp;AJ57,【1】定价因子!E:F,2,0)</f>
        <v>0.96</v>
      </c>
      <c r="AL57" s="53">
        <f t="shared" si="24"/>
        <v>2397.018456</v>
      </c>
      <c r="AM57" s="54">
        <v>2268</v>
      </c>
      <c r="AN57" s="55">
        <f t="shared" si="25"/>
        <v>-0.0538245567851396</v>
      </c>
      <c r="AO57" s="56">
        <f t="shared" si="20"/>
        <v>2278</v>
      </c>
    </row>
    <row r="58" spans="1:42">
      <c r="A58" s="47" t="str">
        <f>'【2】运营中心填-基本信息&amp;审核标准'!$E$2</f>
        <v>福围广生7-16、17栋</v>
      </c>
      <c r="B58" s="13"/>
      <c r="C58" s="13"/>
      <c r="D58" s="13"/>
      <c r="E58" s="13"/>
      <c r="F58" s="13"/>
      <c r="G58" s="13"/>
      <c r="H58" s="48">
        <v>601</v>
      </c>
      <c r="I58" s="49" t="s">
        <v>491</v>
      </c>
      <c r="J58" s="49" t="s">
        <v>43</v>
      </c>
      <c r="K58" s="13"/>
      <c r="L58" s="50">
        <f>VLOOKUP(J58,'【3】大区填-楼栋基准格局定价'!B:H,7,0)</f>
        <v>2472.1725</v>
      </c>
      <c r="M58" s="51" t="s">
        <v>65</v>
      </c>
      <c r="N58" s="51">
        <v>22.14</v>
      </c>
      <c r="O58" s="52"/>
      <c r="P58" s="52" t="str">
        <f>IF(COUNTIFS(户型资产表!E:E,I58,户型资产表!H:H,"阳台门")&gt;0,"有","无")</f>
        <v>无</v>
      </c>
      <c r="Q58" s="52"/>
      <c r="R58" s="52" t="str">
        <f>IF('【2】运营中心填-基本信息&amp;审核标准'!$D$4="是","无",IF(INT(H58/100)&gt;9,"9F",INT(H58/100)&amp;"F"))</f>
        <v>无</v>
      </c>
      <c r="S58" s="52">
        <f>VLOOKUP(R58,【1】定价因子!D:F,3,0)</f>
        <v>1</v>
      </c>
      <c r="T58" s="52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5-6F</v>
      </c>
      <c r="U58" s="52">
        <f>VLOOKUP($T$1&amp;T58,【1】定价因子!E:F,2,0)</f>
        <v>1.01</v>
      </c>
      <c r="V58" s="52" t="str">
        <f>IF(COUNTIFS(户型资产表!E:E,I58,户型资产表!H:H,"操作台")&gt;0,"有","无")</f>
        <v>有</v>
      </c>
      <c r="W58" s="52" t="str">
        <f>IF(COUNTIFS(户型资产表!E:E,I58,户型资产表!H:H,"书桌")&gt;0,"有","无")</f>
        <v>无</v>
      </c>
      <c r="X58" s="52" t="str" cm="1">
        <f t="array" ref="X58">IF(SUMPRODUCT((户型资产表!E:E=I58)*((户型资产表!I:I="沙发01单人")+(户型资产表!I:I="单人沙发02")))&gt;0,"有","无")</f>
        <v>无</v>
      </c>
      <c r="Y58" s="52" t="str" cm="1">
        <f t="array" ref="Y58">IF(SUMPRODUCT((户型资产表!E:E=I58)*((户型资产表!I:I="沙发02两人")+(户型资产表!I:I="双人沙发01")))&gt;0,"有","无")</f>
        <v>有</v>
      </c>
      <c r="Z58" s="52" t="str">
        <f>IF(COUNTIFS(户型资产表!E:E,I58,户型资产表!H:H,"餐桌")&gt;0,"有","无")</f>
        <v>有</v>
      </c>
      <c r="AA58" s="52" t="str">
        <f>IF(COUNTIFS(户型资产表!E:E,I58,户型资产表!H:H,"吸油烟机")&gt;0,"有","无")</f>
        <v>无</v>
      </c>
      <c r="AB58" s="52" t="str">
        <f>IF(COUNTIFS(户型资产表!E:E,I58,户型资产表!H:H,"冰箱")&gt;0,"有","无")</f>
        <v>无</v>
      </c>
      <c r="AC58" s="52" t="str">
        <f>IF(COUNTIFS(户型资产表!E:E,I58,户型资产表!H:H,"电视柜")&gt;0,"有","无")</f>
        <v>无</v>
      </c>
      <c r="AD58" s="51" t="str">
        <f t="shared" si="21"/>
        <v>适中</v>
      </c>
      <c r="AE58" s="52">
        <f>VLOOKUP($AD$1&amp;AD58,【1】定价因子!E:F,2,0)</f>
        <v>1</v>
      </c>
      <c r="AF58" s="51" t="str">
        <f t="shared" si="22"/>
        <v>适中</v>
      </c>
      <c r="AG58" s="52">
        <f>VLOOKUP($AF$1&amp;AF58,【1】定价因子!E:F,2,0)</f>
        <v>1</v>
      </c>
      <c r="AH58" s="51" t="str">
        <f t="shared" si="23"/>
        <v>适中</v>
      </c>
      <c r="AI58" s="52">
        <f>VLOOKUP($AH$1&amp;AH58,【1】定价因子!E:F,2,0)</f>
        <v>1</v>
      </c>
      <c r="AJ58" s="52" t="str">
        <f>VLOOKUP(H58,'【3-1】大区填-采光基本要素'!A:H,8,0)</f>
        <v>2</v>
      </c>
      <c r="AK58" s="52">
        <f>VLOOKUP($AJ$1&amp;AJ58,【1】定价因子!E:F,2,0)</f>
        <v>0.96</v>
      </c>
      <c r="AL58" s="53">
        <f t="shared" si="24"/>
        <v>2397.018456</v>
      </c>
      <c r="AM58" s="54">
        <v>2178</v>
      </c>
      <c r="AN58" s="55">
        <f t="shared" si="25"/>
        <v>-0.0913712013571579</v>
      </c>
      <c r="AO58" s="56">
        <f t="shared" si="20"/>
        <v>2188</v>
      </c>
    </row>
    <row r="59" spans="1:42">
      <c r="A59" s="47" t="str">
        <f>'【2】运营中心填-基本信息&amp;审核标准'!$E$2</f>
        <v>福围广生7-16、17栋</v>
      </c>
      <c r="B59" s="13"/>
      <c r="C59" s="13"/>
      <c r="D59" s="13"/>
      <c r="E59" s="13"/>
      <c r="F59" s="13"/>
      <c r="G59" s="13"/>
      <c r="H59" s="48">
        <v>602</v>
      </c>
      <c r="I59" s="49" t="s">
        <v>492</v>
      </c>
      <c r="J59" s="49" t="s">
        <v>40</v>
      </c>
      <c r="K59" s="13"/>
      <c r="L59" s="50">
        <f>VLOOKUP(J59,'【3】大区填-楼栋基准格局定价'!B:H,7,0)</f>
        <v>1658.8509</v>
      </c>
      <c r="M59" s="51" t="s">
        <v>58</v>
      </c>
      <c r="N59" s="51">
        <v>21.67</v>
      </c>
      <c r="O59" s="52"/>
      <c r="P59" s="52" t="str">
        <f>IF(COUNTIFS(户型资产表!E:E,I59,户型资产表!H:H,"阳台门")&gt;0,"有","无")</f>
        <v>无</v>
      </c>
      <c r="Q59" s="52"/>
      <c r="R59" s="52" t="str">
        <f>IF('【2】运营中心填-基本信息&amp;审核标准'!$D$4="是","无",IF(INT(H59/100)&gt;9,"9F",INT(H59/100)&amp;"F"))</f>
        <v>无</v>
      </c>
      <c r="S59" s="52">
        <f>VLOOKUP(R59,【1】定价因子!D:F,3,0)</f>
        <v>1</v>
      </c>
      <c r="T59" s="52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5-6F</v>
      </c>
      <c r="U59" s="52">
        <f>VLOOKUP($T$1&amp;T59,【1】定价因子!E:F,2,0)</f>
        <v>1.01</v>
      </c>
      <c r="V59" s="52" t="str">
        <f>IF(COUNTIFS(户型资产表!E:E,I59,户型资产表!H:H,"操作台")&gt;0,"有","无")</f>
        <v>有</v>
      </c>
      <c r="W59" s="52" t="str">
        <f>IF(COUNTIFS(户型资产表!E:E,I59,户型资产表!H:H,"书桌")&gt;0,"有","无")</f>
        <v>有</v>
      </c>
      <c r="X59" s="52" t="str" cm="1">
        <f t="array" ref="X59">IF(SUMPRODUCT((户型资产表!E:E=I59)*((户型资产表!I:I="沙发01单人")+(户型资产表!I:I="单人沙发02")))&gt;0,"有","无")</f>
        <v>无</v>
      </c>
      <c r="Y59" s="52" t="str" cm="1">
        <f t="array" ref="Y59">IF(SUMPRODUCT((户型资产表!E:E=I59)*((户型资产表!I:I="沙发02两人")+(户型资产表!I:I="双人沙发01")))&gt;0,"有","无")</f>
        <v>无</v>
      </c>
      <c r="Z59" s="52" t="str">
        <f>IF(COUNTIFS(户型资产表!E:E,I59,户型资产表!H:H,"餐桌")&gt;0,"有","无")</f>
        <v>无</v>
      </c>
      <c r="AA59" s="52" t="str">
        <f>IF(COUNTIFS(户型资产表!E:E,I59,户型资产表!H:H,"吸油烟机")&gt;0,"有","无")</f>
        <v>无</v>
      </c>
      <c r="AB59" s="52" t="str">
        <f>IF(COUNTIFS(户型资产表!E:E,I59,户型资产表!H:H,"冰箱")&gt;0,"有","无")</f>
        <v>无</v>
      </c>
      <c r="AC59" s="52" t="str">
        <f>IF(COUNTIFS(户型资产表!E:E,I59,户型资产表!H:H,"电视柜")&gt;0,"有","无")</f>
        <v>无</v>
      </c>
      <c r="AD59" s="51" t="str">
        <f t="shared" si="21"/>
        <v>适中</v>
      </c>
      <c r="AE59" s="52">
        <f>VLOOKUP($AD$1&amp;AD59,【1】定价因子!E:F,2,0)</f>
        <v>1</v>
      </c>
      <c r="AF59" s="51" t="str">
        <f t="shared" si="22"/>
        <v>适中</v>
      </c>
      <c r="AG59" s="52">
        <f>VLOOKUP($AF$1&amp;AF59,【1】定价因子!E:F,2,0)</f>
        <v>1</v>
      </c>
      <c r="AH59" s="51" t="str">
        <f t="shared" si="23"/>
        <v>适中</v>
      </c>
      <c r="AI59" s="52">
        <f>VLOOKUP($AH$1&amp;AH59,【1】定价因子!E:F,2,0)</f>
        <v>1</v>
      </c>
      <c r="AJ59" s="52" t="str">
        <f>VLOOKUP(H59,'【3-1】大区填-采光基本要素'!A:H,8,0)</f>
        <v>2</v>
      </c>
      <c r="AK59" s="52">
        <f>VLOOKUP($AJ$1&amp;AJ59,【1】定价因子!E:F,2,0)</f>
        <v>0.96</v>
      </c>
      <c r="AL59" s="53">
        <f t="shared" si="24"/>
        <v>1608.42183264</v>
      </c>
      <c r="AM59" s="54">
        <v>1468</v>
      </c>
      <c r="AN59" s="55">
        <f t="shared" si="25"/>
        <v>-0.0873041075359672</v>
      </c>
      <c r="AO59" s="56">
        <f t="shared" si="20"/>
        <v>1478</v>
      </c>
    </row>
    <row r="60" spans="1:42">
      <c r="A60" s="47" t="str">
        <f>'【2】运营中心填-基本信息&amp;审核标准'!$E$2</f>
        <v>福围广生7-16、17栋</v>
      </c>
      <c r="B60" s="13"/>
      <c r="C60" s="13"/>
      <c r="D60" s="13"/>
      <c r="E60" s="13"/>
      <c r="F60" s="13"/>
      <c r="G60" s="13"/>
      <c r="H60" s="48">
        <v>603</v>
      </c>
      <c r="I60" s="49" t="s">
        <v>492</v>
      </c>
      <c r="J60" s="49" t="s">
        <v>40</v>
      </c>
      <c r="K60" s="13"/>
      <c r="L60" s="50">
        <f>VLOOKUP(J60,'【3】大区填-楼栋基准格局定价'!B:H,7,0)</f>
        <v>1658.8509</v>
      </c>
      <c r="M60" s="51" t="s">
        <v>63</v>
      </c>
      <c r="N60" s="51">
        <v>16.32</v>
      </c>
      <c r="O60" s="52"/>
      <c r="P60" s="52" t="str">
        <f>IF(COUNTIFS(户型资产表!E:E,I60,户型资产表!H:H,"阳台门")&gt;0,"有","无")</f>
        <v>无</v>
      </c>
      <c r="Q60" s="52"/>
      <c r="R60" s="52" t="str">
        <f>IF('【2】运营中心填-基本信息&amp;审核标准'!$D$4="是","无",IF(INT(H60/100)&gt;9,"9F",INT(H60/100)&amp;"F"))</f>
        <v>无</v>
      </c>
      <c r="S60" s="52">
        <f>VLOOKUP(R60,【1】定价因子!D:F,3,0)</f>
        <v>1</v>
      </c>
      <c r="T60" s="52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5-6F</v>
      </c>
      <c r="U60" s="52">
        <f>VLOOKUP($T$1&amp;T60,【1】定价因子!E:F,2,0)</f>
        <v>1.01</v>
      </c>
      <c r="V60" s="52" t="str">
        <f>IF(COUNTIFS(户型资产表!E:E,I60,户型资产表!H:H,"操作台")&gt;0,"有","无")</f>
        <v>有</v>
      </c>
      <c r="W60" s="52" t="str">
        <f>IF(COUNTIFS(户型资产表!E:E,I60,户型资产表!H:H,"书桌")&gt;0,"有","无")</f>
        <v>有</v>
      </c>
      <c r="X60" s="52" t="str" cm="1">
        <f t="array" ref="X60">IF(SUMPRODUCT((户型资产表!E:E=I60)*((户型资产表!I:I="沙发01单人")+(户型资产表!I:I="单人沙发02")))&gt;0,"有","无")</f>
        <v>无</v>
      </c>
      <c r="Y60" s="52" t="str" cm="1">
        <f t="array" ref="Y60">IF(SUMPRODUCT((户型资产表!E:E=I60)*((户型资产表!I:I="沙发02两人")+(户型资产表!I:I="双人沙发01")))&gt;0,"有","无")</f>
        <v>无</v>
      </c>
      <c r="Z60" s="52" t="str">
        <f>IF(COUNTIFS(户型资产表!E:E,I60,户型资产表!H:H,"餐桌")&gt;0,"有","无")</f>
        <v>无</v>
      </c>
      <c r="AA60" s="52" t="str">
        <f>IF(COUNTIFS(户型资产表!E:E,I60,户型资产表!H:H,"吸油烟机")&gt;0,"有","无")</f>
        <v>无</v>
      </c>
      <c r="AB60" s="52" t="str">
        <f>IF(COUNTIFS(户型资产表!E:E,I60,户型资产表!H:H,"冰箱")&gt;0,"有","无")</f>
        <v>无</v>
      </c>
      <c r="AC60" s="52" t="str">
        <f>IF(COUNTIFS(户型资产表!E:E,I60,户型资产表!H:H,"电视柜")&gt;0,"有","无")</f>
        <v>无</v>
      </c>
      <c r="AD60" s="51" t="str">
        <f t="shared" si="21"/>
        <v>适中</v>
      </c>
      <c r="AE60" s="52">
        <f>VLOOKUP($AD$1&amp;AD60,【1】定价因子!E:F,2,0)</f>
        <v>1</v>
      </c>
      <c r="AF60" s="51" t="str">
        <f t="shared" si="22"/>
        <v>适中</v>
      </c>
      <c r="AG60" s="52">
        <f>VLOOKUP($AF$1&amp;AF60,【1】定价因子!E:F,2,0)</f>
        <v>1</v>
      </c>
      <c r="AH60" s="51" t="str">
        <f t="shared" si="23"/>
        <v>适中</v>
      </c>
      <c r="AI60" s="52">
        <f>VLOOKUP($AH$1&amp;AH60,【1】定价因子!E:F,2,0)</f>
        <v>1</v>
      </c>
      <c r="AJ60" s="52" t="str">
        <f>VLOOKUP(H60,'【3-1】大区填-采光基本要素'!A:H,8,0)</f>
        <v>2</v>
      </c>
      <c r="AK60" s="52">
        <f>VLOOKUP($AJ$1&amp;AJ60,【1】定价因子!E:F,2,0)</f>
        <v>0.96</v>
      </c>
      <c r="AL60" s="53">
        <f t="shared" si="24"/>
        <v>1608.42183264</v>
      </c>
      <c r="AM60" s="54">
        <v>1468</v>
      </c>
      <c r="AN60" s="55">
        <f t="shared" si="25"/>
        <v>-0.0873041075359672</v>
      </c>
      <c r="AO60" s="56">
        <f t="shared" si="20"/>
        <v>1478</v>
      </c>
    </row>
    <row r="61" s="34" customFormat="1" spans="1:42">
      <c r="A61" s="57" t="str">
        <f>'【2】运营中心填-基本信息&amp;审核标准'!$E$2</f>
        <v>福围广生7-16、17栋</v>
      </c>
      <c r="B61" s="57"/>
      <c r="C61" s="57"/>
      <c r="D61" s="57"/>
      <c r="E61" s="57"/>
      <c r="F61" s="57"/>
      <c r="G61" s="57"/>
      <c r="H61" s="58">
        <v>604</v>
      </c>
      <c r="I61" s="59" t="s">
        <v>491</v>
      </c>
      <c r="J61" s="59" t="s">
        <v>43</v>
      </c>
      <c r="K61" s="57"/>
      <c r="L61" s="60">
        <f>VLOOKUP(J61,'【3】大区填-楼栋基准格局定价'!B:H,7,0)</f>
        <v>2472.1725</v>
      </c>
      <c r="M61" s="61" t="s">
        <v>65</v>
      </c>
      <c r="N61" s="61">
        <v>20.73</v>
      </c>
      <c r="O61" s="57"/>
      <c r="P61" s="57" t="str">
        <f>IF(COUNTIFS(户型资产表!E:E,I61,户型资产表!H:H,"阳台门")&gt;0,"有","无")</f>
        <v>无</v>
      </c>
      <c r="Q61" s="57"/>
      <c r="R61" s="57" t="str">
        <f>IF('【2】运营中心填-基本信息&amp;审核标准'!$D$4="是","无",IF(INT(H61/100)&gt;9,"9F",INT(H61/100)&amp;"F"))</f>
        <v>无</v>
      </c>
      <c r="S61" s="57">
        <f>VLOOKUP(R61,【1】定价因子!D:F,3,0)</f>
        <v>1</v>
      </c>
      <c r="T61" s="57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5-6F</v>
      </c>
      <c r="U61" s="57">
        <f>VLOOKUP($T$1&amp;T61,【1】定价因子!E:F,2,0)</f>
        <v>1.01</v>
      </c>
      <c r="V61" s="57" t="str">
        <f>IF(COUNTIFS(户型资产表!E:E,I61,户型资产表!H:H,"操作台")&gt;0,"有","无")</f>
        <v>有</v>
      </c>
      <c r="W61" s="57" t="str">
        <f>IF(COUNTIFS(户型资产表!E:E,I61,户型资产表!H:H,"书桌")&gt;0,"有","无")</f>
        <v>无</v>
      </c>
      <c r="X61" s="57" t="str" cm="1">
        <f t="array" ref="X61">IF(SUMPRODUCT((户型资产表!E:E=I61)*((户型资产表!I:I="沙发01单人")+(户型资产表!I:I="单人沙发02")))&gt;0,"有","无")</f>
        <v>无</v>
      </c>
      <c r="Y61" s="57" t="str" cm="1">
        <f t="array" ref="Y61">IF(SUMPRODUCT((户型资产表!E:E=I61)*((户型资产表!I:I="沙发02两人")+(户型资产表!I:I="双人沙发01")))&gt;0,"有","无")</f>
        <v>有</v>
      </c>
      <c r="Z61" s="57" t="str">
        <f>IF(COUNTIFS(户型资产表!E:E,I61,户型资产表!H:H,"餐桌")&gt;0,"有","无")</f>
        <v>有</v>
      </c>
      <c r="AA61" s="57" t="str">
        <f>IF(COUNTIFS(户型资产表!E:E,I61,户型资产表!H:H,"吸油烟机")&gt;0,"有","无")</f>
        <v>无</v>
      </c>
      <c r="AB61" s="57" t="str">
        <f>IF(COUNTIFS(户型资产表!E:E,I61,户型资产表!H:H,"冰箱")&gt;0,"有","无")</f>
        <v>无</v>
      </c>
      <c r="AC61" s="57" t="str">
        <f>IF(COUNTIFS(户型资产表!E:E,I61,户型资产表!H:H,"电视柜")&gt;0,"有","无")</f>
        <v>无</v>
      </c>
      <c r="AD61" s="61" t="str">
        <f t="shared" si="21"/>
        <v>适中</v>
      </c>
      <c r="AE61" s="57">
        <f>VLOOKUP($AD$1&amp;AD61,【1】定价因子!E:F,2,0)</f>
        <v>1</v>
      </c>
      <c r="AF61" s="61" t="str">
        <f t="shared" si="22"/>
        <v>适中</v>
      </c>
      <c r="AG61" s="57">
        <f>VLOOKUP($AF$1&amp;AF61,【1】定价因子!E:F,2,0)</f>
        <v>1</v>
      </c>
      <c r="AH61" s="61" t="str">
        <f t="shared" si="23"/>
        <v>适中</v>
      </c>
      <c r="AI61" s="57">
        <f>VLOOKUP($AH$1&amp;AH61,【1】定价因子!E:F,2,0)</f>
        <v>1</v>
      </c>
      <c r="AJ61" s="57" t="str">
        <f>VLOOKUP(H61,'【3-1】大区填-采光基本要素'!A:H,8,0)</f>
        <v>1</v>
      </c>
      <c r="AK61" s="57">
        <f>VLOOKUP($AJ$1&amp;AJ61,【1】定价因子!E:F,2,0)</f>
        <v>0.91</v>
      </c>
      <c r="AL61" s="62">
        <f t="shared" si="24"/>
        <v>2272.17374475</v>
      </c>
      <c r="AM61" s="63">
        <v>2050</v>
      </c>
      <c r="AN61" s="64">
        <f t="shared" si="25"/>
        <v>-0.0977802622987552</v>
      </c>
      <c r="AO61" s="65">
        <f t="shared" si="20"/>
        <v>2060</v>
      </c>
      <c r="AP61" s="63">
        <v>2168</v>
      </c>
    </row>
    <row r="62" s="34" customFormat="1" spans="1:42">
      <c r="A62" s="57" t="str">
        <f>'【2】运营中心填-基本信息&amp;审核标准'!$E$2</f>
        <v>福围广生7-16、17栋</v>
      </c>
      <c r="B62" s="57"/>
      <c r="C62" s="57"/>
      <c r="D62" s="57"/>
      <c r="E62" s="57"/>
      <c r="F62" s="57"/>
      <c r="G62" s="57"/>
      <c r="H62" s="58">
        <v>605</v>
      </c>
      <c r="I62" s="59" t="s">
        <v>493</v>
      </c>
      <c r="J62" s="59" t="s">
        <v>43</v>
      </c>
      <c r="K62" s="57"/>
      <c r="L62" s="60">
        <f>VLOOKUP(J62,'【3】大区填-楼栋基准格局定价'!B:H,7,0)</f>
        <v>2472.1725</v>
      </c>
      <c r="M62" s="61" t="s">
        <v>65</v>
      </c>
      <c r="N62" s="61">
        <v>21.83</v>
      </c>
      <c r="O62" s="57"/>
      <c r="P62" s="57" t="str">
        <f>IF(COUNTIFS(户型资产表!E:E,I62,户型资产表!H:H,"阳台门")&gt;0,"有","无")</f>
        <v>无</v>
      </c>
      <c r="Q62" s="57"/>
      <c r="R62" s="57" t="str">
        <f>IF('【2】运营中心填-基本信息&amp;审核标准'!$D$4="是","无",IF(INT(H62/100)&gt;9,"9F",INT(H62/100)&amp;"F"))</f>
        <v>无</v>
      </c>
      <c r="S62" s="57">
        <f>VLOOKUP(R62,【1】定价因子!D:F,3,0)</f>
        <v>1</v>
      </c>
      <c r="T62" s="57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5-6F</v>
      </c>
      <c r="U62" s="57">
        <f>VLOOKUP($T$1&amp;T62,【1】定价因子!E:F,2,0)</f>
        <v>1.01</v>
      </c>
      <c r="V62" s="57" t="str">
        <f>IF(COUNTIFS(户型资产表!E:E,I62,户型资产表!H:H,"操作台")&gt;0,"有","无")</f>
        <v>有</v>
      </c>
      <c r="W62" s="57" t="str">
        <f>IF(COUNTIFS(户型资产表!E:E,I62,户型资产表!H:H,"书桌")&gt;0,"有","无")</f>
        <v>无</v>
      </c>
      <c r="X62" s="57" t="str" cm="1">
        <f t="array" ref="X62">IF(SUMPRODUCT((户型资产表!E:E=I62)*((户型资产表!I:I="沙发01单人")+(户型资产表!I:I="单人沙发02")))&gt;0,"有","无")</f>
        <v>无</v>
      </c>
      <c r="Y62" s="57" t="str" cm="1">
        <f t="array" ref="Y62">IF(SUMPRODUCT((户型资产表!E:E=I62)*((户型资产表!I:I="沙发02两人")+(户型资产表!I:I="双人沙发01")))&gt;0,"有","无")</f>
        <v>有</v>
      </c>
      <c r="Z62" s="57" t="str">
        <f>IF(COUNTIFS(户型资产表!E:E,I62,户型资产表!H:H,"餐桌")&gt;0,"有","无")</f>
        <v>有</v>
      </c>
      <c r="AA62" s="57" t="str">
        <f>IF(COUNTIFS(户型资产表!E:E,I62,户型资产表!H:H,"吸油烟机")&gt;0,"有","无")</f>
        <v>无</v>
      </c>
      <c r="AB62" s="57" t="str">
        <f>IF(COUNTIFS(户型资产表!E:E,I62,户型资产表!H:H,"冰箱")&gt;0,"有","无")</f>
        <v>无</v>
      </c>
      <c r="AC62" s="57" t="str">
        <f>IF(COUNTIFS(户型资产表!E:E,I62,户型资产表!H:H,"电视柜")&gt;0,"有","无")</f>
        <v>无</v>
      </c>
      <c r="AD62" s="61" t="str">
        <f t="shared" si="21"/>
        <v>适中</v>
      </c>
      <c r="AE62" s="57">
        <f>VLOOKUP($AD$1&amp;AD62,【1】定价因子!E:F,2,0)</f>
        <v>1</v>
      </c>
      <c r="AF62" s="61" t="str">
        <f t="shared" si="22"/>
        <v>适中</v>
      </c>
      <c r="AG62" s="57">
        <f>VLOOKUP($AF$1&amp;AF62,【1】定价因子!E:F,2,0)</f>
        <v>1</v>
      </c>
      <c r="AH62" s="61" t="str">
        <f t="shared" si="23"/>
        <v>适中</v>
      </c>
      <c r="AI62" s="57">
        <f>VLOOKUP($AH$1&amp;AH62,【1】定价因子!E:F,2,0)</f>
        <v>1</v>
      </c>
      <c r="AJ62" s="57" t="str">
        <f>VLOOKUP(H62,'【3-1】大区填-采光基本要素'!A:H,8,0)</f>
        <v>2</v>
      </c>
      <c r="AK62" s="57">
        <f>VLOOKUP($AJ$1&amp;AJ62,【1】定价因子!E:F,2,0)</f>
        <v>0.96</v>
      </c>
      <c r="AL62" s="62">
        <f t="shared" si="24"/>
        <v>2397.018456</v>
      </c>
      <c r="AM62" s="63">
        <v>2080</v>
      </c>
      <c r="AN62" s="64">
        <f t="shared" si="25"/>
        <v>-0.132255325446689</v>
      </c>
      <c r="AO62" s="65">
        <f t="shared" si="20"/>
        <v>2090</v>
      </c>
      <c r="AP62" s="63">
        <v>2178</v>
      </c>
    </row>
    <row r="63" spans="1:42">
      <c r="A63" s="47" t="str">
        <f>'【2】运营中心填-基本信息&amp;审核标准'!$E$2</f>
        <v>福围广生7-16、17栋</v>
      </c>
      <c r="B63" s="13"/>
      <c r="C63" s="13"/>
      <c r="D63" s="13"/>
      <c r="E63" s="13"/>
      <c r="F63" s="13"/>
      <c r="G63" s="13"/>
      <c r="H63" s="48">
        <v>606</v>
      </c>
      <c r="I63" s="49" t="s">
        <v>494</v>
      </c>
      <c r="J63" s="49" t="s">
        <v>40</v>
      </c>
      <c r="K63" s="13"/>
      <c r="L63" s="50">
        <f>VLOOKUP(J63,'【3】大区填-楼栋基准格局定价'!B:H,7,0)</f>
        <v>1658.8509</v>
      </c>
      <c r="M63" s="51" t="s">
        <v>61</v>
      </c>
      <c r="N63" s="51">
        <v>17.58</v>
      </c>
      <c r="O63" s="52"/>
      <c r="P63" s="52" t="str">
        <f>IF(COUNTIFS(户型资产表!E:E,I63,户型资产表!H:H,"阳台门")&gt;0,"有","无")</f>
        <v>无</v>
      </c>
      <c r="Q63" s="52"/>
      <c r="R63" s="52" t="str">
        <f>IF('【2】运营中心填-基本信息&amp;审核标准'!$D$4="是","无",IF(INT(H63/100)&gt;9,"9F",INT(H63/100)&amp;"F"))</f>
        <v>无</v>
      </c>
      <c r="S63" s="52">
        <f>VLOOKUP(R63,【1】定价因子!D:F,3,0)</f>
        <v>1</v>
      </c>
      <c r="T63" s="52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5-6F</v>
      </c>
      <c r="U63" s="52">
        <f>VLOOKUP($T$1&amp;T63,【1】定价因子!E:F,2,0)</f>
        <v>1.01</v>
      </c>
      <c r="V63" s="52" t="str">
        <f>IF(COUNTIFS(户型资产表!E:E,I63,户型资产表!H:H,"操作台")&gt;0,"有","无")</f>
        <v>有</v>
      </c>
      <c r="W63" s="52" t="str">
        <f>IF(COUNTIFS(户型资产表!E:E,I63,户型资产表!H:H,"书桌")&gt;0,"有","无")</f>
        <v>有</v>
      </c>
      <c r="X63" s="52" t="str" cm="1">
        <f t="array" ref="X63">IF(SUMPRODUCT((户型资产表!E:E=I63)*((户型资产表!I:I="沙发01单人")+(户型资产表!I:I="单人沙发02")))&gt;0,"有","无")</f>
        <v>无</v>
      </c>
      <c r="Y63" s="52" t="str" cm="1">
        <f t="array" ref="Y63">IF(SUMPRODUCT((户型资产表!E:E=I63)*((户型资产表!I:I="沙发02两人")+(户型资产表!I:I="双人沙发01")))&gt;0,"有","无")</f>
        <v>无</v>
      </c>
      <c r="Z63" s="52" t="str">
        <f>IF(COUNTIFS(户型资产表!E:E,I63,户型资产表!H:H,"餐桌")&gt;0,"有","无")</f>
        <v>无</v>
      </c>
      <c r="AA63" s="52" t="str">
        <f>IF(COUNTIFS(户型资产表!E:E,I63,户型资产表!H:H,"吸油烟机")&gt;0,"有","无")</f>
        <v>无</v>
      </c>
      <c r="AB63" s="52" t="str">
        <f>IF(COUNTIFS(户型资产表!E:E,I63,户型资产表!H:H,"冰箱")&gt;0,"有","无")</f>
        <v>无</v>
      </c>
      <c r="AC63" s="52" t="str">
        <f>IF(COUNTIFS(户型资产表!E:E,I63,户型资产表!H:H,"电视柜")&gt;0,"有","无")</f>
        <v>无</v>
      </c>
      <c r="AD63" s="51" t="str">
        <f t="shared" si="21"/>
        <v>适中</v>
      </c>
      <c r="AE63" s="52">
        <f>VLOOKUP($AD$1&amp;AD63,【1】定价因子!E:F,2,0)</f>
        <v>1</v>
      </c>
      <c r="AF63" s="51" t="str">
        <f t="shared" si="22"/>
        <v>适中</v>
      </c>
      <c r="AG63" s="52">
        <f>VLOOKUP($AF$1&amp;AF63,【1】定价因子!E:F,2,0)</f>
        <v>1</v>
      </c>
      <c r="AH63" s="51" t="str">
        <f t="shared" si="23"/>
        <v>适中</v>
      </c>
      <c r="AI63" s="52">
        <f>VLOOKUP($AH$1&amp;AH63,【1】定价因子!E:F,2,0)</f>
        <v>1</v>
      </c>
      <c r="AJ63" s="52" t="str">
        <f>VLOOKUP(H63,'【3-1】大区填-采光基本要素'!A:H,8,0)</f>
        <v>3</v>
      </c>
      <c r="AK63" s="52">
        <f>VLOOKUP($AJ$1&amp;AJ63,【1】定价因子!E:F,2,0)</f>
        <v>1</v>
      </c>
      <c r="AL63" s="53">
        <f t="shared" si="24"/>
        <v>1675.439409</v>
      </c>
      <c r="AM63" s="54">
        <v>1528</v>
      </c>
      <c r="AN63" s="55">
        <f t="shared" si="25"/>
        <v>-0.0880004422768117</v>
      </c>
      <c r="AO63" s="56">
        <f t="shared" si="20"/>
        <v>1538</v>
      </c>
    </row>
    <row r="64" spans="1:42">
      <c r="A64" s="47" t="str">
        <f>'【2】运营中心填-基本信息&amp;审核标准'!$E$2</f>
        <v>福围广生7-16、17栋</v>
      </c>
      <c r="B64" s="13"/>
      <c r="C64" s="13"/>
      <c r="D64" s="13"/>
      <c r="E64" s="13"/>
      <c r="F64" s="13"/>
      <c r="G64" s="13"/>
      <c r="H64" s="48">
        <v>607</v>
      </c>
      <c r="I64" s="49" t="s">
        <v>492</v>
      </c>
      <c r="J64" s="49" t="s">
        <v>40</v>
      </c>
      <c r="K64" s="13"/>
      <c r="L64" s="50">
        <f>VLOOKUP(J64,'【3】大区填-楼栋基准格局定价'!B:H,7,0)</f>
        <v>1658.8509</v>
      </c>
      <c r="M64" s="51" t="s">
        <v>63</v>
      </c>
      <c r="N64" s="51">
        <v>16.65</v>
      </c>
      <c r="O64" s="52"/>
      <c r="P64" s="52" t="str">
        <f>IF(COUNTIFS(户型资产表!E:E,I64,户型资产表!H:H,"阳台门")&gt;0,"有","无")</f>
        <v>无</v>
      </c>
      <c r="Q64" s="52"/>
      <c r="R64" s="52" t="str">
        <f>IF('【2】运营中心填-基本信息&amp;审核标准'!$D$4="是","无",IF(INT(H64/100)&gt;9,"9F",INT(H64/100)&amp;"F"))</f>
        <v>无</v>
      </c>
      <c r="S64" s="52">
        <f>VLOOKUP(R64,【1】定价因子!D:F,3,0)</f>
        <v>1</v>
      </c>
      <c r="T64" s="52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5-6F</v>
      </c>
      <c r="U64" s="52">
        <f>VLOOKUP($T$1&amp;T64,【1】定价因子!E:F,2,0)</f>
        <v>1.01</v>
      </c>
      <c r="V64" s="52" t="str">
        <f>IF(COUNTIFS(户型资产表!E:E,I64,户型资产表!H:H,"操作台")&gt;0,"有","无")</f>
        <v>有</v>
      </c>
      <c r="W64" s="52" t="str">
        <f>IF(COUNTIFS(户型资产表!E:E,I64,户型资产表!H:H,"书桌")&gt;0,"有","无")</f>
        <v>有</v>
      </c>
      <c r="X64" s="52" t="str" cm="1">
        <f t="array" ref="X64">IF(SUMPRODUCT((户型资产表!E:E=I64)*((户型资产表!I:I="沙发01单人")+(户型资产表!I:I="单人沙发02")))&gt;0,"有","无")</f>
        <v>无</v>
      </c>
      <c r="Y64" s="52" t="str" cm="1">
        <f t="array" ref="Y64">IF(SUMPRODUCT((户型资产表!E:E=I64)*((户型资产表!I:I="沙发02两人")+(户型资产表!I:I="双人沙发01")))&gt;0,"有","无")</f>
        <v>无</v>
      </c>
      <c r="Z64" s="52" t="str">
        <f>IF(COUNTIFS(户型资产表!E:E,I64,户型资产表!H:H,"餐桌")&gt;0,"有","无")</f>
        <v>无</v>
      </c>
      <c r="AA64" s="52" t="str">
        <f>IF(COUNTIFS(户型资产表!E:E,I64,户型资产表!H:H,"吸油烟机")&gt;0,"有","无")</f>
        <v>无</v>
      </c>
      <c r="AB64" s="52" t="str">
        <f>IF(COUNTIFS(户型资产表!E:E,I64,户型资产表!H:H,"冰箱")&gt;0,"有","无")</f>
        <v>无</v>
      </c>
      <c r="AC64" s="52" t="str">
        <f>IF(COUNTIFS(户型资产表!E:E,I64,户型资产表!H:H,"电视柜")&gt;0,"有","无")</f>
        <v>无</v>
      </c>
      <c r="AD64" s="51" t="str">
        <f t="shared" si="21"/>
        <v>适中</v>
      </c>
      <c r="AE64" s="52">
        <f>VLOOKUP($AD$1&amp;AD64,【1】定价因子!E:F,2,0)</f>
        <v>1</v>
      </c>
      <c r="AF64" s="51" t="str">
        <f t="shared" si="22"/>
        <v>适中</v>
      </c>
      <c r="AG64" s="52">
        <f>VLOOKUP($AF$1&amp;AF64,【1】定价因子!E:F,2,0)</f>
        <v>1</v>
      </c>
      <c r="AH64" s="51" t="str">
        <f t="shared" si="23"/>
        <v>适中</v>
      </c>
      <c r="AI64" s="52">
        <f>VLOOKUP($AH$1&amp;AH64,【1】定价因子!E:F,2,0)</f>
        <v>1</v>
      </c>
      <c r="AJ64" s="52" t="str">
        <f>VLOOKUP(H64,'【3-1】大区填-采光基本要素'!A:H,8,0)</f>
        <v>2</v>
      </c>
      <c r="AK64" s="52">
        <f>VLOOKUP($AJ$1&amp;AJ64,【1】定价因子!E:F,2,0)</f>
        <v>0.96</v>
      </c>
      <c r="AL64" s="53">
        <f t="shared" si="24"/>
        <v>1608.42183264</v>
      </c>
      <c r="AM64" s="54">
        <v>1468</v>
      </c>
      <c r="AN64" s="55">
        <f t="shared" si="25"/>
        <v>-0.0873041075359672</v>
      </c>
      <c r="AO64" s="56">
        <f t="shared" si="20"/>
        <v>1478</v>
      </c>
    </row>
    <row r="65" spans="1:42">
      <c r="A65" s="47" t="str">
        <f>'【2】运营中心填-基本信息&amp;审核标准'!$E$2</f>
        <v>福围广生7-16、17栋</v>
      </c>
      <c r="B65" s="13"/>
      <c r="C65" s="13"/>
      <c r="D65" s="13"/>
      <c r="E65" s="13"/>
      <c r="F65" s="13"/>
      <c r="G65" s="13"/>
      <c r="H65" s="48">
        <v>608</v>
      </c>
      <c r="I65" s="49" t="s">
        <v>492</v>
      </c>
      <c r="J65" s="49" t="s">
        <v>40</v>
      </c>
      <c r="K65" s="13"/>
      <c r="L65" s="50">
        <f>VLOOKUP(J65,'【3】大区填-楼栋基准格局定价'!B:H,7,0)</f>
        <v>1658.8509</v>
      </c>
      <c r="M65" s="51" t="s">
        <v>63</v>
      </c>
      <c r="N65" s="51">
        <v>16.79</v>
      </c>
      <c r="O65" s="52"/>
      <c r="P65" s="52" t="str">
        <f>IF(COUNTIFS(户型资产表!E:E,I65,户型资产表!H:H,"阳台门")&gt;0,"有","无")</f>
        <v>无</v>
      </c>
      <c r="Q65" s="52"/>
      <c r="R65" s="52" t="str">
        <f>IF('【2】运营中心填-基本信息&amp;审核标准'!$D$4="是","无",IF(INT(H65/100)&gt;9,"9F",INT(H65/100)&amp;"F"))</f>
        <v>无</v>
      </c>
      <c r="S65" s="52">
        <f>VLOOKUP(R65,【1】定价因子!D:F,3,0)</f>
        <v>1</v>
      </c>
      <c r="T65" s="52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5-6F</v>
      </c>
      <c r="U65" s="52">
        <f>VLOOKUP($T$1&amp;T65,【1】定价因子!E:F,2,0)</f>
        <v>1.01</v>
      </c>
      <c r="V65" s="52" t="str">
        <f>IF(COUNTIFS(户型资产表!E:E,I65,户型资产表!H:H,"操作台")&gt;0,"有","无")</f>
        <v>有</v>
      </c>
      <c r="W65" s="52" t="str">
        <f>IF(COUNTIFS(户型资产表!E:E,I65,户型资产表!H:H,"书桌")&gt;0,"有","无")</f>
        <v>有</v>
      </c>
      <c r="X65" s="52" t="str" cm="1">
        <f t="array" ref="X65">IF(SUMPRODUCT((户型资产表!E:E=I65)*((户型资产表!I:I="沙发01单人")+(户型资产表!I:I="单人沙发02")))&gt;0,"有","无")</f>
        <v>无</v>
      </c>
      <c r="Y65" s="52" t="str" cm="1">
        <f t="array" ref="Y65">IF(SUMPRODUCT((户型资产表!E:E=I65)*((户型资产表!I:I="沙发02两人")+(户型资产表!I:I="双人沙发01")))&gt;0,"有","无")</f>
        <v>无</v>
      </c>
      <c r="Z65" s="52" t="str">
        <f>IF(COUNTIFS(户型资产表!E:E,I65,户型资产表!H:H,"餐桌")&gt;0,"有","无")</f>
        <v>无</v>
      </c>
      <c r="AA65" s="52" t="str">
        <f>IF(COUNTIFS(户型资产表!E:E,I65,户型资产表!H:H,"吸油烟机")&gt;0,"有","无")</f>
        <v>无</v>
      </c>
      <c r="AB65" s="52" t="str">
        <f>IF(COUNTIFS(户型资产表!E:E,I65,户型资产表!H:H,"冰箱")&gt;0,"有","无")</f>
        <v>无</v>
      </c>
      <c r="AC65" s="52" t="str">
        <f>IF(COUNTIFS(户型资产表!E:E,I65,户型资产表!H:H,"电视柜")&gt;0,"有","无")</f>
        <v>无</v>
      </c>
      <c r="AD65" s="51" t="str">
        <f t="shared" si="21"/>
        <v>适中</v>
      </c>
      <c r="AE65" s="52">
        <f>VLOOKUP($AD$1&amp;AD65,【1】定价因子!E:F,2,0)</f>
        <v>1</v>
      </c>
      <c r="AF65" s="51" t="str">
        <f t="shared" si="22"/>
        <v>适中</v>
      </c>
      <c r="AG65" s="52">
        <f>VLOOKUP($AF$1&amp;AF65,【1】定价因子!E:F,2,0)</f>
        <v>1</v>
      </c>
      <c r="AH65" s="51" t="str">
        <f t="shared" si="23"/>
        <v>适中</v>
      </c>
      <c r="AI65" s="52">
        <f>VLOOKUP($AH$1&amp;AH65,【1】定价因子!E:F,2,0)</f>
        <v>1</v>
      </c>
      <c r="AJ65" s="52" t="str">
        <f>VLOOKUP(H65,'【3-1】大区填-采光基本要素'!A:H,8,0)</f>
        <v>2</v>
      </c>
      <c r="AK65" s="52">
        <f>VLOOKUP($AJ$1&amp;AJ65,【1】定价因子!E:F,2,0)</f>
        <v>0.96</v>
      </c>
      <c r="AL65" s="53">
        <f t="shared" si="24"/>
        <v>1608.42183264</v>
      </c>
      <c r="AM65" s="54">
        <v>1468</v>
      </c>
      <c r="AN65" s="55">
        <f t="shared" si="25"/>
        <v>-0.0873041075359672</v>
      </c>
      <c r="AO65" s="56">
        <f t="shared" si="20"/>
        <v>1478</v>
      </c>
    </row>
    <row r="66" spans="1:42">
      <c r="A66" s="47" t="str">
        <f>'【2】运营中心填-基本信息&amp;审核标准'!$E$2</f>
        <v>福围广生7-16、17栋</v>
      </c>
      <c r="B66" s="13"/>
      <c r="C66" s="13"/>
      <c r="D66" s="13"/>
      <c r="E66" s="13"/>
      <c r="F66" s="13"/>
      <c r="G66" s="13"/>
      <c r="H66" s="48">
        <v>609</v>
      </c>
      <c r="I66" s="49" t="s">
        <v>495</v>
      </c>
      <c r="J66" s="49" t="s">
        <v>43</v>
      </c>
      <c r="K66" s="13"/>
      <c r="L66" s="50">
        <f>VLOOKUP(J66,'【3】大区填-楼栋基准格局定价'!B:H,7,0)</f>
        <v>2472.1725</v>
      </c>
      <c r="M66" s="51" t="s">
        <v>58</v>
      </c>
      <c r="N66" s="51">
        <v>30.92</v>
      </c>
      <c r="O66" s="52"/>
      <c r="P66" s="52" t="str">
        <f>IF(COUNTIFS(户型资产表!E:E,I66,户型资产表!H:H,"阳台门")&gt;0,"有","无")</f>
        <v>无</v>
      </c>
      <c r="Q66" s="52"/>
      <c r="R66" s="52" t="str">
        <f>IF('【2】运营中心填-基本信息&amp;审核标准'!$D$4="是","无",IF(INT(H66/100)&gt;9,"9F",INT(H66/100)&amp;"F"))</f>
        <v>无</v>
      </c>
      <c r="S66" s="52">
        <f>VLOOKUP(R66,【1】定价因子!D:F,3,0)</f>
        <v>1</v>
      </c>
      <c r="T66" s="52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5-6F</v>
      </c>
      <c r="U66" s="52">
        <f>VLOOKUP($T$1&amp;T66,【1】定价因子!E:F,2,0)</f>
        <v>1.01</v>
      </c>
      <c r="V66" s="52" t="str">
        <f>IF(COUNTIFS(户型资产表!E:E,I66,户型资产表!H:H,"操作台")&gt;0,"有","无")</f>
        <v>有</v>
      </c>
      <c r="W66" s="52" t="str">
        <f>IF(COUNTIFS(户型资产表!E:E,I66,户型资产表!H:H,"书桌")&gt;0,"有","无")</f>
        <v>有</v>
      </c>
      <c r="X66" s="52" t="str" cm="1">
        <f t="array" ref="X66">IF(SUMPRODUCT((户型资产表!E:E=I66)*((户型资产表!I:I="沙发01单人")+(户型资产表!I:I="单人沙发02")))&gt;0,"有","无")</f>
        <v>有</v>
      </c>
      <c r="Y66" s="52" t="str" cm="1">
        <f t="array" ref="Y66">IF(SUMPRODUCT((户型资产表!E:E=I66)*((户型资产表!I:I="沙发02两人")+(户型资产表!I:I="双人沙发01")))&gt;0,"有","无")</f>
        <v>有</v>
      </c>
      <c r="Z66" s="52" t="str">
        <f>IF(COUNTIFS(户型资产表!E:E,I66,户型资产表!H:H,"餐桌")&gt;0,"有","无")</f>
        <v>有</v>
      </c>
      <c r="AA66" s="52" t="str">
        <f>IF(COUNTIFS(户型资产表!E:E,I66,户型资产表!H:H,"吸油烟机")&gt;0,"有","无")</f>
        <v>无</v>
      </c>
      <c r="AB66" s="52" t="str">
        <f>IF(COUNTIFS(户型资产表!E:E,I66,户型资产表!H:H,"冰箱")&gt;0,"有","无")</f>
        <v>无</v>
      </c>
      <c r="AC66" s="52" t="str">
        <f>IF(COUNTIFS(户型资产表!E:E,I66,户型资产表!H:H,"电视柜")&gt;0,"有","无")</f>
        <v>无</v>
      </c>
      <c r="AD66" s="51" t="str">
        <f t="shared" si="21"/>
        <v>适中</v>
      </c>
      <c r="AE66" s="52">
        <f>VLOOKUP($AD$1&amp;AD66,【1】定价因子!E:F,2,0)</f>
        <v>1</v>
      </c>
      <c r="AF66" s="51" t="s">
        <v>63</v>
      </c>
      <c r="AG66" s="52">
        <f>VLOOKUP($AF$1&amp;AF66,【1】定价因子!E:F,2,0)</f>
        <v>1</v>
      </c>
      <c r="AH66" s="51" t="str">
        <f t="shared" si="23"/>
        <v>适中</v>
      </c>
      <c r="AI66" s="52">
        <f>VLOOKUP($AH$1&amp;AH66,【1】定价因子!E:F,2,0)</f>
        <v>1</v>
      </c>
      <c r="AJ66" s="52" t="str">
        <f>VLOOKUP(H66,'【3-1】大区填-采光基本要素'!A:H,8,0)</f>
        <v>2</v>
      </c>
      <c r="AK66" s="52">
        <f>VLOOKUP($AJ$1&amp;AJ66,【1】定价因子!E:F,2,0)</f>
        <v>0.96</v>
      </c>
      <c r="AL66" s="53">
        <f t="shared" si="24"/>
        <v>2397.018456</v>
      </c>
      <c r="AM66" s="54">
        <v>2318</v>
      </c>
      <c r="AN66" s="55">
        <f t="shared" si="25"/>
        <v>-0.032965309800685</v>
      </c>
      <c r="AO66" s="56">
        <f t="shared" si="20"/>
        <v>2328</v>
      </c>
    </row>
    <row r="67" spans="1:42">
      <c r="A67" s="47" t="str">
        <f>'【2】运营中心填-基本信息&amp;审核标准'!$E$2</f>
        <v>福围广生7-16、17栋</v>
      </c>
      <c r="B67" s="13"/>
      <c r="C67" s="13"/>
      <c r="D67" s="13"/>
      <c r="E67" s="13"/>
      <c r="F67" s="13"/>
      <c r="G67" s="13"/>
      <c r="H67" s="48">
        <v>610</v>
      </c>
      <c r="I67" s="49" t="s">
        <v>492</v>
      </c>
      <c r="J67" s="49" t="s">
        <v>40</v>
      </c>
      <c r="K67" s="13"/>
      <c r="L67" s="50">
        <f>VLOOKUP(J67,'【3】大区填-楼栋基准格局定价'!B:H,7,0)</f>
        <v>1658.8509</v>
      </c>
      <c r="M67" s="51" t="s">
        <v>63</v>
      </c>
      <c r="N67" s="51">
        <v>16.79</v>
      </c>
      <c r="O67" s="52"/>
      <c r="P67" s="52" t="str">
        <f>IF(COUNTIFS(户型资产表!E:E,I67,户型资产表!H:H,"阳台门")&gt;0,"有","无")</f>
        <v>无</v>
      </c>
      <c r="Q67" s="52"/>
      <c r="R67" s="52" t="str">
        <f>IF('【2】运营中心填-基本信息&amp;审核标准'!$D$4="是","无",IF(INT(H67/100)&gt;9,"9F",INT(H67/100)&amp;"F"))</f>
        <v>无</v>
      </c>
      <c r="S67" s="52">
        <f>VLOOKUP(R67,【1】定价因子!D:F,3,0)</f>
        <v>1</v>
      </c>
      <c r="T67" s="52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5-6F</v>
      </c>
      <c r="U67" s="52">
        <f>VLOOKUP($T$1&amp;T67,【1】定价因子!E:F,2,0)</f>
        <v>1.01</v>
      </c>
      <c r="V67" s="52" t="str">
        <f>IF(COUNTIFS(户型资产表!E:E,I67,户型资产表!H:H,"操作台")&gt;0,"有","无")</f>
        <v>有</v>
      </c>
      <c r="W67" s="52" t="str">
        <f>IF(COUNTIFS(户型资产表!E:E,I67,户型资产表!H:H,"书桌")&gt;0,"有","无")</f>
        <v>有</v>
      </c>
      <c r="X67" s="52" t="str" cm="1">
        <f t="array" ref="X67">IF(SUMPRODUCT((户型资产表!E:E=I67)*((户型资产表!I:I="沙发01单人")+(户型资产表!I:I="单人沙发02")))&gt;0,"有","无")</f>
        <v>无</v>
      </c>
      <c r="Y67" s="52" t="str" cm="1">
        <f t="array" ref="Y67">IF(SUMPRODUCT((户型资产表!E:E=I67)*((户型资产表!I:I="沙发02两人")+(户型资产表!I:I="双人沙发01")))&gt;0,"有","无")</f>
        <v>无</v>
      </c>
      <c r="Z67" s="52" t="str">
        <f>IF(COUNTIFS(户型资产表!E:E,I67,户型资产表!H:H,"餐桌")&gt;0,"有","无")</f>
        <v>无</v>
      </c>
      <c r="AA67" s="52" t="str">
        <f>IF(COUNTIFS(户型资产表!E:E,I67,户型资产表!H:H,"吸油烟机")&gt;0,"有","无")</f>
        <v>无</v>
      </c>
      <c r="AB67" s="52" t="str">
        <f>IF(COUNTIFS(户型资产表!E:E,I67,户型资产表!H:H,"冰箱")&gt;0,"有","无")</f>
        <v>无</v>
      </c>
      <c r="AC67" s="52" t="str">
        <f>IF(COUNTIFS(户型资产表!E:E,I67,户型资产表!H:H,"电视柜")&gt;0,"有","无")</f>
        <v>无</v>
      </c>
      <c r="AD67" s="51" t="str">
        <f t="shared" si="21"/>
        <v>适中</v>
      </c>
      <c r="AE67" s="52">
        <f>VLOOKUP($AD$1&amp;AD67,【1】定价因子!E:F,2,0)</f>
        <v>1</v>
      </c>
      <c r="AF67" s="51" t="str">
        <f t="shared" si="22"/>
        <v>适中</v>
      </c>
      <c r="AG67" s="52">
        <f>VLOOKUP($AF$1&amp;AF67,【1】定价因子!E:F,2,0)</f>
        <v>1</v>
      </c>
      <c r="AH67" s="51" t="str">
        <f t="shared" si="23"/>
        <v>适中</v>
      </c>
      <c r="AI67" s="52">
        <f>VLOOKUP($AH$1&amp;AH67,【1】定价因子!E:F,2,0)</f>
        <v>1</v>
      </c>
      <c r="AJ67" s="52" t="str">
        <f>VLOOKUP(H67,'【3-1】大区填-采光基本要素'!A:H,8,0)</f>
        <v>2</v>
      </c>
      <c r="AK67" s="52">
        <f>VLOOKUP($AJ$1&amp;AJ67,【1】定价因子!E:F,2,0)</f>
        <v>0.96</v>
      </c>
      <c r="AL67" s="53">
        <f t="shared" si="24"/>
        <v>1608.42183264</v>
      </c>
      <c r="AM67" s="54">
        <v>1468</v>
      </c>
      <c r="AN67" s="55">
        <f t="shared" si="25"/>
        <v>-0.0873041075359672</v>
      </c>
      <c r="AO67" s="56">
        <f t="shared" ref="AO67:AO98" si="26">AM67+10</f>
        <v>1478</v>
      </c>
    </row>
    <row r="68" spans="1:42">
      <c r="A68" s="47" t="str">
        <f>'【2】运营中心填-基本信息&amp;审核标准'!$E$2</f>
        <v>福围广生7-16、17栋</v>
      </c>
      <c r="B68" s="13"/>
      <c r="C68" s="13"/>
      <c r="D68" s="13"/>
      <c r="E68" s="13"/>
      <c r="F68" s="13"/>
      <c r="G68" s="13"/>
      <c r="H68" s="48">
        <v>611</v>
      </c>
      <c r="I68" s="49" t="s">
        <v>492</v>
      </c>
      <c r="J68" s="49" t="s">
        <v>40</v>
      </c>
      <c r="K68" s="13"/>
      <c r="L68" s="50">
        <f>VLOOKUP(J68,'【3】大区填-楼栋基准格局定价'!B:H,7,0)</f>
        <v>1658.8509</v>
      </c>
      <c r="M68" s="51" t="s">
        <v>63</v>
      </c>
      <c r="N68" s="51">
        <v>16.65</v>
      </c>
      <c r="O68" s="52"/>
      <c r="P68" s="52" t="str">
        <f>IF(COUNTIFS(户型资产表!E:E,I68,户型资产表!H:H,"阳台门")&gt;0,"有","无")</f>
        <v>无</v>
      </c>
      <c r="Q68" s="52"/>
      <c r="R68" s="52" t="str">
        <f>IF('【2】运营中心填-基本信息&amp;审核标准'!$D$4="是","无",IF(INT(H68/100)&gt;9,"9F",INT(H68/100)&amp;"F"))</f>
        <v>无</v>
      </c>
      <c r="S68" s="52">
        <f>VLOOKUP(R68,【1】定价因子!D:F,3,0)</f>
        <v>1</v>
      </c>
      <c r="T68" s="52" t="str">
        <f>IF('【2】运营中心填-基本信息&amp;审核标准'!$D$4="否","无",IF(INT(H68/100)=1,"1F",IF(AND(INT(H68/100)&gt;=2,INT(H68/100)&lt;=3),"2-3F",IF(INT(H68/100)=4,"4F",IF(AND(INT(H68/100)&gt;=5,INT(H68/100)&lt;=6),"5-6F",IF(AND(INT(H68/100)&gt;=7,INT(H68/100)&lt;=8),"7-8F",IF(AND(INT(H68/100)&gt;=9,INT(H68/100)&lt;=10),"9-10F",IF(AND(INT(H68/100)&gt;=11,INT(H68/100)&lt;=12),"11-12F",IF(INT(H68/100)&gt;=13,"13以上F","")))))))))</f>
        <v>5-6F</v>
      </c>
      <c r="U68" s="52">
        <f>VLOOKUP($T$1&amp;T68,【1】定价因子!E:F,2,0)</f>
        <v>1.01</v>
      </c>
      <c r="V68" s="52" t="str">
        <f>IF(COUNTIFS(户型资产表!E:E,I68,户型资产表!H:H,"操作台")&gt;0,"有","无")</f>
        <v>有</v>
      </c>
      <c r="W68" s="52" t="str">
        <f>IF(COUNTIFS(户型资产表!E:E,I68,户型资产表!H:H,"书桌")&gt;0,"有","无")</f>
        <v>有</v>
      </c>
      <c r="X68" s="52" t="str" cm="1">
        <f t="array" ref="X68">IF(SUMPRODUCT((户型资产表!E:E=I68)*((户型资产表!I:I="沙发01单人")+(户型资产表!I:I="单人沙发02")))&gt;0,"有","无")</f>
        <v>无</v>
      </c>
      <c r="Y68" s="52" t="str" cm="1">
        <f t="array" ref="Y68">IF(SUMPRODUCT((户型资产表!E:E=I68)*((户型资产表!I:I="沙发02两人")+(户型资产表!I:I="双人沙发01")))&gt;0,"有","无")</f>
        <v>无</v>
      </c>
      <c r="Z68" s="52" t="str">
        <f>IF(COUNTIFS(户型资产表!E:E,I68,户型资产表!H:H,"餐桌")&gt;0,"有","无")</f>
        <v>无</v>
      </c>
      <c r="AA68" s="52" t="str">
        <f>IF(COUNTIFS(户型资产表!E:E,I68,户型资产表!H:H,"吸油烟机")&gt;0,"有","无")</f>
        <v>无</v>
      </c>
      <c r="AB68" s="52" t="str">
        <f>IF(COUNTIFS(户型资产表!E:E,I68,户型资产表!H:H,"冰箱")&gt;0,"有","无")</f>
        <v>无</v>
      </c>
      <c r="AC68" s="52" t="str">
        <f>IF(COUNTIFS(户型资产表!E:E,I68,户型资产表!H:H,"电视柜")&gt;0,"有","无")</f>
        <v>无</v>
      </c>
      <c r="AD68" s="51" t="str">
        <f t="shared" si="21"/>
        <v>适中</v>
      </c>
      <c r="AE68" s="52">
        <f>VLOOKUP($AD$1&amp;AD68,【1】定价因子!E:F,2,0)</f>
        <v>1</v>
      </c>
      <c r="AF68" s="51" t="str">
        <f t="shared" si="22"/>
        <v>适中</v>
      </c>
      <c r="AG68" s="52">
        <f>VLOOKUP($AF$1&amp;AF68,【1】定价因子!E:F,2,0)</f>
        <v>1</v>
      </c>
      <c r="AH68" s="51" t="str">
        <f t="shared" si="23"/>
        <v>适中</v>
      </c>
      <c r="AI68" s="52">
        <f>VLOOKUP($AH$1&amp;AH68,【1】定价因子!E:F,2,0)</f>
        <v>1</v>
      </c>
      <c r="AJ68" s="52" t="str">
        <f>VLOOKUP(H68,'【3-1】大区填-采光基本要素'!A:H,8,0)</f>
        <v>2</v>
      </c>
      <c r="AK68" s="52">
        <f>VLOOKUP($AJ$1&amp;AJ68,【1】定价因子!E:F,2,0)</f>
        <v>0.96</v>
      </c>
      <c r="AL68" s="53">
        <f t="shared" si="24"/>
        <v>1608.42183264</v>
      </c>
      <c r="AM68" s="54">
        <v>1468</v>
      </c>
      <c r="AN68" s="55">
        <f t="shared" si="25"/>
        <v>-0.0873041075359672</v>
      </c>
      <c r="AO68" s="56">
        <f t="shared" si="26"/>
        <v>1478</v>
      </c>
    </row>
    <row r="69" spans="1:42">
      <c r="A69" s="47" t="str">
        <f>'【2】运营中心填-基本信息&amp;审核标准'!$E$2</f>
        <v>福围广生7-16、17栋</v>
      </c>
      <c r="B69" s="13"/>
      <c r="C69" s="13"/>
      <c r="D69" s="13"/>
      <c r="E69" s="13"/>
      <c r="F69" s="13"/>
      <c r="G69" s="13"/>
      <c r="H69" s="48">
        <v>612</v>
      </c>
      <c r="I69" s="49" t="s">
        <v>494</v>
      </c>
      <c r="J69" s="49" t="s">
        <v>40</v>
      </c>
      <c r="K69" s="13"/>
      <c r="L69" s="50">
        <f>VLOOKUP(J69,'【3】大区填-楼栋基准格局定价'!B:H,7,0)</f>
        <v>1658.8509</v>
      </c>
      <c r="M69" s="51" t="s">
        <v>61</v>
      </c>
      <c r="N69" s="51">
        <v>17.58</v>
      </c>
      <c r="O69" s="52"/>
      <c r="P69" s="52" t="str">
        <f>IF(COUNTIFS(户型资产表!E:E,I69,户型资产表!H:H,"阳台门")&gt;0,"有","无")</f>
        <v>无</v>
      </c>
      <c r="Q69" s="52"/>
      <c r="R69" s="52" t="str">
        <f>IF('【2】运营中心填-基本信息&amp;审核标准'!$D$4="是","无",IF(INT(H69/100)&gt;9,"9F",INT(H69/100)&amp;"F"))</f>
        <v>无</v>
      </c>
      <c r="S69" s="52">
        <f>VLOOKUP(R69,【1】定价因子!D:F,3,0)</f>
        <v>1</v>
      </c>
      <c r="T69" s="52" t="str">
        <f>IF('【2】运营中心填-基本信息&amp;审核标准'!$D$4="否","无",IF(INT(H69/100)=1,"1F",IF(AND(INT(H69/100)&gt;=2,INT(H69/100)&lt;=3),"2-3F",IF(INT(H69/100)=4,"4F",IF(AND(INT(H69/100)&gt;=5,INT(H69/100)&lt;=6),"5-6F",IF(AND(INT(H69/100)&gt;=7,INT(H69/100)&lt;=8),"7-8F",IF(AND(INT(H69/100)&gt;=9,INT(H69/100)&lt;=10),"9-10F",IF(AND(INT(H69/100)&gt;=11,INT(H69/100)&lt;=12),"11-12F",IF(INT(H69/100)&gt;=13,"13以上F","")))))))))</f>
        <v>5-6F</v>
      </c>
      <c r="U69" s="52">
        <f>VLOOKUP($T$1&amp;T69,【1】定价因子!E:F,2,0)</f>
        <v>1.01</v>
      </c>
      <c r="V69" s="52" t="str">
        <f>IF(COUNTIFS(户型资产表!E:E,I69,户型资产表!H:H,"操作台")&gt;0,"有","无")</f>
        <v>有</v>
      </c>
      <c r="W69" s="52" t="str">
        <f>IF(COUNTIFS(户型资产表!E:E,I69,户型资产表!H:H,"书桌")&gt;0,"有","无")</f>
        <v>有</v>
      </c>
      <c r="X69" s="52" t="str" cm="1">
        <f t="array" ref="X69">IF(SUMPRODUCT((户型资产表!E:E=I69)*((户型资产表!I:I="沙发01单人")+(户型资产表!I:I="单人沙发02")))&gt;0,"有","无")</f>
        <v>无</v>
      </c>
      <c r="Y69" s="52" t="str" cm="1">
        <f t="array" ref="Y69">IF(SUMPRODUCT((户型资产表!E:E=I69)*((户型资产表!I:I="沙发02两人")+(户型资产表!I:I="双人沙发01")))&gt;0,"有","无")</f>
        <v>无</v>
      </c>
      <c r="Z69" s="52" t="str">
        <f>IF(COUNTIFS(户型资产表!E:E,I69,户型资产表!H:H,"餐桌")&gt;0,"有","无")</f>
        <v>无</v>
      </c>
      <c r="AA69" s="52" t="str">
        <f>IF(COUNTIFS(户型资产表!E:E,I69,户型资产表!H:H,"吸油烟机")&gt;0,"有","无")</f>
        <v>无</v>
      </c>
      <c r="AB69" s="52" t="str">
        <f>IF(COUNTIFS(户型资产表!E:E,I69,户型资产表!H:H,"冰箱")&gt;0,"有","无")</f>
        <v>无</v>
      </c>
      <c r="AC69" s="52" t="str">
        <f>IF(COUNTIFS(户型资产表!E:E,I69,户型资产表!H:H,"电视柜")&gt;0,"有","无")</f>
        <v>无</v>
      </c>
      <c r="AD69" s="51" t="str">
        <f t="shared" si="21"/>
        <v>适中</v>
      </c>
      <c r="AE69" s="52">
        <f>VLOOKUP($AD$1&amp;AD69,【1】定价因子!E:F,2,0)</f>
        <v>1</v>
      </c>
      <c r="AF69" s="51" t="str">
        <f t="shared" si="22"/>
        <v>适中</v>
      </c>
      <c r="AG69" s="52">
        <f>VLOOKUP($AF$1&amp;AF69,【1】定价因子!E:F,2,0)</f>
        <v>1</v>
      </c>
      <c r="AH69" s="51" t="str">
        <f t="shared" si="23"/>
        <v>适中</v>
      </c>
      <c r="AI69" s="52">
        <f>VLOOKUP($AH$1&amp;AH69,【1】定价因子!E:F,2,0)</f>
        <v>1</v>
      </c>
      <c r="AJ69" s="52" t="str">
        <f>VLOOKUP(H69,'【3-1】大区填-采光基本要素'!A:H,8,0)</f>
        <v>2</v>
      </c>
      <c r="AK69" s="52">
        <f>VLOOKUP($AJ$1&amp;AJ69,【1】定价因子!E:F,2,0)</f>
        <v>0.96</v>
      </c>
      <c r="AL69" s="53">
        <f t="shared" si="24"/>
        <v>1608.42183264</v>
      </c>
      <c r="AM69" s="54">
        <v>1468</v>
      </c>
      <c r="AN69" s="55">
        <f t="shared" si="25"/>
        <v>-0.0873041075359672</v>
      </c>
      <c r="AO69" s="56">
        <f t="shared" si="26"/>
        <v>1478</v>
      </c>
    </row>
    <row r="70" spans="1:42">
      <c r="A70" s="47" t="str">
        <f>'【2】运营中心填-基本信息&amp;审核标准'!$E$2</f>
        <v>福围广生7-16、17栋</v>
      </c>
      <c r="B70" s="13"/>
      <c r="C70" s="13"/>
      <c r="D70" s="13"/>
      <c r="E70" s="13"/>
      <c r="F70" s="13"/>
      <c r="G70" s="13"/>
      <c r="H70" s="48">
        <v>613</v>
      </c>
      <c r="I70" s="49" t="s">
        <v>493</v>
      </c>
      <c r="J70" s="49" t="s">
        <v>43</v>
      </c>
      <c r="K70" s="13"/>
      <c r="L70" s="50">
        <f>VLOOKUP(J70,'【3】大区填-楼栋基准格局定价'!B:H,7,0)</f>
        <v>2472.1725</v>
      </c>
      <c r="M70" s="51" t="s">
        <v>65</v>
      </c>
      <c r="N70" s="51">
        <v>20.18</v>
      </c>
      <c r="O70" s="52"/>
      <c r="P70" s="52" t="str">
        <f>IF(COUNTIFS(户型资产表!E:E,I70,户型资产表!H:H,"阳台门")&gt;0,"有","无")</f>
        <v>无</v>
      </c>
      <c r="Q70" s="52"/>
      <c r="R70" s="52" t="str">
        <f>IF('【2】运营中心填-基本信息&amp;审核标准'!$D$4="是","无",IF(INT(H70/100)&gt;9,"9F",INT(H70/100)&amp;"F"))</f>
        <v>无</v>
      </c>
      <c r="S70" s="52">
        <f>VLOOKUP(R70,【1】定价因子!D:F,3,0)</f>
        <v>1</v>
      </c>
      <c r="T70" s="52" t="str">
        <f>IF('【2】运营中心填-基本信息&amp;审核标准'!$D$4="否","无",IF(INT(H70/100)=1,"1F",IF(AND(INT(H70/100)&gt;=2,INT(H70/100)&lt;=3),"2-3F",IF(INT(H70/100)=4,"4F",IF(AND(INT(H70/100)&gt;=5,INT(H70/100)&lt;=6),"5-6F",IF(AND(INT(H70/100)&gt;=7,INT(H70/100)&lt;=8),"7-8F",IF(AND(INT(H70/100)&gt;=9,INT(H70/100)&lt;=10),"9-10F",IF(AND(INT(H70/100)&gt;=11,INT(H70/100)&lt;=12),"11-12F",IF(INT(H70/100)&gt;=13,"13以上F","")))))))))</f>
        <v>5-6F</v>
      </c>
      <c r="U70" s="52">
        <f>VLOOKUP($T$1&amp;T70,【1】定价因子!E:F,2,0)</f>
        <v>1.01</v>
      </c>
      <c r="V70" s="52" t="str">
        <f>IF(COUNTIFS(户型资产表!E:E,I70,户型资产表!H:H,"操作台")&gt;0,"有","无")</f>
        <v>有</v>
      </c>
      <c r="W70" s="52" t="str">
        <f>IF(COUNTIFS(户型资产表!E:E,I70,户型资产表!H:H,"书桌")&gt;0,"有","无")</f>
        <v>无</v>
      </c>
      <c r="X70" s="52" t="str" cm="1">
        <f t="array" ref="X70">IF(SUMPRODUCT((户型资产表!E:E=I70)*((户型资产表!I:I="沙发01单人")+(户型资产表!I:I="单人沙发02")))&gt;0,"有","无")</f>
        <v>无</v>
      </c>
      <c r="Y70" s="52" t="str" cm="1">
        <f t="array" ref="Y70">IF(SUMPRODUCT((户型资产表!E:E=I70)*((户型资产表!I:I="沙发02两人")+(户型资产表!I:I="双人沙发01")))&gt;0,"有","无")</f>
        <v>有</v>
      </c>
      <c r="Z70" s="52" t="str">
        <f>IF(COUNTIFS(户型资产表!E:E,I70,户型资产表!H:H,"餐桌")&gt;0,"有","无")</f>
        <v>有</v>
      </c>
      <c r="AA70" s="52" t="str">
        <f>IF(COUNTIFS(户型资产表!E:E,I70,户型资产表!H:H,"吸油烟机")&gt;0,"有","无")</f>
        <v>无</v>
      </c>
      <c r="AB70" s="52" t="str">
        <f>IF(COUNTIFS(户型资产表!E:E,I70,户型资产表!H:H,"冰箱")&gt;0,"有","无")</f>
        <v>无</v>
      </c>
      <c r="AC70" s="52" t="str">
        <f>IF(COUNTIFS(户型资产表!E:E,I70,户型资产表!H:H,"电视柜")&gt;0,"有","无")</f>
        <v>无</v>
      </c>
      <c r="AD70" s="51" t="str">
        <f t="shared" si="21"/>
        <v>适中</v>
      </c>
      <c r="AE70" s="52">
        <f>VLOOKUP($AD$1&amp;AD70,【1】定价因子!E:F,2,0)</f>
        <v>1</v>
      </c>
      <c r="AF70" s="51" t="str">
        <f t="shared" si="22"/>
        <v>适中</v>
      </c>
      <c r="AG70" s="52">
        <f>VLOOKUP($AF$1&amp;AF70,【1】定价因子!E:F,2,0)</f>
        <v>1</v>
      </c>
      <c r="AH70" s="51" t="str">
        <f t="shared" si="23"/>
        <v>适中</v>
      </c>
      <c r="AI70" s="52">
        <f>VLOOKUP($AH$1&amp;AH70,【1】定价因子!E:F,2,0)</f>
        <v>1</v>
      </c>
      <c r="AJ70" s="52" t="str">
        <f>VLOOKUP(H70,'【3-1】大区填-采光基本要素'!A:H,8,0)</f>
        <v>2</v>
      </c>
      <c r="AK70" s="52">
        <f>VLOOKUP($AJ$1&amp;AJ70,【1】定价因子!E:F,2,0)</f>
        <v>0.96</v>
      </c>
      <c r="AL70" s="53">
        <f t="shared" si="24"/>
        <v>2397.018456</v>
      </c>
      <c r="AM70" s="54">
        <v>2268</v>
      </c>
      <c r="AN70" s="55">
        <f t="shared" si="25"/>
        <v>-0.0538245567851396</v>
      </c>
      <c r="AO70" s="56">
        <f t="shared" si="26"/>
        <v>2278</v>
      </c>
    </row>
    <row r="71" spans="1:42">
      <c r="A71" s="47" t="str">
        <f>'【2】运营中心填-基本信息&amp;审核标准'!$E$2</f>
        <v>福围广生7-16、17栋</v>
      </c>
      <c r="B71" s="13"/>
      <c r="C71" s="13"/>
      <c r="D71" s="13"/>
      <c r="E71" s="13"/>
      <c r="F71" s="13"/>
      <c r="G71" s="13"/>
      <c r="H71" s="48">
        <v>614</v>
      </c>
      <c r="I71" s="49" t="s">
        <v>491</v>
      </c>
      <c r="J71" s="49" t="s">
        <v>43</v>
      </c>
      <c r="K71" s="13"/>
      <c r="L71" s="50">
        <f>VLOOKUP(J71,'【3】大区填-楼栋基准格局定价'!B:H,7,0)</f>
        <v>2472.1725</v>
      </c>
      <c r="M71" s="51" t="s">
        <v>63</v>
      </c>
      <c r="N71" s="51">
        <v>23.39</v>
      </c>
      <c r="O71" s="52"/>
      <c r="P71" s="52" t="str">
        <f>IF(COUNTIFS(户型资产表!E:E,I71,户型资产表!H:H,"阳台门")&gt;0,"有","无")</f>
        <v>无</v>
      </c>
      <c r="Q71" s="52"/>
      <c r="R71" s="52" t="str">
        <f>IF('【2】运营中心填-基本信息&amp;审核标准'!$D$4="是","无",IF(INT(H71/100)&gt;9,"9F",INT(H71/100)&amp;"F"))</f>
        <v>无</v>
      </c>
      <c r="S71" s="52">
        <f>VLOOKUP(R71,【1】定价因子!D:F,3,0)</f>
        <v>1</v>
      </c>
      <c r="T71" s="52" t="str">
        <f>IF('【2】运营中心填-基本信息&amp;审核标准'!$D$4="否","无",IF(INT(H71/100)=1,"1F",IF(AND(INT(H71/100)&gt;=2,INT(H71/100)&lt;=3),"2-3F",IF(INT(H71/100)=4,"4F",IF(AND(INT(H71/100)&gt;=5,INT(H71/100)&lt;=6),"5-6F",IF(AND(INT(H71/100)&gt;=7,INT(H71/100)&lt;=8),"7-8F",IF(AND(INT(H71/100)&gt;=9,INT(H71/100)&lt;=10),"9-10F",IF(AND(INT(H71/100)&gt;=11,INT(H71/100)&lt;=12),"11-12F",IF(INT(H71/100)&gt;=13,"13以上F","")))))))))</f>
        <v>5-6F</v>
      </c>
      <c r="U71" s="52">
        <f>VLOOKUP($T$1&amp;T71,【1】定价因子!E:F,2,0)</f>
        <v>1.01</v>
      </c>
      <c r="V71" s="52" t="str">
        <f>IF(COUNTIFS(户型资产表!E:E,I71,户型资产表!H:H,"操作台")&gt;0,"有","无")</f>
        <v>有</v>
      </c>
      <c r="W71" s="52" t="str">
        <f>IF(COUNTIFS(户型资产表!E:E,I71,户型资产表!H:H,"书桌")&gt;0,"有","无")</f>
        <v>无</v>
      </c>
      <c r="X71" s="52" t="str" cm="1">
        <f t="array" ref="X71">IF(SUMPRODUCT((户型资产表!E:E=I71)*((户型资产表!I:I="沙发01单人")+(户型资产表!I:I="单人沙发02")))&gt;0,"有","无")</f>
        <v>无</v>
      </c>
      <c r="Y71" s="52" t="str" cm="1">
        <f t="array" ref="Y71">IF(SUMPRODUCT((户型资产表!E:E=I71)*((户型资产表!I:I="沙发02两人")+(户型资产表!I:I="双人沙发01")))&gt;0,"有","无")</f>
        <v>有</v>
      </c>
      <c r="Z71" s="52" t="str">
        <f>IF(COUNTIFS(户型资产表!E:E,I71,户型资产表!H:H,"餐桌")&gt;0,"有","无")</f>
        <v>有</v>
      </c>
      <c r="AA71" s="52" t="str">
        <f>IF(COUNTIFS(户型资产表!E:E,I71,户型资产表!H:H,"吸油烟机")&gt;0,"有","无")</f>
        <v>无</v>
      </c>
      <c r="AB71" s="52" t="str">
        <f>IF(COUNTIFS(户型资产表!E:E,I71,户型资产表!H:H,"冰箱")&gt;0,"有","无")</f>
        <v>无</v>
      </c>
      <c r="AC71" s="52" t="str">
        <f>IF(COUNTIFS(户型资产表!E:E,I71,户型资产表!H:H,"电视柜")&gt;0,"有","无")</f>
        <v>无</v>
      </c>
      <c r="AD71" s="51" t="str">
        <f t="shared" si="21"/>
        <v>适中</v>
      </c>
      <c r="AE71" s="52">
        <f>VLOOKUP($AD$1&amp;AD71,【1】定价因子!E:F,2,0)</f>
        <v>1</v>
      </c>
      <c r="AF71" s="51" t="str">
        <f t="shared" si="22"/>
        <v>适中</v>
      </c>
      <c r="AG71" s="52">
        <f>VLOOKUP($AF$1&amp;AF71,【1】定价因子!E:F,2,0)</f>
        <v>1</v>
      </c>
      <c r="AH71" s="51" t="str">
        <f t="shared" si="23"/>
        <v>适中</v>
      </c>
      <c r="AI71" s="52">
        <f>VLOOKUP($AH$1&amp;AH71,【1】定价因子!E:F,2,0)</f>
        <v>1</v>
      </c>
      <c r="AJ71" s="52" t="str">
        <f>VLOOKUP(H71,'【3-1】大区填-采光基本要素'!A:H,8,0)</f>
        <v>2</v>
      </c>
      <c r="AK71" s="52">
        <f>VLOOKUP($AJ$1&amp;AJ71,【1】定价因子!E:F,2,0)</f>
        <v>0.96</v>
      </c>
      <c r="AL71" s="53">
        <f t="shared" si="24"/>
        <v>2397.018456</v>
      </c>
      <c r="AM71" s="54">
        <v>2268</v>
      </c>
      <c r="AN71" s="55">
        <f t="shared" si="25"/>
        <v>-0.0538245567851396</v>
      </c>
      <c r="AO71" s="56">
        <f t="shared" si="26"/>
        <v>2278</v>
      </c>
    </row>
    <row r="72" spans="1:42">
      <c r="A72" s="47" t="str">
        <f>'【2】运营中心填-基本信息&amp;审核标准'!$E$2</f>
        <v>福围广生7-16、17栋</v>
      </c>
      <c r="B72" s="13"/>
      <c r="C72" s="13"/>
      <c r="D72" s="13"/>
      <c r="E72" s="13"/>
      <c r="F72" s="13"/>
      <c r="G72" s="13"/>
      <c r="H72" s="48">
        <v>701</v>
      </c>
      <c r="I72" s="49" t="s">
        <v>491</v>
      </c>
      <c r="J72" s="49" t="s">
        <v>43</v>
      </c>
      <c r="K72" s="13"/>
      <c r="L72" s="50">
        <f>VLOOKUP(J72,'【3】大区填-楼栋基准格局定价'!B:H,7,0)</f>
        <v>2472.1725</v>
      </c>
      <c r="M72" s="51" t="s">
        <v>65</v>
      </c>
      <c r="N72" s="51">
        <v>22.14</v>
      </c>
      <c r="O72" s="52"/>
      <c r="P72" s="52" t="str">
        <f>IF(COUNTIFS(户型资产表!E:E,I72,户型资产表!H:H,"阳台门")&gt;0,"有","无")</f>
        <v>无</v>
      </c>
      <c r="Q72" s="52"/>
      <c r="R72" s="52" t="str">
        <f>IF('【2】运营中心填-基本信息&amp;审核标准'!$D$4="是","无",IF(INT(H72/100)&gt;9,"9F",INT(H72/100)&amp;"F"))</f>
        <v>无</v>
      </c>
      <c r="S72" s="52">
        <f>VLOOKUP(R72,【1】定价因子!D:F,3,0)</f>
        <v>1</v>
      </c>
      <c r="T72" s="52" t="str">
        <f>IF('【2】运营中心填-基本信息&amp;审核标准'!$D$4="否","无",IF(INT(H72/100)=1,"1F",IF(AND(INT(H72/100)&gt;=2,INT(H72/100)&lt;=3),"2-3F",IF(INT(H72/100)=4,"4F",IF(AND(INT(H72/100)&gt;=5,INT(H72/100)&lt;=6),"5-6F",IF(AND(INT(H72/100)&gt;=7,INT(H72/100)&lt;=8),"7-8F",IF(AND(INT(H72/100)&gt;=9,INT(H72/100)&lt;=10),"9-10F",IF(AND(INT(H72/100)&gt;=11,INT(H72/100)&lt;=12),"11-12F",IF(INT(H72/100)&gt;=13,"13以上F","")))))))))</f>
        <v>7-8F</v>
      </c>
      <c r="U72" s="52">
        <f>VLOOKUP($T$1&amp;T72,【1】定价因子!E:F,2,0)</f>
        <v>1.02</v>
      </c>
      <c r="V72" s="52" t="str">
        <f>IF(COUNTIFS(户型资产表!E:E,I72,户型资产表!H:H,"操作台")&gt;0,"有","无")</f>
        <v>有</v>
      </c>
      <c r="W72" s="52" t="str">
        <f>IF(COUNTIFS(户型资产表!E:E,I72,户型资产表!H:H,"书桌")&gt;0,"有","无")</f>
        <v>无</v>
      </c>
      <c r="X72" s="52" t="str" cm="1">
        <f t="array" ref="X72">IF(SUMPRODUCT((户型资产表!E:E=I72)*((户型资产表!I:I="沙发01单人")+(户型资产表!I:I="单人沙发02")))&gt;0,"有","无")</f>
        <v>无</v>
      </c>
      <c r="Y72" s="52" t="str" cm="1">
        <f t="array" ref="Y72">IF(SUMPRODUCT((户型资产表!E:E=I72)*((户型资产表!I:I="沙发02两人")+(户型资产表!I:I="双人沙发01")))&gt;0,"有","无")</f>
        <v>有</v>
      </c>
      <c r="Z72" s="52" t="str">
        <f>IF(COUNTIFS(户型资产表!E:E,I72,户型资产表!H:H,"餐桌")&gt;0,"有","无")</f>
        <v>有</v>
      </c>
      <c r="AA72" s="52" t="str">
        <f>IF(COUNTIFS(户型资产表!E:E,I72,户型资产表!H:H,"吸油烟机")&gt;0,"有","无")</f>
        <v>无</v>
      </c>
      <c r="AB72" s="52" t="str">
        <f>IF(COUNTIFS(户型资产表!E:E,I72,户型资产表!H:H,"冰箱")&gt;0,"有","无")</f>
        <v>无</v>
      </c>
      <c r="AC72" s="52" t="str">
        <f>IF(COUNTIFS(户型资产表!E:E,I72,户型资产表!H:H,"电视柜")&gt;0,"有","无")</f>
        <v>无</v>
      </c>
      <c r="AD72" s="51" t="str">
        <f t="shared" si="21"/>
        <v>适中</v>
      </c>
      <c r="AE72" s="52">
        <f>VLOOKUP($AD$1&amp;AD72,【1】定价因子!E:F,2,0)</f>
        <v>1</v>
      </c>
      <c r="AF72" s="51" t="str">
        <f t="shared" si="22"/>
        <v>适中</v>
      </c>
      <c r="AG72" s="52">
        <f>VLOOKUP($AF$1&amp;AF72,【1】定价因子!E:F,2,0)</f>
        <v>1</v>
      </c>
      <c r="AH72" s="51" t="str">
        <f t="shared" si="23"/>
        <v>适中</v>
      </c>
      <c r="AI72" s="52">
        <f>VLOOKUP($AH$1&amp;AH72,【1】定价因子!E:F,2,0)</f>
        <v>1</v>
      </c>
      <c r="AJ72" s="52" t="str">
        <f>VLOOKUP(H72,'【3-1】大区填-采光基本要素'!A:H,8,0)</f>
        <v>2</v>
      </c>
      <c r="AK72" s="52">
        <f>VLOOKUP($AJ$1&amp;AJ72,【1】定价因子!E:F,2,0)</f>
        <v>0.96</v>
      </c>
      <c r="AL72" s="53">
        <f t="shared" si="24"/>
        <v>2420.751312</v>
      </c>
      <c r="AM72" s="54">
        <v>2208</v>
      </c>
      <c r="AN72" s="55">
        <f t="shared" si="25"/>
        <v>-0.0878864800962256</v>
      </c>
      <c r="AO72" s="56">
        <f t="shared" si="26"/>
        <v>2218</v>
      </c>
    </row>
    <row r="73" spans="1:42">
      <c r="A73" s="47" t="str">
        <f>'【2】运营中心填-基本信息&amp;审核标准'!$E$2</f>
        <v>福围广生7-16、17栋</v>
      </c>
      <c r="B73" s="13"/>
      <c r="C73" s="13"/>
      <c r="D73" s="13"/>
      <c r="E73" s="13"/>
      <c r="F73" s="13"/>
      <c r="G73" s="13"/>
      <c r="H73" s="48">
        <v>702</v>
      </c>
      <c r="I73" s="49" t="s">
        <v>492</v>
      </c>
      <c r="J73" s="49" t="s">
        <v>40</v>
      </c>
      <c r="K73" s="13"/>
      <c r="L73" s="50">
        <f>VLOOKUP(J73,'【3】大区填-楼栋基准格局定价'!B:H,7,0)</f>
        <v>1658.8509</v>
      </c>
      <c r="M73" s="51" t="s">
        <v>58</v>
      </c>
      <c r="N73" s="51">
        <v>21.67</v>
      </c>
      <c r="O73" s="52"/>
      <c r="P73" s="52" t="str">
        <f>IF(COUNTIFS(户型资产表!E:E,I73,户型资产表!H:H,"阳台门")&gt;0,"有","无")</f>
        <v>无</v>
      </c>
      <c r="Q73" s="52"/>
      <c r="R73" s="52" t="str">
        <f>IF('【2】运营中心填-基本信息&amp;审核标准'!$D$4="是","无",IF(INT(H73/100)&gt;9,"9F",INT(H73/100)&amp;"F"))</f>
        <v>无</v>
      </c>
      <c r="S73" s="52">
        <f>VLOOKUP(R73,【1】定价因子!D:F,3,0)</f>
        <v>1</v>
      </c>
      <c r="T73" s="52" t="str">
        <f>IF('【2】运营中心填-基本信息&amp;审核标准'!$D$4="否","无",IF(INT(H73/100)=1,"1F",IF(AND(INT(H73/100)&gt;=2,INT(H73/100)&lt;=3),"2-3F",IF(INT(H73/100)=4,"4F",IF(AND(INT(H73/100)&gt;=5,INT(H73/100)&lt;=6),"5-6F",IF(AND(INT(H73/100)&gt;=7,INT(H73/100)&lt;=8),"7-8F",IF(AND(INT(H73/100)&gt;=9,INT(H73/100)&lt;=10),"9-10F",IF(AND(INT(H73/100)&gt;=11,INT(H73/100)&lt;=12),"11-12F",IF(INT(H73/100)&gt;=13,"13以上F","")))))))))</f>
        <v>7-8F</v>
      </c>
      <c r="U73" s="52">
        <f>VLOOKUP($T$1&amp;T73,【1】定价因子!E:F,2,0)</f>
        <v>1.02</v>
      </c>
      <c r="V73" s="52" t="str">
        <f>IF(COUNTIFS(户型资产表!E:E,I73,户型资产表!H:H,"操作台")&gt;0,"有","无")</f>
        <v>有</v>
      </c>
      <c r="W73" s="52" t="str">
        <f>IF(COUNTIFS(户型资产表!E:E,I73,户型资产表!H:H,"书桌")&gt;0,"有","无")</f>
        <v>有</v>
      </c>
      <c r="X73" s="52" t="str" cm="1">
        <f t="array" ref="X73">IF(SUMPRODUCT((户型资产表!E:E=I73)*((户型资产表!I:I="沙发01单人")+(户型资产表!I:I="单人沙发02")))&gt;0,"有","无")</f>
        <v>无</v>
      </c>
      <c r="Y73" s="52" t="str" cm="1">
        <f t="array" ref="Y73">IF(SUMPRODUCT((户型资产表!E:E=I73)*((户型资产表!I:I="沙发02两人")+(户型资产表!I:I="双人沙发01")))&gt;0,"有","无")</f>
        <v>无</v>
      </c>
      <c r="Z73" s="52" t="str">
        <f>IF(COUNTIFS(户型资产表!E:E,I73,户型资产表!H:H,"餐桌")&gt;0,"有","无")</f>
        <v>无</v>
      </c>
      <c r="AA73" s="52" t="str">
        <f>IF(COUNTIFS(户型资产表!E:E,I73,户型资产表!H:H,"吸油烟机")&gt;0,"有","无")</f>
        <v>无</v>
      </c>
      <c r="AB73" s="52" t="str">
        <f>IF(COUNTIFS(户型资产表!E:E,I73,户型资产表!H:H,"冰箱")&gt;0,"有","无")</f>
        <v>无</v>
      </c>
      <c r="AC73" s="52" t="str">
        <f>IF(COUNTIFS(户型资产表!E:E,I73,户型资产表!H:H,"电视柜")&gt;0,"有","无")</f>
        <v>无</v>
      </c>
      <c r="AD73" s="51" t="str">
        <f t="shared" si="21"/>
        <v>适中</v>
      </c>
      <c r="AE73" s="52">
        <f>VLOOKUP($AD$1&amp;AD73,【1】定价因子!E:F,2,0)</f>
        <v>1</v>
      </c>
      <c r="AF73" s="51" t="str">
        <f t="shared" si="22"/>
        <v>适中</v>
      </c>
      <c r="AG73" s="52">
        <f>VLOOKUP($AF$1&amp;AF73,【1】定价因子!E:F,2,0)</f>
        <v>1</v>
      </c>
      <c r="AH73" s="51" t="str">
        <f t="shared" si="23"/>
        <v>适中</v>
      </c>
      <c r="AI73" s="52">
        <f>VLOOKUP($AH$1&amp;AH73,【1】定价因子!E:F,2,0)</f>
        <v>1</v>
      </c>
      <c r="AJ73" s="52" t="str">
        <f>VLOOKUP(H73,'【3-1】大区填-采光基本要素'!A:H,8,0)</f>
        <v>2</v>
      </c>
      <c r="AK73" s="52">
        <f>VLOOKUP($AJ$1&amp;AJ73,【1】定价因子!E:F,2,0)</f>
        <v>0.96</v>
      </c>
      <c r="AL73" s="53">
        <f t="shared" si="24"/>
        <v>1624.34680128</v>
      </c>
      <c r="AM73" s="54">
        <v>1488</v>
      </c>
      <c r="AN73" s="55">
        <f t="shared" si="25"/>
        <v>-0.0839394648806261</v>
      </c>
      <c r="AO73" s="56">
        <f t="shared" si="26"/>
        <v>1498</v>
      </c>
    </row>
    <row r="74" spans="1:42">
      <c r="A74" s="47" t="str">
        <f>'【2】运营中心填-基本信息&amp;审核标准'!$E$2</f>
        <v>福围广生7-16、17栋</v>
      </c>
      <c r="B74" s="13"/>
      <c r="C74" s="13"/>
      <c r="D74" s="13"/>
      <c r="E74" s="13"/>
      <c r="F74" s="13"/>
      <c r="G74" s="13"/>
      <c r="H74" s="48">
        <v>703</v>
      </c>
      <c r="I74" s="49" t="s">
        <v>492</v>
      </c>
      <c r="J74" s="49" t="s">
        <v>40</v>
      </c>
      <c r="K74" s="13"/>
      <c r="L74" s="50">
        <f>VLOOKUP(J74,'【3】大区填-楼栋基准格局定价'!B:H,7,0)</f>
        <v>1658.8509</v>
      </c>
      <c r="M74" s="51" t="s">
        <v>63</v>
      </c>
      <c r="N74" s="51">
        <v>16.32</v>
      </c>
      <c r="O74" s="52"/>
      <c r="P74" s="52" t="str">
        <f>IF(COUNTIFS(户型资产表!E:E,I74,户型资产表!H:H,"阳台门")&gt;0,"有","无")</f>
        <v>无</v>
      </c>
      <c r="Q74" s="52"/>
      <c r="R74" s="52" t="str">
        <f>IF('【2】运营中心填-基本信息&amp;审核标准'!$D$4="是","无",IF(INT(H74/100)&gt;9,"9F",INT(H74/100)&amp;"F"))</f>
        <v>无</v>
      </c>
      <c r="S74" s="52">
        <f>VLOOKUP(R74,【1】定价因子!D:F,3,0)</f>
        <v>1</v>
      </c>
      <c r="T74" s="52" t="str">
        <f>IF('【2】运营中心填-基本信息&amp;审核标准'!$D$4="否","无",IF(INT(H74/100)=1,"1F",IF(AND(INT(H74/100)&gt;=2,INT(H74/100)&lt;=3),"2-3F",IF(INT(H74/100)=4,"4F",IF(AND(INT(H74/100)&gt;=5,INT(H74/100)&lt;=6),"5-6F",IF(AND(INT(H74/100)&gt;=7,INT(H74/100)&lt;=8),"7-8F",IF(AND(INT(H74/100)&gt;=9,INT(H74/100)&lt;=10),"9-10F",IF(AND(INT(H74/100)&gt;=11,INT(H74/100)&lt;=12),"11-12F",IF(INT(H74/100)&gt;=13,"13以上F","")))))))))</f>
        <v>7-8F</v>
      </c>
      <c r="U74" s="52">
        <f>VLOOKUP($T$1&amp;T74,【1】定价因子!E:F,2,0)</f>
        <v>1.02</v>
      </c>
      <c r="V74" s="52" t="str">
        <f>IF(COUNTIFS(户型资产表!E:E,I74,户型资产表!H:H,"操作台")&gt;0,"有","无")</f>
        <v>有</v>
      </c>
      <c r="W74" s="52" t="str">
        <f>IF(COUNTIFS(户型资产表!E:E,I74,户型资产表!H:H,"书桌")&gt;0,"有","无")</f>
        <v>有</v>
      </c>
      <c r="X74" s="52" t="str" cm="1">
        <f t="array" ref="X74">IF(SUMPRODUCT((户型资产表!E:E=I74)*((户型资产表!I:I="沙发01单人")+(户型资产表!I:I="单人沙发02")))&gt;0,"有","无")</f>
        <v>无</v>
      </c>
      <c r="Y74" s="52" t="str" cm="1">
        <f t="array" ref="Y74">IF(SUMPRODUCT((户型资产表!E:E=I74)*((户型资产表!I:I="沙发02两人")+(户型资产表!I:I="双人沙发01")))&gt;0,"有","无")</f>
        <v>无</v>
      </c>
      <c r="Z74" s="52" t="str">
        <f>IF(COUNTIFS(户型资产表!E:E,I74,户型资产表!H:H,"餐桌")&gt;0,"有","无")</f>
        <v>无</v>
      </c>
      <c r="AA74" s="52" t="str">
        <f>IF(COUNTIFS(户型资产表!E:E,I74,户型资产表!H:H,"吸油烟机")&gt;0,"有","无")</f>
        <v>无</v>
      </c>
      <c r="AB74" s="52" t="str">
        <f>IF(COUNTIFS(户型资产表!E:E,I74,户型资产表!H:H,"冰箱")&gt;0,"有","无")</f>
        <v>无</v>
      </c>
      <c r="AC74" s="52" t="str">
        <f>IF(COUNTIFS(户型资产表!E:E,I74,户型资产表!H:H,"电视柜")&gt;0,"有","无")</f>
        <v>无</v>
      </c>
      <c r="AD74" s="51" t="str">
        <f t="shared" si="21"/>
        <v>适中</v>
      </c>
      <c r="AE74" s="52">
        <f>VLOOKUP($AD$1&amp;AD74,【1】定价因子!E:F,2,0)</f>
        <v>1</v>
      </c>
      <c r="AF74" s="51" t="str">
        <f t="shared" si="22"/>
        <v>适中</v>
      </c>
      <c r="AG74" s="52">
        <f>VLOOKUP($AF$1&amp;AF74,【1】定价因子!E:F,2,0)</f>
        <v>1</v>
      </c>
      <c r="AH74" s="51" t="str">
        <f t="shared" si="23"/>
        <v>适中</v>
      </c>
      <c r="AI74" s="52">
        <f>VLOOKUP($AH$1&amp;AH74,【1】定价因子!E:F,2,0)</f>
        <v>1</v>
      </c>
      <c r="AJ74" s="52" t="str">
        <f>VLOOKUP(H74,'【3-1】大区填-采光基本要素'!A:H,8,0)</f>
        <v>2</v>
      </c>
      <c r="AK74" s="52">
        <f>VLOOKUP($AJ$1&amp;AJ74,【1】定价因子!E:F,2,0)</f>
        <v>0.96</v>
      </c>
      <c r="AL74" s="53">
        <f t="shared" si="24"/>
        <v>1624.34680128</v>
      </c>
      <c r="AM74" s="54">
        <v>1488</v>
      </c>
      <c r="AN74" s="55">
        <f t="shared" si="25"/>
        <v>-0.0839394648806261</v>
      </c>
      <c r="AO74" s="56">
        <f t="shared" si="26"/>
        <v>1498</v>
      </c>
    </row>
    <row r="75" s="34" customFormat="1" spans="1:42">
      <c r="A75" s="57" t="str">
        <f>'【2】运营中心填-基本信息&amp;审核标准'!$E$2</f>
        <v>福围广生7-16、17栋</v>
      </c>
      <c r="B75" s="57"/>
      <c r="C75" s="57"/>
      <c r="D75" s="57"/>
      <c r="E75" s="57"/>
      <c r="F75" s="57"/>
      <c r="G75" s="57"/>
      <c r="H75" s="58">
        <v>704</v>
      </c>
      <c r="I75" s="59" t="s">
        <v>491</v>
      </c>
      <c r="J75" s="59" t="s">
        <v>43</v>
      </c>
      <c r="K75" s="57"/>
      <c r="L75" s="60">
        <f>VLOOKUP(J75,'【3】大区填-楼栋基准格局定价'!B:H,7,0)</f>
        <v>2472.1725</v>
      </c>
      <c r="M75" s="61" t="s">
        <v>65</v>
      </c>
      <c r="N75" s="61">
        <v>20.73</v>
      </c>
      <c r="O75" s="57"/>
      <c r="P75" s="57" t="str">
        <f>IF(COUNTIFS(户型资产表!E:E,I75,户型资产表!H:H,"阳台门")&gt;0,"有","无")</f>
        <v>无</v>
      </c>
      <c r="Q75" s="57"/>
      <c r="R75" s="57" t="str">
        <f>IF('【2】运营中心填-基本信息&amp;审核标准'!$D$4="是","无",IF(INT(H75/100)&gt;9,"9F",INT(H75/100)&amp;"F"))</f>
        <v>无</v>
      </c>
      <c r="S75" s="57">
        <f>VLOOKUP(R75,【1】定价因子!D:F,3,0)</f>
        <v>1</v>
      </c>
      <c r="T75" s="57" t="str">
        <f>IF('【2】运营中心填-基本信息&amp;审核标准'!$D$4="否","无",IF(INT(H75/100)=1,"1F",IF(AND(INT(H75/100)&gt;=2,INT(H75/100)&lt;=3),"2-3F",IF(INT(H75/100)=4,"4F",IF(AND(INT(H75/100)&gt;=5,INT(H75/100)&lt;=6),"5-6F",IF(AND(INT(H75/100)&gt;=7,INT(H75/100)&lt;=8),"7-8F",IF(AND(INT(H75/100)&gt;=9,INT(H75/100)&lt;=10),"9-10F",IF(AND(INT(H75/100)&gt;=11,INT(H75/100)&lt;=12),"11-12F",IF(INT(H75/100)&gt;=13,"13以上F","")))))))))</f>
        <v>7-8F</v>
      </c>
      <c r="U75" s="57">
        <f>VLOOKUP($T$1&amp;T75,【1】定价因子!E:F,2,0)</f>
        <v>1.02</v>
      </c>
      <c r="V75" s="57" t="str">
        <f>IF(COUNTIFS(户型资产表!E:E,I75,户型资产表!H:H,"操作台")&gt;0,"有","无")</f>
        <v>有</v>
      </c>
      <c r="W75" s="57" t="str">
        <f>IF(COUNTIFS(户型资产表!E:E,I75,户型资产表!H:H,"书桌")&gt;0,"有","无")</f>
        <v>无</v>
      </c>
      <c r="X75" s="57" t="str" cm="1">
        <f t="array" ref="X75">IF(SUMPRODUCT((户型资产表!E:E=I75)*((户型资产表!I:I="沙发01单人")+(户型资产表!I:I="单人沙发02")))&gt;0,"有","无")</f>
        <v>无</v>
      </c>
      <c r="Y75" s="57" t="str" cm="1">
        <f t="array" ref="Y75">IF(SUMPRODUCT((户型资产表!E:E=I75)*((户型资产表!I:I="沙发02两人")+(户型资产表!I:I="双人沙发01")))&gt;0,"有","无")</f>
        <v>有</v>
      </c>
      <c r="Z75" s="57" t="str">
        <f>IF(COUNTIFS(户型资产表!E:E,I75,户型资产表!H:H,"餐桌")&gt;0,"有","无")</f>
        <v>有</v>
      </c>
      <c r="AA75" s="57" t="str">
        <f>IF(COUNTIFS(户型资产表!E:E,I75,户型资产表!H:H,"吸油烟机")&gt;0,"有","无")</f>
        <v>无</v>
      </c>
      <c r="AB75" s="57" t="str">
        <f>IF(COUNTIFS(户型资产表!E:E,I75,户型资产表!H:H,"冰箱")&gt;0,"有","无")</f>
        <v>无</v>
      </c>
      <c r="AC75" s="57" t="str">
        <f>IF(COUNTIFS(户型资产表!E:E,I75,户型资产表!H:H,"电视柜")&gt;0,"有","无")</f>
        <v>无</v>
      </c>
      <c r="AD75" s="61" t="str">
        <f t="shared" si="21"/>
        <v>适中</v>
      </c>
      <c r="AE75" s="57">
        <f>VLOOKUP($AD$1&amp;AD75,【1】定价因子!E:F,2,0)</f>
        <v>1</v>
      </c>
      <c r="AF75" s="61" t="str">
        <f t="shared" si="22"/>
        <v>适中</v>
      </c>
      <c r="AG75" s="57">
        <f>VLOOKUP($AF$1&amp;AF75,【1】定价因子!E:F,2,0)</f>
        <v>1</v>
      </c>
      <c r="AH75" s="61" t="str">
        <f t="shared" si="23"/>
        <v>适中</v>
      </c>
      <c r="AI75" s="57">
        <f>VLOOKUP($AH$1&amp;AH75,【1】定价因子!E:F,2,0)</f>
        <v>1</v>
      </c>
      <c r="AJ75" s="57" t="str">
        <f>VLOOKUP(H75,'【3-1】大区填-采光基本要素'!A:H,8,0)</f>
        <v>1</v>
      </c>
      <c r="AK75" s="57">
        <f>VLOOKUP($AJ$1&amp;AJ75,【1】定价因子!E:F,2,0)</f>
        <v>0.91</v>
      </c>
      <c r="AL75" s="62">
        <f t="shared" si="24"/>
        <v>2294.6705145</v>
      </c>
      <c r="AM75" s="63">
        <v>2050</v>
      </c>
      <c r="AN75" s="64">
        <f t="shared" si="25"/>
        <v>-0.106625553844846</v>
      </c>
      <c r="AO75" s="65">
        <f t="shared" si="26"/>
        <v>2060</v>
      </c>
      <c r="AP75" s="63">
        <v>2168</v>
      </c>
    </row>
    <row r="76" s="34" customFormat="1" spans="1:42">
      <c r="A76" s="57" t="str">
        <f>'【2】运营中心填-基本信息&amp;审核标准'!$E$2</f>
        <v>福围广生7-16、17栋</v>
      </c>
      <c r="B76" s="57"/>
      <c r="C76" s="57"/>
      <c r="D76" s="57"/>
      <c r="E76" s="57"/>
      <c r="F76" s="57"/>
      <c r="G76" s="57"/>
      <c r="H76" s="58">
        <v>705</v>
      </c>
      <c r="I76" s="59" t="s">
        <v>493</v>
      </c>
      <c r="J76" s="59" t="s">
        <v>43</v>
      </c>
      <c r="K76" s="57"/>
      <c r="L76" s="60">
        <f>VLOOKUP(J76,'【3】大区填-楼栋基准格局定价'!B:H,7,0)</f>
        <v>2472.1725</v>
      </c>
      <c r="M76" s="61" t="s">
        <v>65</v>
      </c>
      <c r="N76" s="61">
        <v>21.83</v>
      </c>
      <c r="O76" s="57"/>
      <c r="P76" s="57" t="str">
        <f>IF(COUNTIFS(户型资产表!E:E,I76,户型资产表!H:H,"阳台门")&gt;0,"有","无")</f>
        <v>无</v>
      </c>
      <c r="Q76" s="57"/>
      <c r="R76" s="57" t="str">
        <f>IF('【2】运营中心填-基本信息&amp;审核标准'!$D$4="是","无",IF(INT(H76/100)&gt;9,"9F",INT(H76/100)&amp;"F"))</f>
        <v>无</v>
      </c>
      <c r="S76" s="57">
        <f>VLOOKUP(R76,【1】定价因子!D:F,3,0)</f>
        <v>1</v>
      </c>
      <c r="T76" s="57" t="str">
        <f>IF('【2】运营中心填-基本信息&amp;审核标准'!$D$4="否","无",IF(INT(H76/100)=1,"1F",IF(AND(INT(H76/100)&gt;=2,INT(H76/100)&lt;=3),"2-3F",IF(INT(H76/100)=4,"4F",IF(AND(INT(H76/100)&gt;=5,INT(H76/100)&lt;=6),"5-6F",IF(AND(INT(H76/100)&gt;=7,INT(H76/100)&lt;=8),"7-8F",IF(AND(INT(H76/100)&gt;=9,INT(H76/100)&lt;=10),"9-10F",IF(AND(INT(H76/100)&gt;=11,INT(H76/100)&lt;=12),"11-12F",IF(INT(H76/100)&gt;=13,"13以上F","")))))))))</f>
        <v>7-8F</v>
      </c>
      <c r="U76" s="57">
        <f>VLOOKUP($T$1&amp;T76,【1】定价因子!E:F,2,0)</f>
        <v>1.02</v>
      </c>
      <c r="V76" s="57" t="str">
        <f>IF(COUNTIFS(户型资产表!E:E,I76,户型资产表!H:H,"操作台")&gt;0,"有","无")</f>
        <v>有</v>
      </c>
      <c r="W76" s="57" t="str">
        <f>IF(COUNTIFS(户型资产表!E:E,I76,户型资产表!H:H,"书桌")&gt;0,"有","无")</f>
        <v>无</v>
      </c>
      <c r="X76" s="57" t="str" cm="1">
        <f t="array" ref="X76">IF(SUMPRODUCT((户型资产表!E:E=I76)*((户型资产表!I:I="沙发01单人")+(户型资产表!I:I="单人沙发02")))&gt;0,"有","无")</f>
        <v>无</v>
      </c>
      <c r="Y76" s="57" t="str" cm="1">
        <f t="array" ref="Y76">IF(SUMPRODUCT((户型资产表!E:E=I76)*((户型资产表!I:I="沙发02两人")+(户型资产表!I:I="双人沙发01")))&gt;0,"有","无")</f>
        <v>有</v>
      </c>
      <c r="Z76" s="57" t="str">
        <f>IF(COUNTIFS(户型资产表!E:E,I76,户型资产表!H:H,"餐桌")&gt;0,"有","无")</f>
        <v>有</v>
      </c>
      <c r="AA76" s="57" t="str">
        <f>IF(COUNTIFS(户型资产表!E:E,I76,户型资产表!H:H,"吸油烟机")&gt;0,"有","无")</f>
        <v>无</v>
      </c>
      <c r="AB76" s="57" t="str">
        <f>IF(COUNTIFS(户型资产表!E:E,I76,户型资产表!H:H,"冰箱")&gt;0,"有","无")</f>
        <v>无</v>
      </c>
      <c r="AC76" s="57" t="str">
        <f>IF(COUNTIFS(户型资产表!E:E,I76,户型资产表!H:H,"电视柜")&gt;0,"有","无")</f>
        <v>无</v>
      </c>
      <c r="AD76" s="61" t="str">
        <f t="shared" si="21"/>
        <v>适中</v>
      </c>
      <c r="AE76" s="57">
        <f>VLOOKUP($AD$1&amp;AD76,【1】定价因子!E:F,2,0)</f>
        <v>1</v>
      </c>
      <c r="AF76" s="61" t="str">
        <f t="shared" si="22"/>
        <v>适中</v>
      </c>
      <c r="AG76" s="57">
        <f>VLOOKUP($AF$1&amp;AF76,【1】定价因子!E:F,2,0)</f>
        <v>1</v>
      </c>
      <c r="AH76" s="61" t="str">
        <f t="shared" si="23"/>
        <v>适中</v>
      </c>
      <c r="AI76" s="57">
        <f>VLOOKUP($AH$1&amp;AH76,【1】定价因子!E:F,2,0)</f>
        <v>1</v>
      </c>
      <c r="AJ76" s="57" t="str">
        <f>VLOOKUP(H76,'【3-1】大区填-采光基本要素'!A:H,8,0)</f>
        <v>1</v>
      </c>
      <c r="AK76" s="57">
        <f>VLOOKUP($AJ$1&amp;AJ76,【1】定价因子!E:F,2,0)</f>
        <v>0.91</v>
      </c>
      <c r="AL76" s="62">
        <f t="shared" si="24"/>
        <v>2294.6705145</v>
      </c>
      <c r="AM76" s="63">
        <v>2080</v>
      </c>
      <c r="AN76" s="64">
        <f t="shared" si="25"/>
        <v>-0.0935517814620875</v>
      </c>
      <c r="AO76" s="65">
        <f t="shared" si="26"/>
        <v>2090</v>
      </c>
      <c r="AP76" s="63">
        <v>2178</v>
      </c>
    </row>
    <row r="77" spans="1:42">
      <c r="A77" s="47" t="str">
        <f>'【2】运营中心填-基本信息&amp;审核标准'!$E$2</f>
        <v>福围广生7-16、17栋</v>
      </c>
      <c r="B77" s="13"/>
      <c r="C77" s="13"/>
      <c r="D77" s="13"/>
      <c r="E77" s="13"/>
      <c r="F77" s="13"/>
      <c r="G77" s="13"/>
      <c r="H77" s="48">
        <v>706</v>
      </c>
      <c r="I77" s="49" t="s">
        <v>494</v>
      </c>
      <c r="J77" s="49" t="s">
        <v>40</v>
      </c>
      <c r="K77" s="13"/>
      <c r="L77" s="50">
        <f>VLOOKUP(J77,'【3】大区填-楼栋基准格局定价'!B:H,7,0)</f>
        <v>1658.8509</v>
      </c>
      <c r="M77" s="51" t="s">
        <v>61</v>
      </c>
      <c r="N77" s="51">
        <v>17.58</v>
      </c>
      <c r="O77" s="52"/>
      <c r="P77" s="52" t="str">
        <f>IF(COUNTIFS(户型资产表!E:E,I77,户型资产表!H:H,"阳台门")&gt;0,"有","无")</f>
        <v>无</v>
      </c>
      <c r="Q77" s="52"/>
      <c r="R77" s="52" t="str">
        <f>IF('【2】运营中心填-基本信息&amp;审核标准'!$D$4="是","无",IF(INT(H77/100)&gt;9,"9F",INT(H77/100)&amp;"F"))</f>
        <v>无</v>
      </c>
      <c r="S77" s="52">
        <f>VLOOKUP(R77,【1】定价因子!D:F,3,0)</f>
        <v>1</v>
      </c>
      <c r="T77" s="52" t="str">
        <f>IF('【2】运营中心填-基本信息&amp;审核标准'!$D$4="否","无",IF(INT(H77/100)=1,"1F",IF(AND(INT(H77/100)&gt;=2,INT(H77/100)&lt;=3),"2-3F",IF(INT(H77/100)=4,"4F",IF(AND(INT(H77/100)&gt;=5,INT(H77/100)&lt;=6),"5-6F",IF(AND(INT(H77/100)&gt;=7,INT(H77/100)&lt;=8),"7-8F",IF(AND(INT(H77/100)&gt;=9,INT(H77/100)&lt;=10),"9-10F",IF(AND(INT(H77/100)&gt;=11,INT(H77/100)&lt;=12),"11-12F",IF(INT(H77/100)&gt;=13,"13以上F","")))))))))</f>
        <v>7-8F</v>
      </c>
      <c r="U77" s="52">
        <f>VLOOKUP($T$1&amp;T77,【1】定价因子!E:F,2,0)</f>
        <v>1.02</v>
      </c>
      <c r="V77" s="52" t="str">
        <f>IF(COUNTIFS(户型资产表!E:E,I77,户型资产表!H:H,"操作台")&gt;0,"有","无")</f>
        <v>有</v>
      </c>
      <c r="W77" s="52" t="str">
        <f>IF(COUNTIFS(户型资产表!E:E,I77,户型资产表!H:H,"书桌")&gt;0,"有","无")</f>
        <v>有</v>
      </c>
      <c r="X77" s="52" t="str" cm="1">
        <f t="array" ref="X77">IF(SUMPRODUCT((户型资产表!E:E=I77)*((户型资产表!I:I="沙发01单人")+(户型资产表!I:I="单人沙发02")))&gt;0,"有","无")</f>
        <v>无</v>
      </c>
      <c r="Y77" s="52" t="str" cm="1">
        <f t="array" ref="Y77">IF(SUMPRODUCT((户型资产表!E:E=I77)*((户型资产表!I:I="沙发02两人")+(户型资产表!I:I="双人沙发01")))&gt;0,"有","无")</f>
        <v>无</v>
      </c>
      <c r="Z77" s="52" t="str">
        <f>IF(COUNTIFS(户型资产表!E:E,I77,户型资产表!H:H,"餐桌")&gt;0,"有","无")</f>
        <v>无</v>
      </c>
      <c r="AA77" s="52" t="str">
        <f>IF(COUNTIFS(户型资产表!E:E,I77,户型资产表!H:H,"吸油烟机")&gt;0,"有","无")</f>
        <v>无</v>
      </c>
      <c r="AB77" s="52" t="str">
        <f>IF(COUNTIFS(户型资产表!E:E,I77,户型资产表!H:H,"冰箱")&gt;0,"有","无")</f>
        <v>无</v>
      </c>
      <c r="AC77" s="52" t="str">
        <f>IF(COUNTIFS(户型资产表!E:E,I77,户型资产表!H:H,"电视柜")&gt;0,"有","无")</f>
        <v>无</v>
      </c>
      <c r="AD77" s="51" t="str">
        <f t="shared" si="21"/>
        <v>适中</v>
      </c>
      <c r="AE77" s="52">
        <f>VLOOKUP($AD$1&amp;AD77,【1】定价因子!E:F,2,0)</f>
        <v>1</v>
      </c>
      <c r="AF77" s="51" t="str">
        <f t="shared" si="22"/>
        <v>适中</v>
      </c>
      <c r="AG77" s="52">
        <f>VLOOKUP($AF$1&amp;AF77,【1】定价因子!E:F,2,0)</f>
        <v>1</v>
      </c>
      <c r="AH77" s="51" t="str">
        <f t="shared" si="23"/>
        <v>适中</v>
      </c>
      <c r="AI77" s="52">
        <f>VLOOKUP($AH$1&amp;AH77,【1】定价因子!E:F,2,0)</f>
        <v>1</v>
      </c>
      <c r="AJ77" s="52" t="str">
        <f>VLOOKUP(H77,'【3-1】大区填-采光基本要素'!A:H,8,0)</f>
        <v>3</v>
      </c>
      <c r="AK77" s="52">
        <f>VLOOKUP($AJ$1&amp;AJ77,【1】定价因子!E:F,2,0)</f>
        <v>1</v>
      </c>
      <c r="AL77" s="53">
        <f t="shared" si="24"/>
        <v>1692.027918</v>
      </c>
      <c r="AM77" s="54">
        <v>1548</v>
      </c>
      <c r="AN77" s="55">
        <f t="shared" si="25"/>
        <v>-0.0851214784743286</v>
      </c>
      <c r="AO77" s="56">
        <f t="shared" si="26"/>
        <v>1558</v>
      </c>
    </row>
    <row r="78" spans="1:42">
      <c r="A78" s="47" t="str">
        <f>'【2】运营中心填-基本信息&amp;审核标准'!$E$2</f>
        <v>福围广生7-16、17栋</v>
      </c>
      <c r="B78" s="13"/>
      <c r="C78" s="13"/>
      <c r="D78" s="13"/>
      <c r="E78" s="13"/>
      <c r="F78" s="13"/>
      <c r="G78" s="13"/>
      <c r="H78" s="48">
        <v>707</v>
      </c>
      <c r="I78" s="49" t="s">
        <v>492</v>
      </c>
      <c r="J78" s="49" t="s">
        <v>40</v>
      </c>
      <c r="K78" s="13"/>
      <c r="L78" s="50">
        <f>VLOOKUP(J78,'【3】大区填-楼栋基准格局定价'!B:H,7,0)</f>
        <v>1658.8509</v>
      </c>
      <c r="M78" s="51" t="s">
        <v>63</v>
      </c>
      <c r="N78" s="51">
        <v>16.65</v>
      </c>
      <c r="O78" s="52"/>
      <c r="P78" s="52" t="str">
        <f>IF(COUNTIFS(户型资产表!E:E,I78,户型资产表!H:H,"阳台门")&gt;0,"有","无")</f>
        <v>无</v>
      </c>
      <c r="Q78" s="52"/>
      <c r="R78" s="52" t="str">
        <f>IF('【2】运营中心填-基本信息&amp;审核标准'!$D$4="是","无",IF(INT(H78/100)&gt;9,"9F",INT(H78/100)&amp;"F"))</f>
        <v>无</v>
      </c>
      <c r="S78" s="52">
        <f>VLOOKUP(R78,【1】定价因子!D:F,3,0)</f>
        <v>1</v>
      </c>
      <c r="T78" s="52" t="str">
        <f>IF('【2】运营中心填-基本信息&amp;审核标准'!$D$4="否","无",IF(INT(H78/100)=1,"1F",IF(AND(INT(H78/100)&gt;=2,INT(H78/100)&lt;=3),"2-3F",IF(INT(H78/100)=4,"4F",IF(AND(INT(H78/100)&gt;=5,INT(H78/100)&lt;=6),"5-6F",IF(AND(INT(H78/100)&gt;=7,INT(H78/100)&lt;=8),"7-8F",IF(AND(INT(H78/100)&gt;=9,INT(H78/100)&lt;=10),"9-10F",IF(AND(INT(H78/100)&gt;=11,INT(H78/100)&lt;=12),"11-12F",IF(INT(H78/100)&gt;=13,"13以上F","")))))))))</f>
        <v>7-8F</v>
      </c>
      <c r="U78" s="52">
        <f>VLOOKUP($T$1&amp;T78,【1】定价因子!E:F,2,0)</f>
        <v>1.02</v>
      </c>
      <c r="V78" s="52" t="str">
        <f>IF(COUNTIFS(户型资产表!E:E,I78,户型资产表!H:H,"操作台")&gt;0,"有","无")</f>
        <v>有</v>
      </c>
      <c r="W78" s="52" t="str">
        <f>IF(COUNTIFS(户型资产表!E:E,I78,户型资产表!H:H,"书桌")&gt;0,"有","无")</f>
        <v>有</v>
      </c>
      <c r="X78" s="52" t="str" cm="1">
        <f t="array" ref="X78">IF(SUMPRODUCT((户型资产表!E:E=I78)*((户型资产表!I:I="沙发01单人")+(户型资产表!I:I="单人沙发02")))&gt;0,"有","无")</f>
        <v>无</v>
      </c>
      <c r="Y78" s="52" t="str" cm="1">
        <f t="array" ref="Y78">IF(SUMPRODUCT((户型资产表!E:E=I78)*((户型资产表!I:I="沙发02两人")+(户型资产表!I:I="双人沙发01")))&gt;0,"有","无")</f>
        <v>无</v>
      </c>
      <c r="Z78" s="52" t="str">
        <f>IF(COUNTIFS(户型资产表!E:E,I78,户型资产表!H:H,"餐桌")&gt;0,"有","无")</f>
        <v>无</v>
      </c>
      <c r="AA78" s="52" t="str">
        <f>IF(COUNTIFS(户型资产表!E:E,I78,户型资产表!H:H,"吸油烟机")&gt;0,"有","无")</f>
        <v>无</v>
      </c>
      <c r="AB78" s="52" t="str">
        <f>IF(COUNTIFS(户型资产表!E:E,I78,户型资产表!H:H,"冰箱")&gt;0,"有","无")</f>
        <v>无</v>
      </c>
      <c r="AC78" s="52" t="str">
        <f>IF(COUNTIFS(户型资产表!E:E,I78,户型资产表!H:H,"电视柜")&gt;0,"有","无")</f>
        <v>无</v>
      </c>
      <c r="AD78" s="51" t="str">
        <f t="shared" si="21"/>
        <v>适中</v>
      </c>
      <c r="AE78" s="52">
        <f>VLOOKUP($AD$1&amp;AD78,【1】定价因子!E:F,2,0)</f>
        <v>1</v>
      </c>
      <c r="AF78" s="51" t="str">
        <f t="shared" si="22"/>
        <v>适中</v>
      </c>
      <c r="AG78" s="52">
        <f>VLOOKUP($AF$1&amp;AF78,【1】定价因子!E:F,2,0)</f>
        <v>1</v>
      </c>
      <c r="AH78" s="51" t="str">
        <f t="shared" si="23"/>
        <v>适中</v>
      </c>
      <c r="AI78" s="52">
        <f>VLOOKUP($AH$1&amp;AH78,【1】定价因子!E:F,2,0)</f>
        <v>1</v>
      </c>
      <c r="AJ78" s="52" t="str">
        <f>VLOOKUP(H78,'【3-1】大区填-采光基本要素'!A:H,8,0)</f>
        <v>2</v>
      </c>
      <c r="AK78" s="52">
        <f>VLOOKUP($AJ$1&amp;AJ78,【1】定价因子!E:F,2,0)</f>
        <v>0.96</v>
      </c>
      <c r="AL78" s="53">
        <f t="shared" si="24"/>
        <v>1624.34680128</v>
      </c>
      <c r="AM78" s="54">
        <v>1488</v>
      </c>
      <c r="AN78" s="55">
        <f t="shared" si="25"/>
        <v>-0.0839394648806261</v>
      </c>
      <c r="AO78" s="56">
        <f t="shared" si="26"/>
        <v>1498</v>
      </c>
    </row>
    <row r="79" spans="1:42">
      <c r="A79" s="47" t="str">
        <f>'【2】运营中心填-基本信息&amp;审核标准'!$E$2</f>
        <v>福围广生7-16、17栋</v>
      </c>
      <c r="B79" s="13"/>
      <c r="C79" s="13"/>
      <c r="D79" s="13"/>
      <c r="E79" s="13"/>
      <c r="F79" s="13"/>
      <c r="G79" s="13"/>
      <c r="H79" s="48">
        <v>708</v>
      </c>
      <c r="I79" s="49" t="s">
        <v>492</v>
      </c>
      <c r="J79" s="49" t="s">
        <v>40</v>
      </c>
      <c r="K79" s="13"/>
      <c r="L79" s="50">
        <f>VLOOKUP(J79,'【3】大区填-楼栋基准格局定价'!B:H,7,0)</f>
        <v>1658.8509</v>
      </c>
      <c r="M79" s="51" t="s">
        <v>63</v>
      </c>
      <c r="N79" s="51">
        <v>16.79</v>
      </c>
      <c r="O79" s="52"/>
      <c r="P79" s="52" t="str">
        <f>IF(COUNTIFS(户型资产表!E:E,I79,户型资产表!H:H,"阳台门")&gt;0,"有","无")</f>
        <v>无</v>
      </c>
      <c r="Q79" s="52"/>
      <c r="R79" s="52" t="str">
        <f>IF('【2】运营中心填-基本信息&amp;审核标准'!$D$4="是","无",IF(INT(H79/100)&gt;9,"9F",INT(H79/100)&amp;"F"))</f>
        <v>无</v>
      </c>
      <c r="S79" s="52">
        <f>VLOOKUP(R79,【1】定价因子!D:F,3,0)</f>
        <v>1</v>
      </c>
      <c r="T79" s="52" t="str">
        <f>IF('【2】运营中心填-基本信息&amp;审核标准'!$D$4="否","无",IF(INT(H79/100)=1,"1F",IF(AND(INT(H79/100)&gt;=2,INT(H79/100)&lt;=3),"2-3F",IF(INT(H79/100)=4,"4F",IF(AND(INT(H79/100)&gt;=5,INT(H79/100)&lt;=6),"5-6F",IF(AND(INT(H79/100)&gt;=7,INT(H79/100)&lt;=8),"7-8F",IF(AND(INT(H79/100)&gt;=9,INT(H79/100)&lt;=10),"9-10F",IF(AND(INT(H79/100)&gt;=11,INT(H79/100)&lt;=12),"11-12F",IF(INT(H79/100)&gt;=13,"13以上F","")))))))))</f>
        <v>7-8F</v>
      </c>
      <c r="U79" s="52">
        <f>VLOOKUP($T$1&amp;T79,【1】定价因子!E:F,2,0)</f>
        <v>1.02</v>
      </c>
      <c r="V79" s="52" t="str">
        <f>IF(COUNTIFS(户型资产表!E:E,I79,户型资产表!H:H,"操作台")&gt;0,"有","无")</f>
        <v>有</v>
      </c>
      <c r="W79" s="52" t="str">
        <f>IF(COUNTIFS(户型资产表!E:E,I79,户型资产表!H:H,"书桌")&gt;0,"有","无")</f>
        <v>有</v>
      </c>
      <c r="X79" s="52" t="str" cm="1">
        <f t="array" ref="X79">IF(SUMPRODUCT((户型资产表!E:E=I79)*((户型资产表!I:I="沙发01单人")+(户型资产表!I:I="单人沙发02")))&gt;0,"有","无")</f>
        <v>无</v>
      </c>
      <c r="Y79" s="52" t="str" cm="1">
        <f t="array" ref="Y79">IF(SUMPRODUCT((户型资产表!E:E=I79)*((户型资产表!I:I="沙发02两人")+(户型资产表!I:I="双人沙发01")))&gt;0,"有","无")</f>
        <v>无</v>
      </c>
      <c r="Z79" s="52" t="str">
        <f>IF(COUNTIFS(户型资产表!E:E,I79,户型资产表!H:H,"餐桌")&gt;0,"有","无")</f>
        <v>无</v>
      </c>
      <c r="AA79" s="52" t="str">
        <f>IF(COUNTIFS(户型资产表!E:E,I79,户型资产表!H:H,"吸油烟机")&gt;0,"有","无")</f>
        <v>无</v>
      </c>
      <c r="AB79" s="52" t="str">
        <f>IF(COUNTIFS(户型资产表!E:E,I79,户型资产表!H:H,"冰箱")&gt;0,"有","无")</f>
        <v>无</v>
      </c>
      <c r="AC79" s="52" t="str">
        <f>IF(COUNTIFS(户型资产表!E:E,I79,户型资产表!H:H,"电视柜")&gt;0,"有","无")</f>
        <v>无</v>
      </c>
      <c r="AD79" s="51" t="str">
        <f t="shared" si="21"/>
        <v>适中</v>
      </c>
      <c r="AE79" s="52">
        <f>VLOOKUP($AD$1&amp;AD79,【1】定价因子!E:F,2,0)</f>
        <v>1</v>
      </c>
      <c r="AF79" s="51" t="str">
        <f t="shared" si="22"/>
        <v>适中</v>
      </c>
      <c r="AG79" s="52">
        <f>VLOOKUP($AF$1&amp;AF79,【1】定价因子!E:F,2,0)</f>
        <v>1</v>
      </c>
      <c r="AH79" s="51" t="str">
        <f t="shared" si="23"/>
        <v>适中</v>
      </c>
      <c r="AI79" s="52">
        <f>VLOOKUP($AH$1&amp;AH79,【1】定价因子!E:F,2,0)</f>
        <v>1</v>
      </c>
      <c r="AJ79" s="52" t="str">
        <f>VLOOKUP(H79,'【3-1】大区填-采光基本要素'!A:H,8,0)</f>
        <v>2</v>
      </c>
      <c r="AK79" s="52">
        <f>VLOOKUP($AJ$1&amp;AJ79,【1】定价因子!E:F,2,0)</f>
        <v>0.96</v>
      </c>
      <c r="AL79" s="53">
        <f t="shared" si="24"/>
        <v>1624.34680128</v>
      </c>
      <c r="AM79" s="54">
        <v>1488</v>
      </c>
      <c r="AN79" s="55">
        <f t="shared" si="25"/>
        <v>-0.0839394648806261</v>
      </c>
      <c r="AO79" s="56">
        <f t="shared" si="26"/>
        <v>1498</v>
      </c>
    </row>
    <row r="80" spans="1:42">
      <c r="A80" s="47" t="str">
        <f>'【2】运营中心填-基本信息&amp;审核标准'!$E$2</f>
        <v>福围广生7-16、17栋</v>
      </c>
      <c r="B80" s="13"/>
      <c r="C80" s="13"/>
      <c r="D80" s="13"/>
      <c r="E80" s="13"/>
      <c r="F80" s="13"/>
      <c r="G80" s="13"/>
      <c r="H80" s="48">
        <v>709</v>
      </c>
      <c r="I80" s="49" t="s">
        <v>495</v>
      </c>
      <c r="J80" s="49" t="s">
        <v>43</v>
      </c>
      <c r="K80" s="13"/>
      <c r="L80" s="50">
        <f>VLOOKUP(J80,'【3】大区填-楼栋基准格局定价'!B:H,7,0)</f>
        <v>2472.1725</v>
      </c>
      <c r="M80" s="51" t="s">
        <v>58</v>
      </c>
      <c r="N80" s="51">
        <v>30.92</v>
      </c>
      <c r="O80" s="52"/>
      <c r="P80" s="52" t="str">
        <f>IF(COUNTIFS(户型资产表!E:E,I80,户型资产表!H:H,"阳台门")&gt;0,"有","无")</f>
        <v>无</v>
      </c>
      <c r="Q80" s="52"/>
      <c r="R80" s="52" t="str">
        <f>IF('【2】运营中心填-基本信息&amp;审核标准'!$D$4="是","无",IF(INT(H80/100)&gt;9,"9F",INT(H80/100)&amp;"F"))</f>
        <v>无</v>
      </c>
      <c r="S80" s="52">
        <f>VLOOKUP(R80,【1】定价因子!D:F,3,0)</f>
        <v>1</v>
      </c>
      <c r="T80" s="52" t="str">
        <f>IF('【2】运营中心填-基本信息&amp;审核标准'!$D$4="否","无",IF(INT(H80/100)=1,"1F",IF(AND(INT(H80/100)&gt;=2,INT(H80/100)&lt;=3),"2-3F",IF(INT(H80/100)=4,"4F",IF(AND(INT(H80/100)&gt;=5,INT(H80/100)&lt;=6),"5-6F",IF(AND(INT(H80/100)&gt;=7,INT(H80/100)&lt;=8),"7-8F",IF(AND(INT(H80/100)&gt;=9,INT(H80/100)&lt;=10),"9-10F",IF(AND(INT(H80/100)&gt;=11,INT(H80/100)&lt;=12),"11-12F",IF(INT(H80/100)&gt;=13,"13以上F","")))))))))</f>
        <v>7-8F</v>
      </c>
      <c r="U80" s="52">
        <f>VLOOKUP($T$1&amp;T80,【1】定价因子!E:F,2,0)</f>
        <v>1.02</v>
      </c>
      <c r="V80" s="52" t="str">
        <f>IF(COUNTIFS(户型资产表!E:E,I80,户型资产表!H:H,"操作台")&gt;0,"有","无")</f>
        <v>有</v>
      </c>
      <c r="W80" s="52" t="str">
        <f>IF(COUNTIFS(户型资产表!E:E,I80,户型资产表!H:H,"书桌")&gt;0,"有","无")</f>
        <v>有</v>
      </c>
      <c r="X80" s="52" t="str" cm="1">
        <f t="array" ref="X80">IF(SUMPRODUCT((户型资产表!E:E=I80)*((户型资产表!I:I="沙发01单人")+(户型资产表!I:I="单人沙发02")))&gt;0,"有","无")</f>
        <v>有</v>
      </c>
      <c r="Y80" s="52" t="str" cm="1">
        <f t="array" ref="Y80">IF(SUMPRODUCT((户型资产表!E:E=I80)*((户型资产表!I:I="沙发02两人")+(户型资产表!I:I="双人沙发01")))&gt;0,"有","无")</f>
        <v>有</v>
      </c>
      <c r="Z80" s="52" t="str">
        <f>IF(COUNTIFS(户型资产表!E:E,I80,户型资产表!H:H,"餐桌")&gt;0,"有","无")</f>
        <v>有</v>
      </c>
      <c r="AA80" s="52" t="str">
        <f>IF(COUNTIFS(户型资产表!E:E,I80,户型资产表!H:H,"吸油烟机")&gt;0,"有","无")</f>
        <v>无</v>
      </c>
      <c r="AB80" s="52" t="str">
        <f>IF(COUNTIFS(户型资产表!E:E,I80,户型资产表!H:H,"冰箱")&gt;0,"有","无")</f>
        <v>无</v>
      </c>
      <c r="AC80" s="52" t="str">
        <f>IF(COUNTIFS(户型资产表!E:E,I80,户型资产表!H:H,"电视柜")&gt;0,"有","无")</f>
        <v>无</v>
      </c>
      <c r="AD80" s="51" t="str">
        <f t="shared" si="21"/>
        <v>适中</v>
      </c>
      <c r="AE80" s="52">
        <f>VLOOKUP($AD$1&amp;AD80,【1】定价因子!E:F,2,0)</f>
        <v>1</v>
      </c>
      <c r="AF80" s="51" t="s">
        <v>63</v>
      </c>
      <c r="AG80" s="52">
        <f>VLOOKUP($AF$1&amp;AF80,【1】定价因子!E:F,2,0)</f>
        <v>1</v>
      </c>
      <c r="AH80" s="51" t="str">
        <f t="shared" si="23"/>
        <v>适中</v>
      </c>
      <c r="AI80" s="52">
        <f>VLOOKUP($AH$1&amp;AH80,【1】定价因子!E:F,2,0)</f>
        <v>1</v>
      </c>
      <c r="AJ80" s="52" t="str">
        <f>VLOOKUP(H80,'【3-1】大区填-采光基本要素'!A:H,8,0)</f>
        <v>2</v>
      </c>
      <c r="AK80" s="52">
        <f>VLOOKUP($AJ$1&amp;AJ80,【1】定价因子!E:F,2,0)</f>
        <v>0.96</v>
      </c>
      <c r="AL80" s="53">
        <f t="shared" si="24"/>
        <v>2420.751312</v>
      </c>
      <c r="AM80" s="54">
        <v>2318</v>
      </c>
      <c r="AN80" s="55">
        <f t="shared" si="25"/>
        <v>-0.0424460420575411</v>
      </c>
      <c r="AO80" s="56">
        <f t="shared" si="26"/>
        <v>2328</v>
      </c>
    </row>
    <row r="81" spans="1:42">
      <c r="A81" s="47" t="str">
        <f>'【2】运营中心填-基本信息&amp;审核标准'!$E$2</f>
        <v>福围广生7-16、17栋</v>
      </c>
      <c r="B81" s="13"/>
      <c r="C81" s="13"/>
      <c r="D81" s="13"/>
      <c r="E81" s="13"/>
      <c r="F81" s="13"/>
      <c r="G81" s="13"/>
      <c r="H81" s="48">
        <v>710</v>
      </c>
      <c r="I81" s="49" t="s">
        <v>492</v>
      </c>
      <c r="J81" s="49" t="s">
        <v>40</v>
      </c>
      <c r="K81" s="13"/>
      <c r="L81" s="50">
        <f>VLOOKUP(J81,'【3】大区填-楼栋基准格局定价'!B:H,7,0)</f>
        <v>1658.8509</v>
      </c>
      <c r="M81" s="51" t="s">
        <v>63</v>
      </c>
      <c r="N81" s="51">
        <v>16.79</v>
      </c>
      <c r="O81" s="52"/>
      <c r="P81" s="52" t="str">
        <f>IF(COUNTIFS(户型资产表!E:E,I81,户型资产表!H:H,"阳台门")&gt;0,"有","无")</f>
        <v>无</v>
      </c>
      <c r="Q81" s="52"/>
      <c r="R81" s="52" t="str">
        <f>IF('【2】运营中心填-基本信息&amp;审核标准'!$D$4="是","无",IF(INT(H81/100)&gt;9,"9F",INT(H81/100)&amp;"F"))</f>
        <v>无</v>
      </c>
      <c r="S81" s="52">
        <f>VLOOKUP(R81,【1】定价因子!D:F,3,0)</f>
        <v>1</v>
      </c>
      <c r="T81" s="52" t="str">
        <f>IF('【2】运营中心填-基本信息&amp;审核标准'!$D$4="否","无",IF(INT(H81/100)=1,"1F",IF(AND(INT(H81/100)&gt;=2,INT(H81/100)&lt;=3),"2-3F",IF(INT(H81/100)=4,"4F",IF(AND(INT(H81/100)&gt;=5,INT(H81/100)&lt;=6),"5-6F",IF(AND(INT(H81/100)&gt;=7,INT(H81/100)&lt;=8),"7-8F",IF(AND(INT(H81/100)&gt;=9,INT(H81/100)&lt;=10),"9-10F",IF(AND(INT(H81/100)&gt;=11,INT(H81/100)&lt;=12),"11-12F",IF(INT(H81/100)&gt;=13,"13以上F","")))))))))</f>
        <v>7-8F</v>
      </c>
      <c r="U81" s="52">
        <f>VLOOKUP($T$1&amp;T81,【1】定价因子!E:F,2,0)</f>
        <v>1.02</v>
      </c>
      <c r="V81" s="52" t="str">
        <f>IF(COUNTIFS(户型资产表!E:E,I81,户型资产表!H:H,"操作台")&gt;0,"有","无")</f>
        <v>有</v>
      </c>
      <c r="W81" s="52" t="str">
        <f>IF(COUNTIFS(户型资产表!E:E,I81,户型资产表!H:H,"书桌")&gt;0,"有","无")</f>
        <v>有</v>
      </c>
      <c r="X81" s="52" t="str" cm="1">
        <f t="array" ref="X81">IF(SUMPRODUCT((户型资产表!E:E=I81)*((户型资产表!I:I="沙发01单人")+(户型资产表!I:I="单人沙发02")))&gt;0,"有","无")</f>
        <v>无</v>
      </c>
      <c r="Y81" s="52" t="str" cm="1">
        <f t="array" ref="Y81">IF(SUMPRODUCT((户型资产表!E:E=I81)*((户型资产表!I:I="沙发02两人")+(户型资产表!I:I="双人沙发01")))&gt;0,"有","无")</f>
        <v>无</v>
      </c>
      <c r="Z81" s="52" t="str">
        <f>IF(COUNTIFS(户型资产表!E:E,I81,户型资产表!H:H,"餐桌")&gt;0,"有","无")</f>
        <v>无</v>
      </c>
      <c r="AA81" s="52" t="str">
        <f>IF(COUNTIFS(户型资产表!E:E,I81,户型资产表!H:H,"吸油烟机")&gt;0,"有","无")</f>
        <v>无</v>
      </c>
      <c r="AB81" s="52" t="str">
        <f>IF(COUNTIFS(户型资产表!E:E,I81,户型资产表!H:H,"冰箱")&gt;0,"有","无")</f>
        <v>无</v>
      </c>
      <c r="AC81" s="52" t="str">
        <f>IF(COUNTIFS(户型资产表!E:E,I81,户型资产表!H:H,"电视柜")&gt;0,"有","无")</f>
        <v>无</v>
      </c>
      <c r="AD81" s="51" t="str">
        <f t="shared" si="21"/>
        <v>适中</v>
      </c>
      <c r="AE81" s="52">
        <f>VLOOKUP($AD$1&amp;AD81,【1】定价因子!E:F,2,0)</f>
        <v>1</v>
      </c>
      <c r="AF81" s="51" t="str">
        <f t="shared" si="22"/>
        <v>适中</v>
      </c>
      <c r="AG81" s="52">
        <f>VLOOKUP($AF$1&amp;AF81,【1】定价因子!E:F,2,0)</f>
        <v>1</v>
      </c>
      <c r="AH81" s="51" t="str">
        <f t="shared" si="23"/>
        <v>适中</v>
      </c>
      <c r="AI81" s="52">
        <f>VLOOKUP($AH$1&amp;AH81,【1】定价因子!E:F,2,0)</f>
        <v>1</v>
      </c>
      <c r="AJ81" s="52" t="str">
        <f>VLOOKUP(H81,'【3-1】大区填-采光基本要素'!A:H,8,0)</f>
        <v>2</v>
      </c>
      <c r="AK81" s="52">
        <f>VLOOKUP($AJ$1&amp;AJ81,【1】定价因子!E:F,2,0)</f>
        <v>0.96</v>
      </c>
      <c r="AL81" s="53">
        <f t="shared" si="24"/>
        <v>1624.34680128</v>
      </c>
      <c r="AM81" s="54">
        <v>1488</v>
      </c>
      <c r="AN81" s="55">
        <f t="shared" si="25"/>
        <v>-0.0839394648806261</v>
      </c>
      <c r="AO81" s="56">
        <f t="shared" si="26"/>
        <v>1498</v>
      </c>
    </row>
    <row r="82" spans="1:42">
      <c r="A82" s="47" t="str">
        <f>'【2】运营中心填-基本信息&amp;审核标准'!$E$2</f>
        <v>福围广生7-16、17栋</v>
      </c>
      <c r="B82" s="13"/>
      <c r="C82" s="13"/>
      <c r="D82" s="13"/>
      <c r="E82" s="13"/>
      <c r="F82" s="13"/>
      <c r="G82" s="13"/>
      <c r="H82" s="48">
        <v>711</v>
      </c>
      <c r="I82" s="49" t="s">
        <v>492</v>
      </c>
      <c r="J82" s="49" t="s">
        <v>40</v>
      </c>
      <c r="K82" s="13"/>
      <c r="L82" s="50">
        <f>VLOOKUP(J82,'【3】大区填-楼栋基准格局定价'!B:H,7,0)</f>
        <v>1658.8509</v>
      </c>
      <c r="M82" s="51" t="s">
        <v>63</v>
      </c>
      <c r="N82" s="51">
        <v>16.65</v>
      </c>
      <c r="O82" s="52"/>
      <c r="P82" s="52" t="str">
        <f>IF(COUNTIFS(户型资产表!E:E,I82,户型资产表!H:H,"阳台门")&gt;0,"有","无")</f>
        <v>无</v>
      </c>
      <c r="Q82" s="52"/>
      <c r="R82" s="52" t="str">
        <f>IF('【2】运营中心填-基本信息&amp;审核标准'!$D$4="是","无",IF(INT(H82/100)&gt;9,"9F",INT(H82/100)&amp;"F"))</f>
        <v>无</v>
      </c>
      <c r="S82" s="52">
        <f>VLOOKUP(R82,【1】定价因子!D:F,3,0)</f>
        <v>1</v>
      </c>
      <c r="T82" s="52" t="str">
        <f>IF('【2】运营中心填-基本信息&amp;审核标准'!$D$4="否","无",IF(INT(H82/100)=1,"1F",IF(AND(INT(H82/100)&gt;=2,INT(H82/100)&lt;=3),"2-3F",IF(INT(H82/100)=4,"4F",IF(AND(INT(H82/100)&gt;=5,INT(H82/100)&lt;=6),"5-6F",IF(AND(INT(H82/100)&gt;=7,INT(H82/100)&lt;=8),"7-8F",IF(AND(INT(H82/100)&gt;=9,INT(H82/100)&lt;=10),"9-10F",IF(AND(INT(H82/100)&gt;=11,INT(H82/100)&lt;=12),"11-12F",IF(INT(H82/100)&gt;=13,"13以上F","")))))))))</f>
        <v>7-8F</v>
      </c>
      <c r="U82" s="52">
        <f>VLOOKUP($T$1&amp;T82,【1】定价因子!E:F,2,0)</f>
        <v>1.02</v>
      </c>
      <c r="V82" s="52" t="str">
        <f>IF(COUNTIFS(户型资产表!E:E,I82,户型资产表!H:H,"操作台")&gt;0,"有","无")</f>
        <v>有</v>
      </c>
      <c r="W82" s="52" t="str">
        <f>IF(COUNTIFS(户型资产表!E:E,I82,户型资产表!H:H,"书桌")&gt;0,"有","无")</f>
        <v>有</v>
      </c>
      <c r="X82" s="52" t="str" cm="1">
        <f t="array" ref="X82">IF(SUMPRODUCT((户型资产表!E:E=I82)*((户型资产表!I:I="沙发01单人")+(户型资产表!I:I="单人沙发02")))&gt;0,"有","无")</f>
        <v>无</v>
      </c>
      <c r="Y82" s="52" t="str" cm="1">
        <f t="array" ref="Y82">IF(SUMPRODUCT((户型资产表!E:E=I82)*((户型资产表!I:I="沙发02两人")+(户型资产表!I:I="双人沙发01")))&gt;0,"有","无")</f>
        <v>无</v>
      </c>
      <c r="Z82" s="52" t="str">
        <f>IF(COUNTIFS(户型资产表!E:E,I82,户型资产表!H:H,"餐桌")&gt;0,"有","无")</f>
        <v>无</v>
      </c>
      <c r="AA82" s="52" t="str">
        <f>IF(COUNTIFS(户型资产表!E:E,I82,户型资产表!H:H,"吸油烟机")&gt;0,"有","无")</f>
        <v>无</v>
      </c>
      <c r="AB82" s="52" t="str">
        <f>IF(COUNTIFS(户型资产表!E:E,I82,户型资产表!H:H,"冰箱")&gt;0,"有","无")</f>
        <v>无</v>
      </c>
      <c r="AC82" s="52" t="str">
        <f>IF(COUNTIFS(户型资产表!E:E,I82,户型资产表!H:H,"电视柜")&gt;0,"有","无")</f>
        <v>无</v>
      </c>
      <c r="AD82" s="51" t="str">
        <f t="shared" si="21"/>
        <v>适中</v>
      </c>
      <c r="AE82" s="52">
        <f>VLOOKUP($AD$1&amp;AD82,【1】定价因子!E:F,2,0)</f>
        <v>1</v>
      </c>
      <c r="AF82" s="51" t="str">
        <f t="shared" si="22"/>
        <v>适中</v>
      </c>
      <c r="AG82" s="52">
        <f>VLOOKUP($AF$1&amp;AF82,【1】定价因子!E:F,2,0)</f>
        <v>1</v>
      </c>
      <c r="AH82" s="51" t="str">
        <f t="shared" si="23"/>
        <v>适中</v>
      </c>
      <c r="AI82" s="52">
        <f>VLOOKUP($AH$1&amp;AH82,【1】定价因子!E:F,2,0)</f>
        <v>1</v>
      </c>
      <c r="AJ82" s="52" t="str">
        <f>VLOOKUP(H82,'【3-1】大区填-采光基本要素'!A:H,8,0)</f>
        <v>2</v>
      </c>
      <c r="AK82" s="52">
        <f>VLOOKUP($AJ$1&amp;AJ82,【1】定价因子!E:F,2,0)</f>
        <v>0.96</v>
      </c>
      <c r="AL82" s="53">
        <f t="shared" si="24"/>
        <v>1624.34680128</v>
      </c>
      <c r="AM82" s="54">
        <v>1488</v>
      </c>
      <c r="AN82" s="55">
        <f t="shared" si="25"/>
        <v>-0.0839394648806261</v>
      </c>
      <c r="AO82" s="56">
        <f t="shared" si="26"/>
        <v>1498</v>
      </c>
    </row>
    <row r="83" spans="1:42">
      <c r="A83" s="47" t="str">
        <f>'【2】运营中心填-基本信息&amp;审核标准'!$E$2</f>
        <v>福围广生7-16、17栋</v>
      </c>
      <c r="B83" s="13"/>
      <c r="C83" s="13"/>
      <c r="D83" s="13"/>
      <c r="E83" s="13"/>
      <c r="F83" s="13"/>
      <c r="G83" s="13"/>
      <c r="H83" s="48">
        <v>712</v>
      </c>
      <c r="I83" s="49" t="s">
        <v>494</v>
      </c>
      <c r="J83" s="49" t="s">
        <v>40</v>
      </c>
      <c r="K83" s="13"/>
      <c r="L83" s="50">
        <f>VLOOKUP(J83,'【3】大区填-楼栋基准格局定价'!B:H,7,0)</f>
        <v>1658.8509</v>
      </c>
      <c r="M83" s="51" t="s">
        <v>61</v>
      </c>
      <c r="N83" s="51">
        <v>17.58</v>
      </c>
      <c r="O83" s="52"/>
      <c r="P83" s="52" t="str">
        <f>IF(COUNTIFS(户型资产表!E:E,I83,户型资产表!H:H,"阳台门")&gt;0,"有","无")</f>
        <v>无</v>
      </c>
      <c r="Q83" s="52"/>
      <c r="R83" s="52" t="str">
        <f>IF('【2】运营中心填-基本信息&amp;审核标准'!$D$4="是","无",IF(INT(H83/100)&gt;9,"9F",INT(H83/100)&amp;"F"))</f>
        <v>无</v>
      </c>
      <c r="S83" s="52">
        <f>VLOOKUP(R83,【1】定价因子!D:F,3,0)</f>
        <v>1</v>
      </c>
      <c r="T83" s="52" t="str">
        <f>IF('【2】运营中心填-基本信息&amp;审核标准'!$D$4="否","无",IF(INT(H83/100)=1,"1F",IF(AND(INT(H83/100)&gt;=2,INT(H83/100)&lt;=3),"2-3F",IF(INT(H83/100)=4,"4F",IF(AND(INT(H83/100)&gt;=5,INT(H83/100)&lt;=6),"5-6F",IF(AND(INT(H83/100)&gt;=7,INT(H83/100)&lt;=8),"7-8F",IF(AND(INT(H83/100)&gt;=9,INT(H83/100)&lt;=10),"9-10F",IF(AND(INT(H83/100)&gt;=11,INT(H83/100)&lt;=12),"11-12F",IF(INT(H83/100)&gt;=13,"13以上F","")))))))))</f>
        <v>7-8F</v>
      </c>
      <c r="U83" s="52">
        <f>VLOOKUP($T$1&amp;T83,【1】定价因子!E:F,2,0)</f>
        <v>1.02</v>
      </c>
      <c r="V83" s="52" t="str">
        <f>IF(COUNTIFS(户型资产表!E:E,I83,户型资产表!H:H,"操作台")&gt;0,"有","无")</f>
        <v>有</v>
      </c>
      <c r="W83" s="52" t="str">
        <f>IF(COUNTIFS(户型资产表!E:E,I83,户型资产表!H:H,"书桌")&gt;0,"有","无")</f>
        <v>有</v>
      </c>
      <c r="X83" s="52" t="str" cm="1">
        <f t="array" ref="X83">IF(SUMPRODUCT((户型资产表!E:E=I83)*((户型资产表!I:I="沙发01单人")+(户型资产表!I:I="单人沙发02")))&gt;0,"有","无")</f>
        <v>无</v>
      </c>
      <c r="Y83" s="52" t="str" cm="1">
        <f t="array" ref="Y83">IF(SUMPRODUCT((户型资产表!E:E=I83)*((户型资产表!I:I="沙发02两人")+(户型资产表!I:I="双人沙发01")))&gt;0,"有","无")</f>
        <v>无</v>
      </c>
      <c r="Z83" s="52" t="str">
        <f>IF(COUNTIFS(户型资产表!E:E,I83,户型资产表!H:H,"餐桌")&gt;0,"有","无")</f>
        <v>无</v>
      </c>
      <c r="AA83" s="52" t="str">
        <f>IF(COUNTIFS(户型资产表!E:E,I83,户型资产表!H:H,"吸油烟机")&gt;0,"有","无")</f>
        <v>无</v>
      </c>
      <c r="AB83" s="52" t="str">
        <f>IF(COUNTIFS(户型资产表!E:E,I83,户型资产表!H:H,"冰箱")&gt;0,"有","无")</f>
        <v>无</v>
      </c>
      <c r="AC83" s="52" t="str">
        <f>IF(COUNTIFS(户型资产表!E:E,I83,户型资产表!H:H,"电视柜")&gt;0,"有","无")</f>
        <v>无</v>
      </c>
      <c r="AD83" s="51" t="str">
        <f t="shared" si="21"/>
        <v>适中</v>
      </c>
      <c r="AE83" s="52">
        <f>VLOOKUP($AD$1&amp;AD83,【1】定价因子!E:F,2,0)</f>
        <v>1</v>
      </c>
      <c r="AF83" s="51" t="str">
        <f t="shared" si="22"/>
        <v>适中</v>
      </c>
      <c r="AG83" s="52">
        <f>VLOOKUP($AF$1&amp;AF83,【1】定价因子!E:F,2,0)</f>
        <v>1</v>
      </c>
      <c r="AH83" s="51" t="str">
        <f t="shared" si="23"/>
        <v>适中</v>
      </c>
      <c r="AI83" s="52">
        <f>VLOOKUP($AH$1&amp;AH83,【1】定价因子!E:F,2,0)</f>
        <v>1</v>
      </c>
      <c r="AJ83" s="52" t="str">
        <f>VLOOKUP(H83,'【3-1】大区填-采光基本要素'!A:H,8,0)</f>
        <v>2</v>
      </c>
      <c r="AK83" s="52">
        <f>VLOOKUP($AJ$1&amp;AJ83,【1】定价因子!E:F,2,0)</f>
        <v>0.96</v>
      </c>
      <c r="AL83" s="53">
        <f t="shared" si="24"/>
        <v>1624.34680128</v>
      </c>
      <c r="AM83" s="54">
        <v>1488</v>
      </c>
      <c r="AN83" s="55">
        <f t="shared" si="25"/>
        <v>-0.0839394648806261</v>
      </c>
      <c r="AO83" s="56">
        <f t="shared" si="26"/>
        <v>1498</v>
      </c>
    </row>
    <row r="84" s="34" customFormat="1" spans="1:42">
      <c r="A84" s="57" t="str">
        <f>'【2】运营中心填-基本信息&amp;审核标准'!$E$2</f>
        <v>福围广生7-16、17栋</v>
      </c>
      <c r="B84" s="57"/>
      <c r="C84" s="57"/>
      <c r="D84" s="57"/>
      <c r="E84" s="57"/>
      <c r="F84" s="57"/>
      <c r="G84" s="57"/>
      <c r="H84" s="58">
        <v>713</v>
      </c>
      <c r="I84" s="59" t="s">
        <v>493</v>
      </c>
      <c r="J84" s="59" t="s">
        <v>43</v>
      </c>
      <c r="K84" s="57"/>
      <c r="L84" s="60">
        <f>VLOOKUP(J84,'【3】大区填-楼栋基准格局定价'!B:H,7,0)</f>
        <v>2472.1725</v>
      </c>
      <c r="M84" s="61" t="s">
        <v>65</v>
      </c>
      <c r="N84" s="61">
        <v>20.18</v>
      </c>
      <c r="O84" s="57"/>
      <c r="P84" s="57" t="str">
        <f>IF(COUNTIFS(户型资产表!E:E,I84,户型资产表!H:H,"阳台门")&gt;0,"有","无")</f>
        <v>无</v>
      </c>
      <c r="Q84" s="57"/>
      <c r="R84" s="57" t="str">
        <f>IF('【2】运营中心填-基本信息&amp;审核标准'!$D$4="是","无",IF(INT(H84/100)&gt;9,"9F",INT(H84/100)&amp;"F"))</f>
        <v>无</v>
      </c>
      <c r="S84" s="57">
        <f>VLOOKUP(R84,【1】定价因子!D:F,3,0)</f>
        <v>1</v>
      </c>
      <c r="T84" s="57" t="str">
        <f>IF('【2】运营中心填-基本信息&amp;审核标准'!$D$4="否","无",IF(INT(H84/100)=1,"1F",IF(AND(INT(H84/100)&gt;=2,INT(H84/100)&lt;=3),"2-3F",IF(INT(H84/100)=4,"4F",IF(AND(INT(H84/100)&gt;=5,INT(H84/100)&lt;=6),"5-6F",IF(AND(INT(H84/100)&gt;=7,INT(H84/100)&lt;=8),"7-8F",IF(AND(INT(H84/100)&gt;=9,INT(H84/100)&lt;=10),"9-10F",IF(AND(INT(H84/100)&gt;=11,INT(H84/100)&lt;=12),"11-12F",IF(INT(H84/100)&gt;=13,"13以上F","")))))))))</f>
        <v>7-8F</v>
      </c>
      <c r="U84" s="57">
        <f>VLOOKUP($T$1&amp;T84,【1】定价因子!E:F,2,0)</f>
        <v>1.02</v>
      </c>
      <c r="V84" s="57" t="str">
        <f>IF(COUNTIFS(户型资产表!E:E,I84,户型资产表!H:H,"操作台")&gt;0,"有","无")</f>
        <v>有</v>
      </c>
      <c r="W84" s="57" t="str">
        <f>IF(COUNTIFS(户型资产表!E:E,I84,户型资产表!H:H,"书桌")&gt;0,"有","无")</f>
        <v>无</v>
      </c>
      <c r="X84" s="57" t="str" cm="1">
        <f t="array" ref="X84">IF(SUMPRODUCT((户型资产表!E:E=I84)*((户型资产表!I:I="沙发01单人")+(户型资产表!I:I="单人沙发02")))&gt;0,"有","无")</f>
        <v>无</v>
      </c>
      <c r="Y84" s="57" t="str" cm="1">
        <f t="array" ref="Y84">IF(SUMPRODUCT((户型资产表!E:E=I84)*((户型资产表!I:I="沙发02两人")+(户型资产表!I:I="双人沙发01")))&gt;0,"有","无")</f>
        <v>有</v>
      </c>
      <c r="Z84" s="57" t="str">
        <f>IF(COUNTIFS(户型资产表!E:E,I84,户型资产表!H:H,"餐桌")&gt;0,"有","无")</f>
        <v>有</v>
      </c>
      <c r="AA84" s="57" t="str">
        <f>IF(COUNTIFS(户型资产表!E:E,I84,户型资产表!H:H,"吸油烟机")&gt;0,"有","无")</f>
        <v>无</v>
      </c>
      <c r="AB84" s="57" t="str">
        <f>IF(COUNTIFS(户型资产表!E:E,I84,户型资产表!H:H,"冰箱")&gt;0,"有","无")</f>
        <v>无</v>
      </c>
      <c r="AC84" s="57" t="str">
        <f>IF(COUNTIFS(户型资产表!E:E,I84,户型资产表!H:H,"电视柜")&gt;0,"有","无")</f>
        <v>无</v>
      </c>
      <c r="AD84" s="61" t="str">
        <f t="shared" si="21"/>
        <v>适中</v>
      </c>
      <c r="AE84" s="57">
        <f>VLOOKUP($AD$1&amp;AD84,【1】定价因子!E:F,2,0)</f>
        <v>1</v>
      </c>
      <c r="AF84" s="61" t="str">
        <f t="shared" si="22"/>
        <v>适中</v>
      </c>
      <c r="AG84" s="57">
        <f>VLOOKUP($AF$1&amp;AF84,【1】定价因子!E:F,2,0)</f>
        <v>1</v>
      </c>
      <c r="AH84" s="61" t="str">
        <f t="shared" si="23"/>
        <v>适中</v>
      </c>
      <c r="AI84" s="57">
        <f>VLOOKUP($AH$1&amp;AH84,【1】定价因子!E:F,2,0)</f>
        <v>1</v>
      </c>
      <c r="AJ84" s="57" t="str">
        <f>VLOOKUP(H84,'【3-1】大区填-采光基本要素'!A:H,8,0)</f>
        <v>2</v>
      </c>
      <c r="AK84" s="57">
        <f>VLOOKUP($AJ$1&amp;AJ84,【1】定价因子!E:F,2,0)</f>
        <v>0.96</v>
      </c>
      <c r="AL84" s="62">
        <f t="shared" si="24"/>
        <v>2420.751312</v>
      </c>
      <c r="AM84" s="63">
        <v>2180</v>
      </c>
      <c r="AN84" s="64">
        <f t="shared" si="25"/>
        <v>-0.099453137051527</v>
      </c>
      <c r="AO84" s="65">
        <f t="shared" si="26"/>
        <v>2190</v>
      </c>
      <c r="AP84" s="34">
        <v>2268</v>
      </c>
    </row>
    <row r="85" spans="1:42">
      <c r="A85" s="47" t="str">
        <f>'【2】运营中心填-基本信息&amp;审核标准'!$E$2</f>
        <v>福围广生7-16、17栋</v>
      </c>
      <c r="B85" s="13"/>
      <c r="C85" s="13"/>
      <c r="D85" s="13"/>
      <c r="E85" s="13"/>
      <c r="F85" s="13"/>
      <c r="G85" s="13"/>
      <c r="H85" s="48">
        <v>714</v>
      </c>
      <c r="I85" s="49" t="s">
        <v>491</v>
      </c>
      <c r="J85" s="49" t="s">
        <v>43</v>
      </c>
      <c r="K85" s="13"/>
      <c r="L85" s="50">
        <f>VLOOKUP(J85,'【3】大区填-楼栋基准格局定价'!B:H,7,0)</f>
        <v>2472.1725</v>
      </c>
      <c r="M85" s="51" t="s">
        <v>63</v>
      </c>
      <c r="N85" s="51">
        <v>23.39</v>
      </c>
      <c r="O85" s="52"/>
      <c r="P85" s="52" t="str">
        <f>IF(COUNTIFS(户型资产表!E:E,I85,户型资产表!H:H,"阳台门")&gt;0,"有","无")</f>
        <v>无</v>
      </c>
      <c r="Q85" s="52"/>
      <c r="R85" s="52" t="str">
        <f>IF('【2】运营中心填-基本信息&amp;审核标准'!$D$4="是","无",IF(INT(H85/100)&gt;9,"9F",INT(H85/100)&amp;"F"))</f>
        <v>无</v>
      </c>
      <c r="S85" s="52">
        <f>VLOOKUP(R85,【1】定价因子!D:F,3,0)</f>
        <v>1</v>
      </c>
      <c r="T85" s="52" t="str">
        <f>IF('【2】运营中心填-基本信息&amp;审核标准'!$D$4="否","无",IF(INT(H85/100)=1,"1F",IF(AND(INT(H85/100)&gt;=2,INT(H85/100)&lt;=3),"2-3F",IF(INT(H85/100)=4,"4F",IF(AND(INT(H85/100)&gt;=5,INT(H85/100)&lt;=6),"5-6F",IF(AND(INT(H85/100)&gt;=7,INT(H85/100)&lt;=8),"7-8F",IF(AND(INT(H85/100)&gt;=9,INT(H85/100)&lt;=10),"9-10F",IF(AND(INT(H85/100)&gt;=11,INT(H85/100)&lt;=12),"11-12F",IF(INT(H85/100)&gt;=13,"13以上F","")))))))))</f>
        <v>7-8F</v>
      </c>
      <c r="U85" s="52">
        <f>VLOOKUP($T$1&amp;T85,【1】定价因子!E:F,2,0)</f>
        <v>1.02</v>
      </c>
      <c r="V85" s="52" t="str">
        <f>IF(COUNTIFS(户型资产表!E:E,I85,户型资产表!H:H,"操作台")&gt;0,"有","无")</f>
        <v>有</v>
      </c>
      <c r="W85" s="52" t="str">
        <f>IF(COUNTIFS(户型资产表!E:E,I85,户型资产表!H:H,"书桌")&gt;0,"有","无")</f>
        <v>无</v>
      </c>
      <c r="X85" s="52" t="str" cm="1">
        <f t="array" ref="X85">IF(SUMPRODUCT((户型资产表!E:E=I85)*((户型资产表!I:I="沙发01单人")+(户型资产表!I:I="单人沙发02")))&gt;0,"有","无")</f>
        <v>无</v>
      </c>
      <c r="Y85" s="52" t="str" cm="1">
        <f t="array" ref="Y85">IF(SUMPRODUCT((户型资产表!E:E=I85)*((户型资产表!I:I="沙发02两人")+(户型资产表!I:I="双人沙发01")))&gt;0,"有","无")</f>
        <v>有</v>
      </c>
      <c r="Z85" s="52" t="str">
        <f>IF(COUNTIFS(户型资产表!E:E,I85,户型资产表!H:H,"餐桌")&gt;0,"有","无")</f>
        <v>有</v>
      </c>
      <c r="AA85" s="52" t="str">
        <f>IF(COUNTIFS(户型资产表!E:E,I85,户型资产表!H:H,"吸油烟机")&gt;0,"有","无")</f>
        <v>无</v>
      </c>
      <c r="AB85" s="52" t="str">
        <f>IF(COUNTIFS(户型资产表!E:E,I85,户型资产表!H:H,"冰箱")&gt;0,"有","无")</f>
        <v>无</v>
      </c>
      <c r="AC85" s="52" t="str">
        <f>IF(COUNTIFS(户型资产表!E:E,I85,户型资产表!H:H,"电视柜")&gt;0,"有","无")</f>
        <v>无</v>
      </c>
      <c r="AD85" s="51" t="str">
        <f t="shared" si="21"/>
        <v>适中</v>
      </c>
      <c r="AE85" s="52">
        <f>VLOOKUP($AD$1&amp;AD85,【1】定价因子!E:F,2,0)</f>
        <v>1</v>
      </c>
      <c r="AF85" s="51" t="str">
        <f t="shared" si="22"/>
        <v>适中</v>
      </c>
      <c r="AG85" s="52">
        <f>VLOOKUP($AF$1&amp;AF85,【1】定价因子!E:F,2,0)</f>
        <v>1</v>
      </c>
      <c r="AH85" s="51" t="str">
        <f t="shared" si="23"/>
        <v>适中</v>
      </c>
      <c r="AI85" s="52">
        <f>VLOOKUP($AH$1&amp;AH85,【1】定价因子!E:F,2,0)</f>
        <v>1</v>
      </c>
      <c r="AJ85" s="52" t="str">
        <f>VLOOKUP(H85,'【3-1】大区填-采光基本要素'!A:H,8,0)</f>
        <v>2</v>
      </c>
      <c r="AK85" s="52">
        <f>VLOOKUP($AJ$1&amp;AJ85,【1】定价因子!E:F,2,0)</f>
        <v>0.96</v>
      </c>
      <c r="AL85" s="53">
        <f t="shared" si="24"/>
        <v>2420.751312</v>
      </c>
      <c r="AM85" s="54">
        <v>2268</v>
      </c>
      <c r="AN85" s="55">
        <f t="shared" si="25"/>
        <v>-0.0631007866205795</v>
      </c>
      <c r="AO85" s="56">
        <f t="shared" si="26"/>
        <v>2278</v>
      </c>
    </row>
    <row r="86" spans="1:42">
      <c r="A86" s="47" t="str">
        <f>'【2】运营中心填-基本信息&amp;审核标准'!$E$2</f>
        <v>福围广生7-16、17栋</v>
      </c>
      <c r="B86" s="13"/>
      <c r="C86" s="13"/>
      <c r="D86" s="13"/>
      <c r="E86" s="13"/>
      <c r="F86" s="13"/>
      <c r="G86" s="13"/>
      <c r="H86" s="48">
        <v>801</v>
      </c>
      <c r="I86" s="49" t="s">
        <v>491</v>
      </c>
      <c r="J86" s="49" t="s">
        <v>43</v>
      </c>
      <c r="K86" s="13"/>
      <c r="L86" s="50">
        <f>VLOOKUP(J86,'【3】大区填-楼栋基准格局定价'!B:H,7,0)</f>
        <v>2472.1725</v>
      </c>
      <c r="M86" s="51" t="s">
        <v>65</v>
      </c>
      <c r="N86" s="51">
        <v>22.14</v>
      </c>
      <c r="O86" s="52"/>
      <c r="P86" s="52" t="str">
        <f>IF(COUNTIFS(户型资产表!E:E,I86,户型资产表!H:H,"阳台门")&gt;0,"有","无")</f>
        <v>无</v>
      </c>
      <c r="Q86" s="52"/>
      <c r="R86" s="52" t="str">
        <f>IF('【2】运营中心填-基本信息&amp;审核标准'!$D$4="是","无",IF(INT(H86/100)&gt;9,"9F",INT(H86/100)&amp;"F"))</f>
        <v>无</v>
      </c>
      <c r="S86" s="52">
        <f>VLOOKUP(R86,【1】定价因子!D:F,3,0)</f>
        <v>1</v>
      </c>
      <c r="T86" s="52" t="str">
        <f>IF('【2】运营中心填-基本信息&amp;审核标准'!$D$4="否","无",IF(INT(H86/100)=1,"1F",IF(AND(INT(H86/100)&gt;=2,INT(H86/100)&lt;=3),"2-3F",IF(INT(H86/100)=4,"4F",IF(AND(INT(H86/100)&gt;=5,INT(H86/100)&lt;=6),"5-6F",IF(AND(INT(H86/100)&gt;=7,INT(H86/100)&lt;=8),"7-8F",IF(AND(INT(H86/100)&gt;=9,INT(H86/100)&lt;=10),"9-10F",IF(AND(INT(H86/100)&gt;=11,INT(H86/100)&lt;=12),"11-12F",IF(INT(H86/100)&gt;=13,"13以上F","")))))))))</f>
        <v>7-8F</v>
      </c>
      <c r="U86" s="52">
        <f>VLOOKUP($T$1&amp;T86,【1】定价因子!E:F,2,0)</f>
        <v>1.02</v>
      </c>
      <c r="V86" s="52" t="str">
        <f>IF(COUNTIFS(户型资产表!E:E,I86,户型资产表!H:H,"操作台")&gt;0,"有","无")</f>
        <v>有</v>
      </c>
      <c r="W86" s="52" t="str">
        <f>IF(COUNTIFS(户型资产表!E:E,I86,户型资产表!H:H,"书桌")&gt;0,"有","无")</f>
        <v>无</v>
      </c>
      <c r="X86" s="52" t="str" cm="1">
        <f t="array" ref="X86">IF(SUMPRODUCT((户型资产表!E:E=I86)*((户型资产表!I:I="沙发01单人")+(户型资产表!I:I="单人沙发02")))&gt;0,"有","无")</f>
        <v>无</v>
      </c>
      <c r="Y86" s="52" t="str" cm="1">
        <f t="array" ref="Y86">IF(SUMPRODUCT((户型资产表!E:E=I86)*((户型资产表!I:I="沙发02两人")+(户型资产表!I:I="双人沙发01")))&gt;0,"有","无")</f>
        <v>有</v>
      </c>
      <c r="Z86" s="52" t="str">
        <f>IF(COUNTIFS(户型资产表!E:E,I86,户型资产表!H:H,"餐桌")&gt;0,"有","无")</f>
        <v>有</v>
      </c>
      <c r="AA86" s="52" t="str">
        <f>IF(COUNTIFS(户型资产表!E:E,I86,户型资产表!H:H,"吸油烟机")&gt;0,"有","无")</f>
        <v>无</v>
      </c>
      <c r="AB86" s="52" t="str">
        <f>IF(COUNTIFS(户型资产表!E:E,I86,户型资产表!H:H,"冰箱")&gt;0,"有","无")</f>
        <v>无</v>
      </c>
      <c r="AC86" s="52" t="str">
        <f>IF(COUNTIFS(户型资产表!E:E,I86,户型资产表!H:H,"电视柜")&gt;0,"有","无")</f>
        <v>无</v>
      </c>
      <c r="AD86" s="51" t="str">
        <f t="shared" si="21"/>
        <v>适中</v>
      </c>
      <c r="AE86" s="52">
        <f>VLOOKUP($AD$1&amp;AD86,【1】定价因子!E:F,2,0)</f>
        <v>1</v>
      </c>
      <c r="AF86" s="51" t="str">
        <f t="shared" si="22"/>
        <v>适中</v>
      </c>
      <c r="AG86" s="52">
        <f>VLOOKUP($AF$1&amp;AF86,【1】定价因子!E:F,2,0)</f>
        <v>1</v>
      </c>
      <c r="AH86" s="51" t="str">
        <f t="shared" si="23"/>
        <v>适中</v>
      </c>
      <c r="AI86" s="52">
        <f>VLOOKUP($AH$1&amp;AH86,【1】定价因子!E:F,2,0)</f>
        <v>1</v>
      </c>
      <c r="AJ86" s="52" t="str">
        <f>VLOOKUP(H86,'【3-1】大区填-采光基本要素'!A:H,8,0)</f>
        <v>2</v>
      </c>
      <c r="AK86" s="52">
        <f>VLOOKUP($AJ$1&amp;AJ86,【1】定价因子!E:F,2,0)</f>
        <v>0.96</v>
      </c>
      <c r="AL86" s="53">
        <f t="shared" si="24"/>
        <v>2420.751312</v>
      </c>
      <c r="AM86" s="54">
        <v>2298</v>
      </c>
      <c r="AN86" s="55">
        <f t="shared" si="25"/>
        <v>-0.0507079398827565</v>
      </c>
      <c r="AO86" s="56">
        <f t="shared" si="26"/>
        <v>2308</v>
      </c>
    </row>
    <row r="87" spans="1:42">
      <c r="A87" s="47" t="str">
        <f>'【2】运营中心填-基本信息&amp;审核标准'!$E$2</f>
        <v>福围广生7-16、17栋</v>
      </c>
      <c r="B87" s="13"/>
      <c r="C87" s="13"/>
      <c r="D87" s="13"/>
      <c r="E87" s="13"/>
      <c r="F87" s="13"/>
      <c r="G87" s="13"/>
      <c r="H87" s="48">
        <v>802</v>
      </c>
      <c r="I87" s="49" t="s">
        <v>492</v>
      </c>
      <c r="J87" s="49" t="s">
        <v>40</v>
      </c>
      <c r="K87" s="13"/>
      <c r="L87" s="50">
        <f>VLOOKUP(J87,'【3】大区填-楼栋基准格局定价'!B:H,7,0)</f>
        <v>1658.8509</v>
      </c>
      <c r="M87" s="51" t="s">
        <v>58</v>
      </c>
      <c r="N87" s="51">
        <v>21.67</v>
      </c>
      <c r="O87" s="52"/>
      <c r="P87" s="52" t="str">
        <f>IF(COUNTIFS(户型资产表!E:E,I87,户型资产表!H:H,"阳台门")&gt;0,"有","无")</f>
        <v>无</v>
      </c>
      <c r="Q87" s="52"/>
      <c r="R87" s="52" t="str">
        <f>IF('【2】运营中心填-基本信息&amp;审核标准'!$D$4="是","无",IF(INT(H87/100)&gt;9,"9F",INT(H87/100)&amp;"F"))</f>
        <v>无</v>
      </c>
      <c r="S87" s="52">
        <f>VLOOKUP(R87,【1】定价因子!D:F,3,0)</f>
        <v>1</v>
      </c>
      <c r="T87" s="52" t="str">
        <f>IF('【2】运营中心填-基本信息&amp;审核标准'!$D$4="否","无",IF(INT(H87/100)=1,"1F",IF(AND(INT(H87/100)&gt;=2,INT(H87/100)&lt;=3),"2-3F",IF(INT(H87/100)=4,"4F",IF(AND(INT(H87/100)&gt;=5,INT(H87/100)&lt;=6),"5-6F",IF(AND(INT(H87/100)&gt;=7,INT(H87/100)&lt;=8),"7-8F",IF(AND(INT(H87/100)&gt;=9,INT(H87/100)&lt;=10),"9-10F",IF(AND(INT(H87/100)&gt;=11,INT(H87/100)&lt;=12),"11-12F",IF(INT(H87/100)&gt;=13,"13以上F","")))))))))</f>
        <v>7-8F</v>
      </c>
      <c r="U87" s="52">
        <f>VLOOKUP($T$1&amp;T87,【1】定价因子!E:F,2,0)</f>
        <v>1.02</v>
      </c>
      <c r="V87" s="52" t="str">
        <f>IF(COUNTIFS(户型资产表!E:E,I87,户型资产表!H:H,"操作台")&gt;0,"有","无")</f>
        <v>有</v>
      </c>
      <c r="W87" s="52" t="str">
        <f>IF(COUNTIFS(户型资产表!E:E,I87,户型资产表!H:H,"书桌")&gt;0,"有","无")</f>
        <v>有</v>
      </c>
      <c r="X87" s="52" t="str" cm="1">
        <f t="array" ref="X87">IF(SUMPRODUCT((户型资产表!E:E=I87)*((户型资产表!I:I="沙发01单人")+(户型资产表!I:I="单人沙发02")))&gt;0,"有","无")</f>
        <v>无</v>
      </c>
      <c r="Y87" s="52" t="str" cm="1">
        <f t="array" ref="Y87">IF(SUMPRODUCT((户型资产表!E:E=I87)*((户型资产表!I:I="沙发02两人")+(户型资产表!I:I="双人沙发01")))&gt;0,"有","无")</f>
        <v>无</v>
      </c>
      <c r="Z87" s="52" t="str">
        <f>IF(COUNTIFS(户型资产表!E:E,I87,户型资产表!H:H,"餐桌")&gt;0,"有","无")</f>
        <v>无</v>
      </c>
      <c r="AA87" s="52" t="str">
        <f>IF(COUNTIFS(户型资产表!E:E,I87,户型资产表!H:H,"吸油烟机")&gt;0,"有","无")</f>
        <v>无</v>
      </c>
      <c r="AB87" s="52" t="str">
        <f>IF(COUNTIFS(户型资产表!E:E,I87,户型资产表!H:H,"冰箱")&gt;0,"有","无")</f>
        <v>无</v>
      </c>
      <c r="AC87" s="52" t="str">
        <f>IF(COUNTIFS(户型资产表!E:E,I87,户型资产表!H:H,"电视柜")&gt;0,"有","无")</f>
        <v>无</v>
      </c>
      <c r="AD87" s="51" t="str">
        <f t="shared" si="21"/>
        <v>适中</v>
      </c>
      <c r="AE87" s="52">
        <f>VLOOKUP($AD$1&amp;AD87,【1】定价因子!E:F,2,0)</f>
        <v>1</v>
      </c>
      <c r="AF87" s="51" t="str">
        <f t="shared" si="22"/>
        <v>适中</v>
      </c>
      <c r="AG87" s="52">
        <f>VLOOKUP($AF$1&amp;AF87,【1】定价因子!E:F,2,0)</f>
        <v>1</v>
      </c>
      <c r="AH87" s="51" t="str">
        <f t="shared" si="23"/>
        <v>适中</v>
      </c>
      <c r="AI87" s="52">
        <f>VLOOKUP($AH$1&amp;AH87,【1】定价因子!E:F,2,0)</f>
        <v>1</v>
      </c>
      <c r="AJ87" s="52" t="str">
        <f>VLOOKUP(H87,'【3-1】大区填-采光基本要素'!A:H,8,0)</f>
        <v>2</v>
      </c>
      <c r="AK87" s="52">
        <f>VLOOKUP($AJ$1&amp;AJ87,【1】定价因子!E:F,2,0)</f>
        <v>0.96</v>
      </c>
      <c r="AL87" s="53">
        <f t="shared" si="24"/>
        <v>1624.34680128</v>
      </c>
      <c r="AM87" s="54">
        <v>1488</v>
      </c>
      <c r="AN87" s="55">
        <f t="shared" si="25"/>
        <v>-0.0839394648806261</v>
      </c>
      <c r="AO87" s="56">
        <f t="shared" si="26"/>
        <v>1498</v>
      </c>
    </row>
    <row r="88" spans="1:42">
      <c r="A88" s="47" t="str">
        <f>'【2】运营中心填-基本信息&amp;审核标准'!$E$2</f>
        <v>福围广生7-16、17栋</v>
      </c>
      <c r="B88" s="13"/>
      <c r="C88" s="13"/>
      <c r="D88" s="13"/>
      <c r="E88" s="13"/>
      <c r="F88" s="13"/>
      <c r="G88" s="13"/>
      <c r="H88" s="48">
        <v>803</v>
      </c>
      <c r="I88" s="49" t="s">
        <v>492</v>
      </c>
      <c r="J88" s="49" t="s">
        <v>40</v>
      </c>
      <c r="K88" s="13"/>
      <c r="L88" s="50">
        <f>VLOOKUP(J88,'【3】大区填-楼栋基准格局定价'!B:H,7,0)</f>
        <v>1658.8509</v>
      </c>
      <c r="M88" s="51" t="s">
        <v>63</v>
      </c>
      <c r="N88" s="51">
        <v>16.32</v>
      </c>
      <c r="O88" s="52"/>
      <c r="P88" s="52" t="str">
        <f>IF(COUNTIFS(户型资产表!E:E,I88,户型资产表!H:H,"阳台门")&gt;0,"有","无")</f>
        <v>无</v>
      </c>
      <c r="Q88" s="52"/>
      <c r="R88" s="52" t="str">
        <f>IF('【2】运营中心填-基本信息&amp;审核标准'!$D$4="是","无",IF(INT(H88/100)&gt;9,"9F",INT(H88/100)&amp;"F"))</f>
        <v>无</v>
      </c>
      <c r="S88" s="52">
        <f>VLOOKUP(R88,【1】定价因子!D:F,3,0)</f>
        <v>1</v>
      </c>
      <c r="T88" s="52" t="str">
        <f>IF('【2】运营中心填-基本信息&amp;审核标准'!$D$4="否","无",IF(INT(H88/100)=1,"1F",IF(AND(INT(H88/100)&gt;=2,INT(H88/100)&lt;=3),"2-3F",IF(INT(H88/100)=4,"4F",IF(AND(INT(H88/100)&gt;=5,INT(H88/100)&lt;=6),"5-6F",IF(AND(INT(H88/100)&gt;=7,INT(H88/100)&lt;=8),"7-8F",IF(AND(INT(H88/100)&gt;=9,INT(H88/100)&lt;=10),"9-10F",IF(AND(INT(H88/100)&gt;=11,INT(H88/100)&lt;=12),"11-12F",IF(INT(H88/100)&gt;=13,"13以上F","")))))))))</f>
        <v>7-8F</v>
      </c>
      <c r="U88" s="52">
        <f>VLOOKUP($T$1&amp;T88,【1】定价因子!E:F,2,0)</f>
        <v>1.02</v>
      </c>
      <c r="V88" s="52" t="str">
        <f>IF(COUNTIFS(户型资产表!E:E,I88,户型资产表!H:H,"操作台")&gt;0,"有","无")</f>
        <v>有</v>
      </c>
      <c r="W88" s="52" t="str">
        <f>IF(COUNTIFS(户型资产表!E:E,I88,户型资产表!H:H,"书桌")&gt;0,"有","无")</f>
        <v>有</v>
      </c>
      <c r="X88" s="52" t="str" cm="1">
        <f t="array" ref="X88">IF(SUMPRODUCT((户型资产表!E:E=I88)*((户型资产表!I:I="沙发01单人")+(户型资产表!I:I="单人沙发02")))&gt;0,"有","无")</f>
        <v>无</v>
      </c>
      <c r="Y88" s="52" t="str" cm="1">
        <f t="array" ref="Y88">IF(SUMPRODUCT((户型资产表!E:E=I88)*((户型资产表!I:I="沙发02两人")+(户型资产表!I:I="双人沙发01")))&gt;0,"有","无")</f>
        <v>无</v>
      </c>
      <c r="Z88" s="52" t="str">
        <f>IF(COUNTIFS(户型资产表!E:E,I88,户型资产表!H:H,"餐桌")&gt;0,"有","无")</f>
        <v>无</v>
      </c>
      <c r="AA88" s="52" t="str">
        <f>IF(COUNTIFS(户型资产表!E:E,I88,户型资产表!H:H,"吸油烟机")&gt;0,"有","无")</f>
        <v>无</v>
      </c>
      <c r="AB88" s="52" t="str">
        <f>IF(COUNTIFS(户型资产表!E:E,I88,户型资产表!H:H,"冰箱")&gt;0,"有","无")</f>
        <v>无</v>
      </c>
      <c r="AC88" s="52" t="str">
        <f>IF(COUNTIFS(户型资产表!E:E,I88,户型资产表!H:H,"电视柜")&gt;0,"有","无")</f>
        <v>无</v>
      </c>
      <c r="AD88" s="51" t="str">
        <f t="shared" si="21"/>
        <v>适中</v>
      </c>
      <c r="AE88" s="52">
        <f>VLOOKUP($AD$1&amp;AD88,【1】定价因子!E:F,2,0)</f>
        <v>1</v>
      </c>
      <c r="AF88" s="51" t="str">
        <f t="shared" si="22"/>
        <v>适中</v>
      </c>
      <c r="AG88" s="52">
        <f>VLOOKUP($AF$1&amp;AF88,【1】定价因子!E:F,2,0)</f>
        <v>1</v>
      </c>
      <c r="AH88" s="51" t="str">
        <f t="shared" si="23"/>
        <v>适中</v>
      </c>
      <c r="AI88" s="52">
        <f>VLOOKUP($AH$1&amp;AH88,【1】定价因子!E:F,2,0)</f>
        <v>1</v>
      </c>
      <c r="AJ88" s="52" t="str">
        <f>VLOOKUP(H88,'【3-1】大区填-采光基本要素'!A:H,8,0)</f>
        <v>2</v>
      </c>
      <c r="AK88" s="52">
        <f>VLOOKUP($AJ$1&amp;AJ88,【1】定价因子!E:F,2,0)</f>
        <v>0.96</v>
      </c>
      <c r="AL88" s="53">
        <f t="shared" si="24"/>
        <v>1624.34680128</v>
      </c>
      <c r="AM88" s="54">
        <v>1488</v>
      </c>
      <c r="AN88" s="55">
        <f t="shared" si="25"/>
        <v>-0.0839394648806261</v>
      </c>
      <c r="AO88" s="56">
        <f t="shared" si="26"/>
        <v>1498</v>
      </c>
    </row>
    <row r="89" spans="1:42">
      <c r="A89" s="47" t="str">
        <f>'【2】运营中心填-基本信息&amp;审核标准'!$E$2</f>
        <v>福围广生7-16、17栋</v>
      </c>
      <c r="B89" s="13"/>
      <c r="C89" s="13"/>
      <c r="D89" s="13"/>
      <c r="E89" s="13"/>
      <c r="F89" s="13"/>
      <c r="G89" s="13"/>
      <c r="H89" s="48">
        <v>804</v>
      </c>
      <c r="I89" s="49" t="s">
        <v>491</v>
      </c>
      <c r="J89" s="49" t="s">
        <v>43</v>
      </c>
      <c r="K89" s="13"/>
      <c r="L89" s="50">
        <f>VLOOKUP(J89,'【3】大区填-楼栋基准格局定价'!B:H,7,0)</f>
        <v>2472.1725</v>
      </c>
      <c r="M89" s="51" t="s">
        <v>65</v>
      </c>
      <c r="N89" s="51">
        <v>20.73</v>
      </c>
      <c r="O89" s="52"/>
      <c r="P89" s="52" t="str">
        <f>IF(COUNTIFS(户型资产表!E:E,I89,户型资产表!H:H,"阳台门")&gt;0,"有","无")</f>
        <v>无</v>
      </c>
      <c r="Q89" s="52"/>
      <c r="R89" s="52" t="str">
        <f>IF('【2】运营中心填-基本信息&amp;审核标准'!$D$4="是","无",IF(INT(H89/100)&gt;9,"9F",INT(H89/100)&amp;"F"))</f>
        <v>无</v>
      </c>
      <c r="S89" s="52">
        <f>VLOOKUP(R89,【1】定价因子!D:F,3,0)</f>
        <v>1</v>
      </c>
      <c r="T89" s="52" t="str">
        <f>IF('【2】运营中心填-基本信息&amp;审核标准'!$D$4="否","无",IF(INT(H89/100)=1,"1F",IF(AND(INT(H89/100)&gt;=2,INT(H89/100)&lt;=3),"2-3F",IF(INT(H89/100)=4,"4F",IF(AND(INT(H89/100)&gt;=5,INT(H89/100)&lt;=6),"5-6F",IF(AND(INT(H89/100)&gt;=7,INT(H89/100)&lt;=8),"7-8F",IF(AND(INT(H89/100)&gt;=9,INT(H89/100)&lt;=10),"9-10F",IF(AND(INT(H89/100)&gt;=11,INT(H89/100)&lt;=12),"11-12F",IF(INT(H89/100)&gt;=13,"13以上F","")))))))))</f>
        <v>7-8F</v>
      </c>
      <c r="U89" s="52">
        <f>VLOOKUP($T$1&amp;T89,【1】定价因子!E:F,2,0)</f>
        <v>1.02</v>
      </c>
      <c r="V89" s="52" t="str">
        <f>IF(COUNTIFS(户型资产表!E:E,I89,户型资产表!H:H,"操作台")&gt;0,"有","无")</f>
        <v>有</v>
      </c>
      <c r="W89" s="52" t="str">
        <f>IF(COUNTIFS(户型资产表!E:E,I89,户型资产表!H:H,"书桌")&gt;0,"有","无")</f>
        <v>无</v>
      </c>
      <c r="X89" s="52" t="str" cm="1">
        <f t="array" ref="X89">IF(SUMPRODUCT((户型资产表!E:E=I89)*((户型资产表!I:I="沙发01单人")+(户型资产表!I:I="单人沙发02")))&gt;0,"有","无")</f>
        <v>无</v>
      </c>
      <c r="Y89" s="52" t="str" cm="1">
        <f t="array" ref="Y89">IF(SUMPRODUCT((户型资产表!E:E=I89)*((户型资产表!I:I="沙发02两人")+(户型资产表!I:I="双人沙发01")))&gt;0,"有","无")</f>
        <v>有</v>
      </c>
      <c r="Z89" s="52" t="str">
        <f>IF(COUNTIFS(户型资产表!E:E,I89,户型资产表!H:H,"餐桌")&gt;0,"有","无")</f>
        <v>有</v>
      </c>
      <c r="AA89" s="52" t="str">
        <f>IF(COUNTIFS(户型资产表!E:E,I89,户型资产表!H:H,"吸油烟机")&gt;0,"有","无")</f>
        <v>无</v>
      </c>
      <c r="AB89" s="52" t="str">
        <f>IF(COUNTIFS(户型资产表!E:E,I89,户型资产表!H:H,"冰箱")&gt;0,"有","无")</f>
        <v>无</v>
      </c>
      <c r="AC89" s="52" t="str">
        <f>IF(COUNTIFS(户型资产表!E:E,I89,户型资产表!H:H,"电视柜")&gt;0,"有","无")</f>
        <v>无</v>
      </c>
      <c r="AD89" s="51" t="str">
        <f t="shared" si="21"/>
        <v>适中</v>
      </c>
      <c r="AE89" s="52">
        <f>VLOOKUP($AD$1&amp;AD89,【1】定价因子!E:F,2,0)</f>
        <v>1</v>
      </c>
      <c r="AF89" s="51" t="str">
        <f t="shared" si="22"/>
        <v>适中</v>
      </c>
      <c r="AG89" s="52">
        <f>VLOOKUP($AF$1&amp;AF89,【1】定价因子!E:F,2,0)</f>
        <v>1</v>
      </c>
      <c r="AH89" s="51" t="str">
        <f t="shared" si="23"/>
        <v>适中</v>
      </c>
      <c r="AI89" s="52">
        <f>VLOOKUP($AH$1&amp;AH89,【1】定价因子!E:F,2,0)</f>
        <v>1</v>
      </c>
      <c r="AJ89" s="52" t="str">
        <f>VLOOKUP(H89,'【3-1】大区填-采光基本要素'!A:H,8,0)</f>
        <v>2</v>
      </c>
      <c r="AK89" s="52">
        <f>VLOOKUP($AJ$1&amp;AJ89,【1】定价因子!E:F,2,0)</f>
        <v>0.96</v>
      </c>
      <c r="AL89" s="53">
        <f t="shared" si="24"/>
        <v>2420.751312</v>
      </c>
      <c r="AM89" s="67">
        <v>2200</v>
      </c>
      <c r="AN89" s="55">
        <f t="shared" si="25"/>
        <v>-0.0911912392263117</v>
      </c>
      <c r="AO89" s="56">
        <f t="shared" si="26"/>
        <v>2210</v>
      </c>
      <c r="AP89" s="54"/>
    </row>
    <row r="90" s="34" customFormat="1" spans="1:42">
      <c r="A90" s="57" t="str">
        <f>'【2】运营中心填-基本信息&amp;审核标准'!$E$2</f>
        <v>福围广生7-16、17栋</v>
      </c>
      <c r="B90" s="57"/>
      <c r="C90" s="57"/>
      <c r="D90" s="57"/>
      <c r="E90" s="57"/>
      <c r="F90" s="57"/>
      <c r="G90" s="57"/>
      <c r="H90" s="58">
        <v>805</v>
      </c>
      <c r="I90" s="59" t="s">
        <v>493</v>
      </c>
      <c r="J90" s="59" t="s">
        <v>43</v>
      </c>
      <c r="K90" s="57"/>
      <c r="L90" s="60">
        <f>VLOOKUP(J90,'【3】大区填-楼栋基准格局定价'!B:H,7,0)</f>
        <v>2472.1725</v>
      </c>
      <c r="M90" s="61" t="s">
        <v>65</v>
      </c>
      <c r="N90" s="61">
        <v>21.83</v>
      </c>
      <c r="O90" s="57"/>
      <c r="P90" s="57" t="str">
        <f>IF(COUNTIFS(户型资产表!E:E,I90,户型资产表!H:H,"阳台门")&gt;0,"有","无")</f>
        <v>无</v>
      </c>
      <c r="Q90" s="57"/>
      <c r="R90" s="57" t="str">
        <f>IF('【2】运营中心填-基本信息&amp;审核标准'!$D$4="是","无",IF(INT(H90/100)&gt;9,"9F",INT(H90/100)&amp;"F"))</f>
        <v>无</v>
      </c>
      <c r="S90" s="57">
        <f>VLOOKUP(R90,【1】定价因子!D:F,3,0)</f>
        <v>1</v>
      </c>
      <c r="T90" s="57" t="str">
        <f>IF('【2】运营中心填-基本信息&amp;审核标准'!$D$4="否","无",IF(INT(H90/100)=1,"1F",IF(AND(INT(H90/100)&gt;=2,INT(H90/100)&lt;=3),"2-3F",IF(INT(H90/100)=4,"4F",IF(AND(INT(H90/100)&gt;=5,INT(H90/100)&lt;=6),"5-6F",IF(AND(INT(H90/100)&gt;=7,INT(H90/100)&lt;=8),"7-8F",IF(AND(INT(H90/100)&gt;=9,INT(H90/100)&lt;=10),"9-10F",IF(AND(INT(H90/100)&gt;=11,INT(H90/100)&lt;=12),"11-12F",IF(INT(H90/100)&gt;=13,"13以上F","")))))))))</f>
        <v>7-8F</v>
      </c>
      <c r="U90" s="57">
        <f>VLOOKUP($T$1&amp;T90,【1】定价因子!E:F,2,0)</f>
        <v>1.02</v>
      </c>
      <c r="V90" s="57" t="str">
        <f>IF(COUNTIFS(户型资产表!E:E,I90,户型资产表!H:H,"操作台")&gt;0,"有","无")</f>
        <v>有</v>
      </c>
      <c r="W90" s="57" t="str">
        <f>IF(COUNTIFS(户型资产表!E:E,I90,户型资产表!H:H,"书桌")&gt;0,"有","无")</f>
        <v>无</v>
      </c>
      <c r="X90" s="57" t="str" cm="1">
        <f t="array" ref="X90">IF(SUMPRODUCT((户型资产表!E:E=I90)*((户型资产表!I:I="沙发01单人")+(户型资产表!I:I="单人沙发02")))&gt;0,"有","无")</f>
        <v>无</v>
      </c>
      <c r="Y90" s="57" t="str" cm="1">
        <f t="array" ref="Y90">IF(SUMPRODUCT((户型资产表!E:E=I90)*((户型资产表!I:I="沙发02两人")+(户型资产表!I:I="双人沙发01")))&gt;0,"有","无")</f>
        <v>有</v>
      </c>
      <c r="Z90" s="57" t="str">
        <f>IF(COUNTIFS(户型资产表!E:E,I90,户型资产表!H:H,"餐桌")&gt;0,"有","无")</f>
        <v>有</v>
      </c>
      <c r="AA90" s="57" t="str">
        <f>IF(COUNTIFS(户型资产表!E:E,I90,户型资产表!H:H,"吸油烟机")&gt;0,"有","无")</f>
        <v>无</v>
      </c>
      <c r="AB90" s="57" t="str">
        <f>IF(COUNTIFS(户型资产表!E:E,I90,户型资产表!H:H,"冰箱")&gt;0,"有","无")</f>
        <v>无</v>
      </c>
      <c r="AC90" s="57" t="str">
        <f>IF(COUNTIFS(户型资产表!E:E,I90,户型资产表!H:H,"电视柜")&gt;0,"有","无")</f>
        <v>无</v>
      </c>
      <c r="AD90" s="61" t="str">
        <f t="shared" si="21"/>
        <v>适中</v>
      </c>
      <c r="AE90" s="57">
        <f>VLOOKUP($AD$1&amp;AD90,【1】定价因子!E:F,2,0)</f>
        <v>1</v>
      </c>
      <c r="AF90" s="61" t="str">
        <f t="shared" si="22"/>
        <v>适中</v>
      </c>
      <c r="AG90" s="57">
        <f>VLOOKUP($AF$1&amp;AF90,【1】定价因子!E:F,2,0)</f>
        <v>1</v>
      </c>
      <c r="AH90" s="61" t="str">
        <f t="shared" si="23"/>
        <v>适中</v>
      </c>
      <c r="AI90" s="57">
        <f>VLOOKUP($AH$1&amp;AH90,【1】定价因子!E:F,2,0)</f>
        <v>1</v>
      </c>
      <c r="AJ90" s="57" t="str">
        <f>VLOOKUP(H90,'【3-1】大区填-采光基本要素'!A:H,8,0)</f>
        <v>2</v>
      </c>
      <c r="AK90" s="57">
        <f>VLOOKUP($AJ$1&amp;AJ90,【1】定价因子!E:F,2,0)</f>
        <v>0.96</v>
      </c>
      <c r="AL90" s="62">
        <f t="shared" si="24"/>
        <v>2420.751312</v>
      </c>
      <c r="AM90" s="63">
        <v>2150</v>
      </c>
      <c r="AN90" s="64">
        <f t="shared" si="25"/>
        <v>-0.11184598378935</v>
      </c>
      <c r="AO90" s="65">
        <f t="shared" si="26"/>
        <v>2160</v>
      </c>
      <c r="AP90" s="63">
        <v>2200</v>
      </c>
    </row>
    <row r="91" spans="1:42">
      <c r="A91" s="47" t="str">
        <f>'【2】运营中心填-基本信息&amp;审核标准'!$E$2</f>
        <v>福围广生7-16、17栋</v>
      </c>
      <c r="B91" s="13"/>
      <c r="C91" s="13"/>
      <c r="D91" s="13"/>
      <c r="E91" s="13"/>
      <c r="F91" s="13"/>
      <c r="G91" s="13"/>
      <c r="H91" s="48">
        <v>806</v>
      </c>
      <c r="I91" s="49" t="s">
        <v>494</v>
      </c>
      <c r="J91" s="49" t="s">
        <v>40</v>
      </c>
      <c r="K91" s="13"/>
      <c r="L91" s="50">
        <f>VLOOKUP(J91,'【3】大区填-楼栋基准格局定价'!B:H,7,0)</f>
        <v>1658.8509</v>
      </c>
      <c r="M91" s="51" t="s">
        <v>61</v>
      </c>
      <c r="N91" s="51">
        <v>17.58</v>
      </c>
      <c r="O91" s="52"/>
      <c r="P91" s="52" t="str">
        <f>IF(COUNTIFS(户型资产表!E:E,I91,户型资产表!H:H,"阳台门")&gt;0,"有","无")</f>
        <v>无</v>
      </c>
      <c r="Q91" s="52"/>
      <c r="R91" s="52" t="str">
        <f>IF('【2】运营中心填-基本信息&amp;审核标准'!$D$4="是","无",IF(INT(H91/100)&gt;9,"9F",INT(H91/100)&amp;"F"))</f>
        <v>无</v>
      </c>
      <c r="S91" s="52">
        <f>VLOOKUP(R91,【1】定价因子!D:F,3,0)</f>
        <v>1</v>
      </c>
      <c r="T91" s="52" t="str">
        <f>IF('【2】运营中心填-基本信息&amp;审核标准'!$D$4="否","无",IF(INT(H91/100)=1,"1F",IF(AND(INT(H91/100)&gt;=2,INT(H91/100)&lt;=3),"2-3F",IF(INT(H91/100)=4,"4F",IF(AND(INT(H91/100)&gt;=5,INT(H91/100)&lt;=6),"5-6F",IF(AND(INT(H91/100)&gt;=7,INT(H91/100)&lt;=8),"7-8F",IF(AND(INT(H91/100)&gt;=9,INT(H91/100)&lt;=10),"9-10F",IF(AND(INT(H91/100)&gt;=11,INT(H91/100)&lt;=12),"11-12F",IF(INT(H91/100)&gt;=13,"13以上F","")))))))))</f>
        <v>7-8F</v>
      </c>
      <c r="U91" s="52">
        <f>VLOOKUP($T$1&amp;T91,【1】定价因子!E:F,2,0)</f>
        <v>1.02</v>
      </c>
      <c r="V91" s="52" t="str">
        <f>IF(COUNTIFS(户型资产表!E:E,I91,户型资产表!H:H,"操作台")&gt;0,"有","无")</f>
        <v>有</v>
      </c>
      <c r="W91" s="52" t="str">
        <f>IF(COUNTIFS(户型资产表!E:E,I91,户型资产表!H:H,"书桌")&gt;0,"有","无")</f>
        <v>有</v>
      </c>
      <c r="X91" s="52" t="str" cm="1">
        <f t="array" ref="X91">IF(SUMPRODUCT((户型资产表!E:E=I91)*((户型资产表!I:I="沙发01单人")+(户型资产表!I:I="单人沙发02")))&gt;0,"有","无")</f>
        <v>无</v>
      </c>
      <c r="Y91" s="52" t="str" cm="1">
        <f t="array" ref="Y91">IF(SUMPRODUCT((户型资产表!E:E=I91)*((户型资产表!I:I="沙发02两人")+(户型资产表!I:I="双人沙发01")))&gt;0,"有","无")</f>
        <v>无</v>
      </c>
      <c r="Z91" s="52" t="str">
        <f>IF(COUNTIFS(户型资产表!E:E,I91,户型资产表!H:H,"餐桌")&gt;0,"有","无")</f>
        <v>无</v>
      </c>
      <c r="AA91" s="52" t="str">
        <f>IF(COUNTIFS(户型资产表!E:E,I91,户型资产表!H:H,"吸油烟机")&gt;0,"有","无")</f>
        <v>无</v>
      </c>
      <c r="AB91" s="52" t="str">
        <f>IF(COUNTIFS(户型资产表!E:E,I91,户型资产表!H:H,"冰箱")&gt;0,"有","无")</f>
        <v>无</v>
      </c>
      <c r="AC91" s="52" t="str">
        <f>IF(COUNTIFS(户型资产表!E:E,I91,户型资产表!H:H,"电视柜")&gt;0,"有","无")</f>
        <v>无</v>
      </c>
      <c r="AD91" s="51" t="str">
        <f t="shared" si="21"/>
        <v>适中</v>
      </c>
      <c r="AE91" s="52">
        <f>VLOOKUP($AD$1&amp;AD91,【1】定价因子!E:F,2,0)</f>
        <v>1</v>
      </c>
      <c r="AF91" s="51" t="str">
        <f t="shared" si="22"/>
        <v>适中</v>
      </c>
      <c r="AG91" s="52">
        <f>VLOOKUP($AF$1&amp;AF91,【1】定价因子!E:F,2,0)</f>
        <v>1</v>
      </c>
      <c r="AH91" s="51" t="str">
        <f t="shared" si="23"/>
        <v>适中</v>
      </c>
      <c r="AI91" s="52">
        <f>VLOOKUP($AH$1&amp;AH91,【1】定价因子!E:F,2,0)</f>
        <v>1</v>
      </c>
      <c r="AJ91" s="52" t="str">
        <f>VLOOKUP(H91,'【3-1】大区填-采光基本要素'!A:H,8,0)</f>
        <v>3</v>
      </c>
      <c r="AK91" s="52">
        <f>VLOOKUP($AJ$1&amp;AJ91,【1】定价因子!E:F,2,0)</f>
        <v>1</v>
      </c>
      <c r="AL91" s="53">
        <f t="shared" si="24"/>
        <v>1692.027918</v>
      </c>
      <c r="AM91" s="54">
        <v>1548</v>
      </c>
      <c r="AN91" s="55">
        <f t="shared" si="25"/>
        <v>-0.0851214784743286</v>
      </c>
      <c r="AO91" s="56">
        <f t="shared" si="26"/>
        <v>1558</v>
      </c>
    </row>
    <row r="92" spans="1:42">
      <c r="A92" s="47" t="str">
        <f>'【2】运营中心填-基本信息&amp;审核标准'!$E$2</f>
        <v>福围广生7-16、17栋</v>
      </c>
      <c r="B92" s="13"/>
      <c r="C92" s="13"/>
      <c r="D92" s="13"/>
      <c r="E92" s="13"/>
      <c r="F92" s="13"/>
      <c r="G92" s="13"/>
      <c r="H92" s="48">
        <v>807</v>
      </c>
      <c r="I92" s="49" t="s">
        <v>492</v>
      </c>
      <c r="J92" s="49" t="s">
        <v>40</v>
      </c>
      <c r="K92" s="13"/>
      <c r="L92" s="50">
        <f>VLOOKUP(J92,'【3】大区填-楼栋基准格局定价'!B:H,7,0)</f>
        <v>1658.8509</v>
      </c>
      <c r="M92" s="51" t="s">
        <v>63</v>
      </c>
      <c r="N92" s="51">
        <v>16.65</v>
      </c>
      <c r="O92" s="52"/>
      <c r="P92" s="52" t="str">
        <f>IF(COUNTIFS(户型资产表!E:E,I92,户型资产表!H:H,"阳台门")&gt;0,"有","无")</f>
        <v>无</v>
      </c>
      <c r="Q92" s="52"/>
      <c r="R92" s="52" t="str">
        <f>IF('【2】运营中心填-基本信息&amp;审核标准'!$D$4="是","无",IF(INT(H92/100)&gt;9,"9F",INT(H92/100)&amp;"F"))</f>
        <v>无</v>
      </c>
      <c r="S92" s="52">
        <f>VLOOKUP(R92,【1】定价因子!D:F,3,0)</f>
        <v>1</v>
      </c>
      <c r="T92" s="52" t="str">
        <f>IF('【2】运营中心填-基本信息&amp;审核标准'!$D$4="否","无",IF(INT(H92/100)=1,"1F",IF(AND(INT(H92/100)&gt;=2,INT(H92/100)&lt;=3),"2-3F",IF(INT(H92/100)=4,"4F",IF(AND(INT(H92/100)&gt;=5,INT(H92/100)&lt;=6),"5-6F",IF(AND(INT(H92/100)&gt;=7,INT(H92/100)&lt;=8),"7-8F",IF(AND(INT(H92/100)&gt;=9,INT(H92/100)&lt;=10),"9-10F",IF(AND(INT(H92/100)&gt;=11,INT(H92/100)&lt;=12),"11-12F",IF(INT(H92/100)&gt;=13,"13以上F","")))))))))</f>
        <v>7-8F</v>
      </c>
      <c r="U92" s="52">
        <f>VLOOKUP($T$1&amp;T92,【1】定价因子!E:F,2,0)</f>
        <v>1.02</v>
      </c>
      <c r="V92" s="52" t="str">
        <f>IF(COUNTIFS(户型资产表!E:E,I92,户型资产表!H:H,"操作台")&gt;0,"有","无")</f>
        <v>有</v>
      </c>
      <c r="W92" s="52" t="str">
        <f>IF(COUNTIFS(户型资产表!E:E,I92,户型资产表!H:H,"书桌")&gt;0,"有","无")</f>
        <v>有</v>
      </c>
      <c r="X92" s="52" t="str" cm="1">
        <f t="array" ref="X92">IF(SUMPRODUCT((户型资产表!E:E=I92)*((户型资产表!I:I="沙发01单人")+(户型资产表!I:I="单人沙发02")))&gt;0,"有","无")</f>
        <v>无</v>
      </c>
      <c r="Y92" s="52" t="str" cm="1">
        <f t="array" ref="Y92">IF(SUMPRODUCT((户型资产表!E:E=I92)*((户型资产表!I:I="沙发02两人")+(户型资产表!I:I="双人沙发01")))&gt;0,"有","无")</f>
        <v>无</v>
      </c>
      <c r="Z92" s="52" t="str">
        <f>IF(COUNTIFS(户型资产表!E:E,I92,户型资产表!H:H,"餐桌")&gt;0,"有","无")</f>
        <v>无</v>
      </c>
      <c r="AA92" s="52" t="str">
        <f>IF(COUNTIFS(户型资产表!E:E,I92,户型资产表!H:H,"吸油烟机")&gt;0,"有","无")</f>
        <v>无</v>
      </c>
      <c r="AB92" s="52" t="str">
        <f>IF(COUNTIFS(户型资产表!E:E,I92,户型资产表!H:H,"冰箱")&gt;0,"有","无")</f>
        <v>无</v>
      </c>
      <c r="AC92" s="52" t="str">
        <f>IF(COUNTIFS(户型资产表!E:E,I92,户型资产表!H:H,"电视柜")&gt;0,"有","无")</f>
        <v>无</v>
      </c>
      <c r="AD92" s="51" t="str">
        <f t="shared" si="21"/>
        <v>适中</v>
      </c>
      <c r="AE92" s="52">
        <f>VLOOKUP($AD$1&amp;AD92,【1】定价因子!E:F,2,0)</f>
        <v>1</v>
      </c>
      <c r="AF92" s="51" t="str">
        <f t="shared" si="22"/>
        <v>适中</v>
      </c>
      <c r="AG92" s="52">
        <f>VLOOKUP($AF$1&amp;AF92,【1】定价因子!E:F,2,0)</f>
        <v>1</v>
      </c>
      <c r="AH92" s="51" t="str">
        <f t="shared" si="23"/>
        <v>适中</v>
      </c>
      <c r="AI92" s="52">
        <f>VLOOKUP($AH$1&amp;AH92,【1】定价因子!E:F,2,0)</f>
        <v>1</v>
      </c>
      <c r="AJ92" s="52" t="str">
        <f>VLOOKUP(H92,'【3-1】大区填-采光基本要素'!A:H,8,0)</f>
        <v>2</v>
      </c>
      <c r="AK92" s="52">
        <f>VLOOKUP($AJ$1&amp;AJ92,【1】定价因子!E:F,2,0)</f>
        <v>0.96</v>
      </c>
      <c r="AL92" s="53">
        <f t="shared" si="24"/>
        <v>1624.34680128</v>
      </c>
      <c r="AM92" s="54">
        <v>1488</v>
      </c>
      <c r="AN92" s="55">
        <f t="shared" si="25"/>
        <v>-0.0839394648806261</v>
      </c>
      <c r="AO92" s="56">
        <f t="shared" si="26"/>
        <v>1498</v>
      </c>
    </row>
    <row r="93" spans="1:42">
      <c r="A93" s="47" t="str">
        <f>'【2】运营中心填-基本信息&amp;审核标准'!$E$2</f>
        <v>福围广生7-16、17栋</v>
      </c>
      <c r="B93" s="13"/>
      <c r="C93" s="13"/>
      <c r="D93" s="13"/>
      <c r="E93" s="13"/>
      <c r="F93" s="13"/>
      <c r="G93" s="13"/>
      <c r="H93" s="48">
        <v>808</v>
      </c>
      <c r="I93" s="49" t="s">
        <v>492</v>
      </c>
      <c r="J93" s="49" t="s">
        <v>40</v>
      </c>
      <c r="K93" s="13"/>
      <c r="L93" s="50">
        <f>VLOOKUP(J93,'【3】大区填-楼栋基准格局定价'!B:H,7,0)</f>
        <v>1658.8509</v>
      </c>
      <c r="M93" s="51" t="s">
        <v>63</v>
      </c>
      <c r="N93" s="51">
        <v>16.79</v>
      </c>
      <c r="O93" s="52"/>
      <c r="P93" s="52" t="str">
        <f>IF(COUNTIFS(户型资产表!E:E,I93,户型资产表!H:H,"阳台门")&gt;0,"有","无")</f>
        <v>无</v>
      </c>
      <c r="Q93" s="52"/>
      <c r="R93" s="52" t="str">
        <f>IF('【2】运营中心填-基本信息&amp;审核标准'!$D$4="是","无",IF(INT(H93/100)&gt;9,"9F",INT(H93/100)&amp;"F"))</f>
        <v>无</v>
      </c>
      <c r="S93" s="52">
        <f>VLOOKUP(R93,【1】定价因子!D:F,3,0)</f>
        <v>1</v>
      </c>
      <c r="T93" s="52" t="str">
        <f>IF('【2】运营中心填-基本信息&amp;审核标准'!$D$4="否","无",IF(INT(H93/100)=1,"1F",IF(AND(INT(H93/100)&gt;=2,INT(H93/100)&lt;=3),"2-3F",IF(INT(H93/100)=4,"4F",IF(AND(INT(H93/100)&gt;=5,INT(H93/100)&lt;=6),"5-6F",IF(AND(INT(H93/100)&gt;=7,INT(H93/100)&lt;=8),"7-8F",IF(AND(INT(H93/100)&gt;=9,INT(H93/100)&lt;=10),"9-10F",IF(AND(INT(H93/100)&gt;=11,INT(H93/100)&lt;=12),"11-12F",IF(INT(H93/100)&gt;=13,"13以上F","")))))))))</f>
        <v>7-8F</v>
      </c>
      <c r="U93" s="52">
        <f>VLOOKUP($T$1&amp;T93,【1】定价因子!E:F,2,0)</f>
        <v>1.02</v>
      </c>
      <c r="V93" s="52" t="str">
        <f>IF(COUNTIFS(户型资产表!E:E,I93,户型资产表!H:H,"操作台")&gt;0,"有","无")</f>
        <v>有</v>
      </c>
      <c r="W93" s="52" t="str">
        <f>IF(COUNTIFS(户型资产表!E:E,I93,户型资产表!H:H,"书桌")&gt;0,"有","无")</f>
        <v>有</v>
      </c>
      <c r="X93" s="52" t="str" cm="1">
        <f t="array" ref="X93">IF(SUMPRODUCT((户型资产表!E:E=I93)*((户型资产表!I:I="沙发01单人")+(户型资产表!I:I="单人沙发02")))&gt;0,"有","无")</f>
        <v>无</v>
      </c>
      <c r="Y93" s="52" t="str" cm="1">
        <f t="array" ref="Y93">IF(SUMPRODUCT((户型资产表!E:E=I93)*((户型资产表!I:I="沙发02两人")+(户型资产表!I:I="双人沙发01")))&gt;0,"有","无")</f>
        <v>无</v>
      </c>
      <c r="Z93" s="52" t="str">
        <f>IF(COUNTIFS(户型资产表!E:E,I93,户型资产表!H:H,"餐桌")&gt;0,"有","无")</f>
        <v>无</v>
      </c>
      <c r="AA93" s="52" t="str">
        <f>IF(COUNTIFS(户型资产表!E:E,I93,户型资产表!H:H,"吸油烟机")&gt;0,"有","无")</f>
        <v>无</v>
      </c>
      <c r="AB93" s="52" t="str">
        <f>IF(COUNTIFS(户型资产表!E:E,I93,户型资产表!H:H,"冰箱")&gt;0,"有","无")</f>
        <v>无</v>
      </c>
      <c r="AC93" s="52" t="str">
        <f>IF(COUNTIFS(户型资产表!E:E,I93,户型资产表!H:H,"电视柜")&gt;0,"有","无")</f>
        <v>无</v>
      </c>
      <c r="AD93" s="51" t="str">
        <f t="shared" si="21"/>
        <v>适中</v>
      </c>
      <c r="AE93" s="52">
        <f>VLOOKUP($AD$1&amp;AD93,【1】定价因子!E:F,2,0)</f>
        <v>1</v>
      </c>
      <c r="AF93" s="51" t="str">
        <f t="shared" si="22"/>
        <v>适中</v>
      </c>
      <c r="AG93" s="52">
        <f>VLOOKUP($AF$1&amp;AF93,【1】定价因子!E:F,2,0)</f>
        <v>1</v>
      </c>
      <c r="AH93" s="51" t="str">
        <f t="shared" si="23"/>
        <v>适中</v>
      </c>
      <c r="AI93" s="52">
        <f>VLOOKUP($AH$1&amp;AH93,【1】定价因子!E:F,2,0)</f>
        <v>1</v>
      </c>
      <c r="AJ93" s="52" t="str">
        <f>VLOOKUP(H93,'【3-1】大区填-采光基本要素'!A:H,8,0)</f>
        <v>2</v>
      </c>
      <c r="AK93" s="52">
        <f>VLOOKUP($AJ$1&amp;AJ93,【1】定价因子!E:F,2,0)</f>
        <v>0.96</v>
      </c>
      <c r="AL93" s="53">
        <f t="shared" si="24"/>
        <v>1624.34680128</v>
      </c>
      <c r="AM93" s="54">
        <v>1488</v>
      </c>
      <c r="AN93" s="55">
        <f t="shared" si="25"/>
        <v>-0.0839394648806261</v>
      </c>
      <c r="AO93" s="56">
        <f t="shared" si="26"/>
        <v>1498</v>
      </c>
    </row>
    <row r="94" spans="1:42">
      <c r="A94" s="47" t="str">
        <f>'【2】运营中心填-基本信息&amp;审核标准'!$E$2</f>
        <v>福围广生7-16、17栋</v>
      </c>
      <c r="B94" s="13"/>
      <c r="C94" s="13"/>
      <c r="D94" s="13"/>
      <c r="E94" s="13"/>
      <c r="F94" s="13"/>
      <c r="G94" s="13"/>
      <c r="H94" s="48">
        <v>809</v>
      </c>
      <c r="I94" s="49" t="s">
        <v>495</v>
      </c>
      <c r="J94" s="49" t="s">
        <v>43</v>
      </c>
      <c r="K94" s="13"/>
      <c r="L94" s="50">
        <f>VLOOKUP(J94,'【3】大区填-楼栋基准格局定价'!B:H,7,0)</f>
        <v>2472.1725</v>
      </c>
      <c r="M94" s="51" t="s">
        <v>58</v>
      </c>
      <c r="N94" s="51">
        <v>30.92</v>
      </c>
      <c r="O94" s="52"/>
      <c r="P94" s="52" t="str">
        <f>IF(COUNTIFS(户型资产表!E:E,I94,户型资产表!H:H,"阳台门")&gt;0,"有","无")</f>
        <v>无</v>
      </c>
      <c r="Q94" s="52"/>
      <c r="R94" s="52" t="str">
        <f>IF('【2】运营中心填-基本信息&amp;审核标准'!$D$4="是","无",IF(INT(H94/100)&gt;9,"9F",INT(H94/100)&amp;"F"))</f>
        <v>无</v>
      </c>
      <c r="S94" s="52">
        <f>VLOOKUP(R94,【1】定价因子!D:F,3,0)</f>
        <v>1</v>
      </c>
      <c r="T94" s="52" t="str">
        <f>IF('【2】运营中心填-基本信息&amp;审核标准'!$D$4="否","无",IF(INT(H94/100)=1,"1F",IF(AND(INT(H94/100)&gt;=2,INT(H94/100)&lt;=3),"2-3F",IF(INT(H94/100)=4,"4F",IF(AND(INT(H94/100)&gt;=5,INT(H94/100)&lt;=6),"5-6F",IF(AND(INT(H94/100)&gt;=7,INT(H94/100)&lt;=8),"7-8F",IF(AND(INT(H94/100)&gt;=9,INT(H94/100)&lt;=10),"9-10F",IF(AND(INT(H94/100)&gt;=11,INT(H94/100)&lt;=12),"11-12F",IF(INT(H94/100)&gt;=13,"13以上F","")))))))))</f>
        <v>7-8F</v>
      </c>
      <c r="U94" s="52">
        <f>VLOOKUP($T$1&amp;T94,【1】定价因子!E:F,2,0)</f>
        <v>1.02</v>
      </c>
      <c r="V94" s="52" t="str">
        <f>IF(COUNTIFS(户型资产表!E:E,I94,户型资产表!H:H,"操作台")&gt;0,"有","无")</f>
        <v>有</v>
      </c>
      <c r="W94" s="52" t="str">
        <f>IF(COUNTIFS(户型资产表!E:E,I94,户型资产表!H:H,"书桌")&gt;0,"有","无")</f>
        <v>有</v>
      </c>
      <c r="X94" s="52" t="str" cm="1">
        <f t="array" ref="X94">IF(SUMPRODUCT((户型资产表!E:E=I94)*((户型资产表!I:I="沙发01单人")+(户型资产表!I:I="单人沙发02")))&gt;0,"有","无")</f>
        <v>有</v>
      </c>
      <c r="Y94" s="52" t="str" cm="1">
        <f t="array" ref="Y94">IF(SUMPRODUCT((户型资产表!E:E=I94)*((户型资产表!I:I="沙发02两人")+(户型资产表!I:I="双人沙发01")))&gt;0,"有","无")</f>
        <v>有</v>
      </c>
      <c r="Z94" s="52" t="str">
        <f>IF(COUNTIFS(户型资产表!E:E,I94,户型资产表!H:H,"餐桌")&gt;0,"有","无")</f>
        <v>有</v>
      </c>
      <c r="AA94" s="52" t="str">
        <f>IF(COUNTIFS(户型资产表!E:E,I94,户型资产表!H:H,"吸油烟机")&gt;0,"有","无")</f>
        <v>无</v>
      </c>
      <c r="AB94" s="52" t="str">
        <f>IF(COUNTIFS(户型资产表!E:E,I94,户型资产表!H:H,"冰箱")&gt;0,"有","无")</f>
        <v>无</v>
      </c>
      <c r="AC94" s="52" t="str">
        <f>IF(COUNTIFS(户型资产表!E:E,I94,户型资产表!H:H,"电视柜")&gt;0,"有","无")</f>
        <v>无</v>
      </c>
      <c r="AD94" s="51" t="str">
        <f t="shared" si="21"/>
        <v>适中</v>
      </c>
      <c r="AE94" s="52">
        <f>VLOOKUP($AD$1&amp;AD94,【1】定价因子!E:F,2,0)</f>
        <v>1</v>
      </c>
      <c r="AF94" s="51" t="s">
        <v>63</v>
      </c>
      <c r="AG94" s="52">
        <f>VLOOKUP($AF$1&amp;AF94,【1】定价因子!E:F,2,0)</f>
        <v>1</v>
      </c>
      <c r="AH94" s="51" t="str">
        <f t="shared" si="23"/>
        <v>适中</v>
      </c>
      <c r="AI94" s="52">
        <f>VLOOKUP($AH$1&amp;AH94,【1】定价因子!E:F,2,0)</f>
        <v>1</v>
      </c>
      <c r="AJ94" s="52" t="str">
        <f>VLOOKUP(H94,'【3-1】大区填-采光基本要素'!A:H,8,0)</f>
        <v>2</v>
      </c>
      <c r="AK94" s="52">
        <f>VLOOKUP($AJ$1&amp;AJ94,【1】定价因子!E:F,2,0)</f>
        <v>0.96</v>
      </c>
      <c r="AL94" s="53">
        <f t="shared" si="24"/>
        <v>2420.751312</v>
      </c>
      <c r="AM94" s="54">
        <v>2348</v>
      </c>
      <c r="AN94" s="55">
        <f t="shared" si="25"/>
        <v>-0.0300531953197181</v>
      </c>
      <c r="AO94" s="56">
        <f t="shared" si="26"/>
        <v>2358</v>
      </c>
    </row>
    <row r="95" spans="1:42">
      <c r="A95" s="47" t="str">
        <f>'【2】运营中心填-基本信息&amp;审核标准'!$E$2</f>
        <v>福围广生7-16、17栋</v>
      </c>
      <c r="B95" s="13"/>
      <c r="C95" s="13"/>
      <c r="D95" s="13"/>
      <c r="E95" s="13"/>
      <c r="F95" s="13"/>
      <c r="G95" s="13"/>
      <c r="H95" s="48">
        <v>810</v>
      </c>
      <c r="I95" s="49" t="s">
        <v>492</v>
      </c>
      <c r="J95" s="49" t="s">
        <v>40</v>
      </c>
      <c r="K95" s="13"/>
      <c r="L95" s="50">
        <f>VLOOKUP(J95,'【3】大区填-楼栋基准格局定价'!B:H,7,0)</f>
        <v>1658.8509</v>
      </c>
      <c r="M95" s="51" t="s">
        <v>63</v>
      </c>
      <c r="N95" s="51">
        <v>16.79</v>
      </c>
      <c r="O95" s="52"/>
      <c r="P95" s="52" t="str">
        <f>IF(COUNTIFS(户型资产表!E:E,I95,户型资产表!H:H,"阳台门")&gt;0,"有","无")</f>
        <v>无</v>
      </c>
      <c r="Q95" s="52"/>
      <c r="R95" s="52" t="str">
        <f>IF('【2】运营中心填-基本信息&amp;审核标准'!$D$4="是","无",IF(INT(H95/100)&gt;9,"9F",INT(H95/100)&amp;"F"))</f>
        <v>无</v>
      </c>
      <c r="S95" s="52">
        <f>VLOOKUP(R95,【1】定价因子!D:F,3,0)</f>
        <v>1</v>
      </c>
      <c r="T95" s="52" t="str">
        <f>IF('【2】运营中心填-基本信息&amp;审核标准'!$D$4="否","无",IF(INT(H95/100)=1,"1F",IF(AND(INT(H95/100)&gt;=2,INT(H95/100)&lt;=3),"2-3F",IF(INT(H95/100)=4,"4F",IF(AND(INT(H95/100)&gt;=5,INT(H95/100)&lt;=6),"5-6F",IF(AND(INT(H95/100)&gt;=7,INT(H95/100)&lt;=8),"7-8F",IF(AND(INT(H95/100)&gt;=9,INT(H95/100)&lt;=10),"9-10F",IF(AND(INT(H95/100)&gt;=11,INT(H95/100)&lt;=12),"11-12F",IF(INT(H95/100)&gt;=13,"13以上F","")))))))))</f>
        <v>7-8F</v>
      </c>
      <c r="U95" s="52">
        <f>VLOOKUP($T$1&amp;T95,【1】定价因子!E:F,2,0)</f>
        <v>1.02</v>
      </c>
      <c r="V95" s="52" t="str">
        <f>IF(COUNTIFS(户型资产表!E:E,I95,户型资产表!H:H,"操作台")&gt;0,"有","无")</f>
        <v>有</v>
      </c>
      <c r="W95" s="52" t="str">
        <f>IF(COUNTIFS(户型资产表!E:E,I95,户型资产表!H:H,"书桌")&gt;0,"有","无")</f>
        <v>有</v>
      </c>
      <c r="X95" s="52" t="str" cm="1">
        <f t="array" ref="X95">IF(SUMPRODUCT((户型资产表!E:E=I95)*((户型资产表!I:I="沙发01单人")+(户型资产表!I:I="单人沙发02")))&gt;0,"有","无")</f>
        <v>无</v>
      </c>
      <c r="Y95" s="52" t="str" cm="1">
        <f t="array" ref="Y95">IF(SUMPRODUCT((户型资产表!E:E=I95)*((户型资产表!I:I="沙发02两人")+(户型资产表!I:I="双人沙发01")))&gt;0,"有","无")</f>
        <v>无</v>
      </c>
      <c r="Z95" s="52" t="str">
        <f>IF(COUNTIFS(户型资产表!E:E,I95,户型资产表!H:H,"餐桌")&gt;0,"有","无")</f>
        <v>无</v>
      </c>
      <c r="AA95" s="52" t="str">
        <f>IF(COUNTIFS(户型资产表!E:E,I95,户型资产表!H:H,"吸油烟机")&gt;0,"有","无")</f>
        <v>无</v>
      </c>
      <c r="AB95" s="52" t="str">
        <f>IF(COUNTIFS(户型资产表!E:E,I95,户型资产表!H:H,"冰箱")&gt;0,"有","无")</f>
        <v>无</v>
      </c>
      <c r="AC95" s="52" t="str">
        <f>IF(COUNTIFS(户型资产表!E:E,I95,户型资产表!H:H,"电视柜")&gt;0,"有","无")</f>
        <v>无</v>
      </c>
      <c r="AD95" s="51" t="str">
        <f t="shared" si="21"/>
        <v>适中</v>
      </c>
      <c r="AE95" s="52">
        <f>VLOOKUP($AD$1&amp;AD95,【1】定价因子!E:F,2,0)</f>
        <v>1</v>
      </c>
      <c r="AF95" s="51" t="str">
        <f t="shared" si="22"/>
        <v>适中</v>
      </c>
      <c r="AG95" s="52">
        <f>VLOOKUP($AF$1&amp;AF95,【1】定价因子!E:F,2,0)</f>
        <v>1</v>
      </c>
      <c r="AH95" s="51" t="str">
        <f t="shared" si="23"/>
        <v>适中</v>
      </c>
      <c r="AI95" s="52">
        <f>VLOOKUP($AH$1&amp;AH95,【1】定价因子!E:F,2,0)</f>
        <v>1</v>
      </c>
      <c r="AJ95" s="52" t="str">
        <f>VLOOKUP(H95,'【3-1】大区填-采光基本要素'!A:H,8,0)</f>
        <v>2</v>
      </c>
      <c r="AK95" s="52">
        <f>VLOOKUP($AJ$1&amp;AJ95,【1】定价因子!E:F,2,0)</f>
        <v>0.96</v>
      </c>
      <c r="AL95" s="53">
        <f t="shared" si="24"/>
        <v>1624.34680128</v>
      </c>
      <c r="AM95" s="54">
        <v>1488</v>
      </c>
      <c r="AN95" s="55">
        <f t="shared" si="25"/>
        <v>-0.0839394648806261</v>
      </c>
      <c r="AO95" s="56">
        <f t="shared" si="26"/>
        <v>1498</v>
      </c>
    </row>
    <row r="96" spans="1:42">
      <c r="A96" s="47" t="str">
        <f>'【2】运营中心填-基本信息&amp;审核标准'!$E$2</f>
        <v>福围广生7-16、17栋</v>
      </c>
      <c r="B96" s="13"/>
      <c r="C96" s="13"/>
      <c r="D96" s="13"/>
      <c r="E96" s="13"/>
      <c r="F96" s="13"/>
      <c r="G96" s="13"/>
      <c r="H96" s="48">
        <v>811</v>
      </c>
      <c r="I96" s="49" t="s">
        <v>492</v>
      </c>
      <c r="J96" s="49" t="s">
        <v>40</v>
      </c>
      <c r="K96" s="13"/>
      <c r="L96" s="50">
        <f>VLOOKUP(J96,'【3】大区填-楼栋基准格局定价'!B:H,7,0)</f>
        <v>1658.8509</v>
      </c>
      <c r="M96" s="51" t="s">
        <v>63</v>
      </c>
      <c r="N96" s="51">
        <v>16.65</v>
      </c>
      <c r="O96" s="52"/>
      <c r="P96" s="52" t="str">
        <f>IF(COUNTIFS(户型资产表!E:E,I96,户型资产表!H:H,"阳台门")&gt;0,"有","无")</f>
        <v>无</v>
      </c>
      <c r="Q96" s="52"/>
      <c r="R96" s="52" t="str">
        <f>IF('【2】运营中心填-基本信息&amp;审核标准'!$D$4="是","无",IF(INT(H96/100)&gt;9,"9F",INT(H96/100)&amp;"F"))</f>
        <v>无</v>
      </c>
      <c r="S96" s="52">
        <f>VLOOKUP(R96,【1】定价因子!D:F,3,0)</f>
        <v>1</v>
      </c>
      <c r="T96" s="52" t="str">
        <f>IF('【2】运营中心填-基本信息&amp;审核标准'!$D$4="否","无",IF(INT(H96/100)=1,"1F",IF(AND(INT(H96/100)&gt;=2,INT(H96/100)&lt;=3),"2-3F",IF(INT(H96/100)=4,"4F",IF(AND(INT(H96/100)&gt;=5,INT(H96/100)&lt;=6),"5-6F",IF(AND(INT(H96/100)&gt;=7,INT(H96/100)&lt;=8),"7-8F",IF(AND(INT(H96/100)&gt;=9,INT(H96/100)&lt;=10),"9-10F",IF(AND(INT(H96/100)&gt;=11,INT(H96/100)&lt;=12),"11-12F",IF(INT(H96/100)&gt;=13,"13以上F","")))))))))</f>
        <v>7-8F</v>
      </c>
      <c r="U96" s="52">
        <f>VLOOKUP($T$1&amp;T96,【1】定价因子!E:F,2,0)</f>
        <v>1.02</v>
      </c>
      <c r="V96" s="52" t="str">
        <f>IF(COUNTIFS(户型资产表!E:E,I96,户型资产表!H:H,"操作台")&gt;0,"有","无")</f>
        <v>有</v>
      </c>
      <c r="W96" s="52" t="str">
        <f>IF(COUNTIFS(户型资产表!E:E,I96,户型资产表!H:H,"书桌")&gt;0,"有","无")</f>
        <v>有</v>
      </c>
      <c r="X96" s="52" t="str" cm="1">
        <f t="array" ref="X96">IF(SUMPRODUCT((户型资产表!E:E=I96)*((户型资产表!I:I="沙发01单人")+(户型资产表!I:I="单人沙发02")))&gt;0,"有","无")</f>
        <v>无</v>
      </c>
      <c r="Y96" s="52" t="str" cm="1">
        <f t="array" ref="Y96">IF(SUMPRODUCT((户型资产表!E:E=I96)*((户型资产表!I:I="沙发02两人")+(户型资产表!I:I="双人沙发01")))&gt;0,"有","无")</f>
        <v>无</v>
      </c>
      <c r="Z96" s="52" t="str">
        <f>IF(COUNTIFS(户型资产表!E:E,I96,户型资产表!H:H,"餐桌")&gt;0,"有","无")</f>
        <v>无</v>
      </c>
      <c r="AA96" s="52" t="str">
        <f>IF(COUNTIFS(户型资产表!E:E,I96,户型资产表!H:H,"吸油烟机")&gt;0,"有","无")</f>
        <v>无</v>
      </c>
      <c r="AB96" s="52" t="str">
        <f>IF(COUNTIFS(户型资产表!E:E,I96,户型资产表!H:H,"冰箱")&gt;0,"有","无")</f>
        <v>无</v>
      </c>
      <c r="AC96" s="52" t="str">
        <f>IF(COUNTIFS(户型资产表!E:E,I96,户型资产表!H:H,"电视柜")&gt;0,"有","无")</f>
        <v>无</v>
      </c>
      <c r="AD96" s="51" t="str">
        <f t="shared" si="21"/>
        <v>适中</v>
      </c>
      <c r="AE96" s="52">
        <f>VLOOKUP($AD$1&amp;AD96,【1】定价因子!E:F,2,0)</f>
        <v>1</v>
      </c>
      <c r="AF96" s="51" t="str">
        <f t="shared" si="22"/>
        <v>适中</v>
      </c>
      <c r="AG96" s="52">
        <f>VLOOKUP($AF$1&amp;AF96,【1】定价因子!E:F,2,0)</f>
        <v>1</v>
      </c>
      <c r="AH96" s="51" t="str">
        <f t="shared" si="23"/>
        <v>适中</v>
      </c>
      <c r="AI96" s="52">
        <f>VLOOKUP($AH$1&amp;AH96,【1】定价因子!E:F,2,0)</f>
        <v>1</v>
      </c>
      <c r="AJ96" s="52" t="str">
        <f>VLOOKUP(H96,'【3-1】大区填-采光基本要素'!A:H,8,0)</f>
        <v>2</v>
      </c>
      <c r="AK96" s="52">
        <f>VLOOKUP($AJ$1&amp;AJ96,【1】定价因子!E:F,2,0)</f>
        <v>0.96</v>
      </c>
      <c r="AL96" s="53">
        <f t="shared" si="24"/>
        <v>1624.34680128</v>
      </c>
      <c r="AM96" s="54">
        <v>1488</v>
      </c>
      <c r="AN96" s="55">
        <f t="shared" si="25"/>
        <v>-0.0839394648806261</v>
      </c>
      <c r="AO96" s="56">
        <f t="shared" si="26"/>
        <v>1498</v>
      </c>
    </row>
    <row r="97" spans="1:42">
      <c r="A97" s="47" t="str">
        <f>'【2】运营中心填-基本信息&amp;审核标准'!$E$2</f>
        <v>福围广生7-16、17栋</v>
      </c>
      <c r="B97" s="13"/>
      <c r="C97" s="13"/>
      <c r="D97" s="13"/>
      <c r="E97" s="13"/>
      <c r="F97" s="13"/>
      <c r="G97" s="13"/>
      <c r="H97" s="48">
        <v>812</v>
      </c>
      <c r="I97" s="49" t="s">
        <v>494</v>
      </c>
      <c r="J97" s="49" t="s">
        <v>40</v>
      </c>
      <c r="K97" s="13"/>
      <c r="L97" s="50">
        <f>VLOOKUP(J97,'【3】大区填-楼栋基准格局定价'!B:H,7,0)</f>
        <v>1658.8509</v>
      </c>
      <c r="M97" s="51" t="s">
        <v>61</v>
      </c>
      <c r="N97" s="51">
        <v>17.58</v>
      </c>
      <c r="O97" s="52"/>
      <c r="P97" s="52" t="str">
        <f>IF(COUNTIFS(户型资产表!E:E,I97,户型资产表!H:H,"阳台门")&gt;0,"有","无")</f>
        <v>无</v>
      </c>
      <c r="Q97" s="52"/>
      <c r="R97" s="52" t="str">
        <f>IF('【2】运营中心填-基本信息&amp;审核标准'!$D$4="是","无",IF(INT(H97/100)&gt;9,"9F",INT(H97/100)&amp;"F"))</f>
        <v>无</v>
      </c>
      <c r="S97" s="52">
        <f>VLOOKUP(R97,【1】定价因子!D:F,3,0)</f>
        <v>1</v>
      </c>
      <c r="T97" s="52" t="str">
        <f>IF('【2】运营中心填-基本信息&amp;审核标准'!$D$4="否","无",IF(INT(H97/100)=1,"1F",IF(AND(INT(H97/100)&gt;=2,INT(H97/100)&lt;=3),"2-3F",IF(INT(H97/100)=4,"4F",IF(AND(INT(H97/100)&gt;=5,INT(H97/100)&lt;=6),"5-6F",IF(AND(INT(H97/100)&gt;=7,INT(H97/100)&lt;=8),"7-8F",IF(AND(INT(H97/100)&gt;=9,INT(H97/100)&lt;=10),"9-10F",IF(AND(INT(H97/100)&gt;=11,INT(H97/100)&lt;=12),"11-12F",IF(INT(H97/100)&gt;=13,"13以上F","")))))))))</f>
        <v>7-8F</v>
      </c>
      <c r="U97" s="52">
        <f>VLOOKUP($T$1&amp;T97,【1】定价因子!E:F,2,0)</f>
        <v>1.02</v>
      </c>
      <c r="V97" s="52" t="str">
        <f>IF(COUNTIFS(户型资产表!E:E,I97,户型资产表!H:H,"操作台")&gt;0,"有","无")</f>
        <v>有</v>
      </c>
      <c r="W97" s="52" t="str">
        <f>IF(COUNTIFS(户型资产表!E:E,I97,户型资产表!H:H,"书桌")&gt;0,"有","无")</f>
        <v>有</v>
      </c>
      <c r="X97" s="52" t="str" cm="1">
        <f t="array" ref="X97">IF(SUMPRODUCT((户型资产表!E:E=I97)*((户型资产表!I:I="沙发01单人")+(户型资产表!I:I="单人沙发02")))&gt;0,"有","无")</f>
        <v>无</v>
      </c>
      <c r="Y97" s="52" t="str" cm="1">
        <f t="array" ref="Y97">IF(SUMPRODUCT((户型资产表!E:E=I97)*((户型资产表!I:I="沙发02两人")+(户型资产表!I:I="双人沙发01")))&gt;0,"有","无")</f>
        <v>无</v>
      </c>
      <c r="Z97" s="52" t="str">
        <f>IF(COUNTIFS(户型资产表!E:E,I97,户型资产表!H:H,"餐桌")&gt;0,"有","无")</f>
        <v>无</v>
      </c>
      <c r="AA97" s="52" t="str">
        <f>IF(COUNTIFS(户型资产表!E:E,I97,户型资产表!H:H,"吸油烟机")&gt;0,"有","无")</f>
        <v>无</v>
      </c>
      <c r="AB97" s="52" t="str">
        <f>IF(COUNTIFS(户型资产表!E:E,I97,户型资产表!H:H,"冰箱")&gt;0,"有","无")</f>
        <v>无</v>
      </c>
      <c r="AC97" s="52" t="str">
        <f>IF(COUNTIFS(户型资产表!E:E,I97,户型资产表!H:H,"电视柜")&gt;0,"有","无")</f>
        <v>无</v>
      </c>
      <c r="AD97" s="51" t="str">
        <f t="shared" si="21"/>
        <v>适中</v>
      </c>
      <c r="AE97" s="52">
        <f>VLOOKUP($AD$1&amp;AD97,【1】定价因子!E:F,2,0)</f>
        <v>1</v>
      </c>
      <c r="AF97" s="51" t="str">
        <f t="shared" si="22"/>
        <v>适中</v>
      </c>
      <c r="AG97" s="52">
        <f>VLOOKUP($AF$1&amp;AF97,【1】定价因子!E:F,2,0)</f>
        <v>1</v>
      </c>
      <c r="AH97" s="51" t="str">
        <f t="shared" si="23"/>
        <v>适中</v>
      </c>
      <c r="AI97" s="52">
        <f>VLOOKUP($AH$1&amp;AH97,【1】定价因子!E:F,2,0)</f>
        <v>1</v>
      </c>
      <c r="AJ97" s="52" t="str">
        <f>VLOOKUP(H97,'【3-1】大区填-采光基本要素'!A:H,8,0)</f>
        <v>2</v>
      </c>
      <c r="AK97" s="52">
        <f>VLOOKUP($AJ$1&amp;AJ97,【1】定价因子!E:F,2,0)</f>
        <v>0.96</v>
      </c>
      <c r="AL97" s="53">
        <f t="shared" si="24"/>
        <v>1624.34680128</v>
      </c>
      <c r="AM97" s="54">
        <v>1488</v>
      </c>
      <c r="AN97" s="55">
        <f t="shared" si="25"/>
        <v>-0.0839394648806261</v>
      </c>
      <c r="AO97" s="56">
        <f t="shared" si="26"/>
        <v>1498</v>
      </c>
    </row>
    <row r="98" spans="1:42">
      <c r="A98" s="47" t="str">
        <f>'【2】运营中心填-基本信息&amp;审核标准'!$E$2</f>
        <v>福围广生7-16、17栋</v>
      </c>
      <c r="B98" s="13"/>
      <c r="C98" s="13"/>
      <c r="D98" s="13"/>
      <c r="E98" s="13"/>
      <c r="F98" s="13"/>
      <c r="G98" s="13"/>
      <c r="H98" s="48">
        <v>813</v>
      </c>
      <c r="I98" s="49" t="s">
        <v>493</v>
      </c>
      <c r="J98" s="49" t="s">
        <v>43</v>
      </c>
      <c r="K98" s="13"/>
      <c r="L98" s="50">
        <f>VLOOKUP(J98,'【3】大区填-楼栋基准格局定价'!B:H,7,0)</f>
        <v>2472.1725</v>
      </c>
      <c r="M98" s="51" t="s">
        <v>65</v>
      </c>
      <c r="N98" s="51">
        <v>20.18</v>
      </c>
      <c r="O98" s="52"/>
      <c r="P98" s="52" t="str">
        <f>IF(COUNTIFS(户型资产表!E:E,I98,户型资产表!H:H,"阳台门")&gt;0,"有","无")</f>
        <v>无</v>
      </c>
      <c r="Q98" s="52"/>
      <c r="R98" s="52" t="str">
        <f>IF('【2】运营中心填-基本信息&amp;审核标准'!$D$4="是","无",IF(INT(H98/100)&gt;9,"9F",INT(H98/100)&amp;"F"))</f>
        <v>无</v>
      </c>
      <c r="S98" s="52">
        <f>VLOOKUP(R98,【1】定价因子!D:F,3,0)</f>
        <v>1</v>
      </c>
      <c r="T98" s="52" t="str">
        <f>IF('【2】运营中心填-基本信息&amp;审核标准'!$D$4="否","无",IF(INT(H98/100)=1,"1F",IF(AND(INT(H98/100)&gt;=2,INT(H98/100)&lt;=3),"2-3F",IF(INT(H98/100)=4,"4F",IF(AND(INT(H98/100)&gt;=5,INT(H98/100)&lt;=6),"5-6F",IF(AND(INT(H98/100)&gt;=7,INT(H98/100)&lt;=8),"7-8F",IF(AND(INT(H98/100)&gt;=9,INT(H98/100)&lt;=10),"9-10F",IF(AND(INT(H98/100)&gt;=11,INT(H98/100)&lt;=12),"11-12F",IF(INT(H98/100)&gt;=13,"13以上F","")))))))))</f>
        <v>7-8F</v>
      </c>
      <c r="U98" s="52">
        <f>VLOOKUP($T$1&amp;T98,【1】定价因子!E:F,2,0)</f>
        <v>1.02</v>
      </c>
      <c r="V98" s="52" t="str">
        <f>IF(COUNTIFS(户型资产表!E:E,I98,户型资产表!H:H,"操作台")&gt;0,"有","无")</f>
        <v>有</v>
      </c>
      <c r="W98" s="52" t="str">
        <f>IF(COUNTIFS(户型资产表!E:E,I98,户型资产表!H:H,"书桌")&gt;0,"有","无")</f>
        <v>无</v>
      </c>
      <c r="X98" s="52" t="str" cm="1">
        <f t="array" ref="X98">IF(SUMPRODUCT((户型资产表!E:E=I98)*((户型资产表!I:I="沙发01单人")+(户型资产表!I:I="单人沙发02")))&gt;0,"有","无")</f>
        <v>无</v>
      </c>
      <c r="Y98" s="52" t="str" cm="1">
        <f t="array" ref="Y98">IF(SUMPRODUCT((户型资产表!E:E=I98)*((户型资产表!I:I="沙发02两人")+(户型资产表!I:I="双人沙发01")))&gt;0,"有","无")</f>
        <v>有</v>
      </c>
      <c r="Z98" s="52" t="str">
        <f>IF(COUNTIFS(户型资产表!E:E,I98,户型资产表!H:H,"餐桌")&gt;0,"有","无")</f>
        <v>有</v>
      </c>
      <c r="AA98" s="52" t="str">
        <f>IF(COUNTIFS(户型资产表!E:E,I98,户型资产表!H:H,"吸油烟机")&gt;0,"有","无")</f>
        <v>无</v>
      </c>
      <c r="AB98" s="52" t="str">
        <f>IF(COUNTIFS(户型资产表!E:E,I98,户型资产表!H:H,"冰箱")&gt;0,"有","无")</f>
        <v>无</v>
      </c>
      <c r="AC98" s="52" t="str">
        <f>IF(COUNTIFS(户型资产表!E:E,I98,户型资产表!H:H,"电视柜")&gt;0,"有","无")</f>
        <v>无</v>
      </c>
      <c r="AD98" s="51" t="str">
        <f t="shared" si="21"/>
        <v>适中</v>
      </c>
      <c r="AE98" s="52">
        <f>VLOOKUP($AD$1&amp;AD98,【1】定价因子!E:F,2,0)</f>
        <v>1</v>
      </c>
      <c r="AF98" s="51" t="str">
        <f t="shared" si="22"/>
        <v>适中</v>
      </c>
      <c r="AG98" s="52">
        <f>VLOOKUP($AF$1&amp;AF98,【1】定价因子!E:F,2,0)</f>
        <v>1</v>
      </c>
      <c r="AH98" s="51" t="str">
        <f t="shared" si="23"/>
        <v>适中</v>
      </c>
      <c r="AI98" s="52">
        <f>VLOOKUP($AH$1&amp;AH98,【1】定价因子!E:F,2,0)</f>
        <v>1</v>
      </c>
      <c r="AJ98" s="52" t="str">
        <f>VLOOKUP(H98,'【3-1】大区填-采光基本要素'!A:H,8,0)</f>
        <v>2</v>
      </c>
      <c r="AK98" s="52">
        <f>VLOOKUP($AJ$1&amp;AJ98,【1】定价因子!E:F,2,0)</f>
        <v>0.96</v>
      </c>
      <c r="AL98" s="53">
        <f t="shared" si="24"/>
        <v>2420.751312</v>
      </c>
      <c r="AM98" s="54">
        <v>2298</v>
      </c>
      <c r="AN98" s="55">
        <f t="shared" si="25"/>
        <v>-0.0507079398827565</v>
      </c>
      <c r="AO98" s="56">
        <f t="shared" si="26"/>
        <v>2308</v>
      </c>
    </row>
    <row r="99" spans="1:42">
      <c r="A99" s="47" t="str">
        <f>'【2】运营中心填-基本信息&amp;审核标准'!$E$2</f>
        <v>福围广生7-16、17栋</v>
      </c>
      <c r="B99" s="13"/>
      <c r="C99" s="13"/>
      <c r="D99" s="13"/>
      <c r="E99" s="13"/>
      <c r="F99" s="13"/>
      <c r="G99" s="13"/>
      <c r="H99" s="48">
        <v>814</v>
      </c>
      <c r="I99" s="49" t="s">
        <v>491</v>
      </c>
      <c r="J99" s="49" t="s">
        <v>43</v>
      </c>
      <c r="K99" s="13"/>
      <c r="L99" s="50">
        <f>VLOOKUP(J99,'【3】大区填-楼栋基准格局定价'!B:H,7,0)</f>
        <v>2472.1725</v>
      </c>
      <c r="M99" s="51" t="s">
        <v>63</v>
      </c>
      <c r="N99" s="51">
        <v>23.39</v>
      </c>
      <c r="O99" s="52"/>
      <c r="P99" s="52" t="str">
        <f>IF(COUNTIFS(户型资产表!E:E,I99,户型资产表!H:H,"阳台门")&gt;0,"有","无")</f>
        <v>无</v>
      </c>
      <c r="Q99" s="52"/>
      <c r="R99" s="52" t="str">
        <f>IF('【2】运营中心填-基本信息&amp;审核标准'!$D$4="是","无",IF(INT(H99/100)&gt;9,"9F",INT(H99/100)&amp;"F"))</f>
        <v>无</v>
      </c>
      <c r="S99" s="52">
        <f>VLOOKUP(R99,【1】定价因子!D:F,3,0)</f>
        <v>1</v>
      </c>
      <c r="T99" s="52" t="str">
        <f>IF('【2】运营中心填-基本信息&amp;审核标准'!$D$4="否","无",IF(INT(H99/100)=1,"1F",IF(AND(INT(H99/100)&gt;=2,INT(H99/100)&lt;=3),"2-3F",IF(INT(H99/100)=4,"4F",IF(AND(INT(H99/100)&gt;=5,INT(H99/100)&lt;=6),"5-6F",IF(AND(INT(H99/100)&gt;=7,INT(H99/100)&lt;=8),"7-8F",IF(AND(INT(H99/100)&gt;=9,INT(H99/100)&lt;=10),"9-10F",IF(AND(INT(H99/100)&gt;=11,INT(H99/100)&lt;=12),"11-12F",IF(INT(H99/100)&gt;=13,"13以上F","")))))))))</f>
        <v>7-8F</v>
      </c>
      <c r="U99" s="52">
        <f>VLOOKUP($T$1&amp;T99,【1】定价因子!E:F,2,0)</f>
        <v>1.02</v>
      </c>
      <c r="V99" s="52" t="str">
        <f>IF(COUNTIFS(户型资产表!E:E,I99,户型资产表!H:H,"操作台")&gt;0,"有","无")</f>
        <v>有</v>
      </c>
      <c r="W99" s="52" t="str">
        <f>IF(COUNTIFS(户型资产表!E:E,I99,户型资产表!H:H,"书桌")&gt;0,"有","无")</f>
        <v>无</v>
      </c>
      <c r="X99" s="52" t="str" cm="1">
        <f t="array" ref="X99">IF(SUMPRODUCT((户型资产表!E:E=I99)*((户型资产表!I:I="沙发01单人")+(户型资产表!I:I="单人沙发02")))&gt;0,"有","无")</f>
        <v>无</v>
      </c>
      <c r="Y99" s="52" t="str" cm="1">
        <f t="array" ref="Y99">IF(SUMPRODUCT((户型资产表!E:E=I99)*((户型资产表!I:I="沙发02两人")+(户型资产表!I:I="双人沙发01")))&gt;0,"有","无")</f>
        <v>有</v>
      </c>
      <c r="Z99" s="52" t="str">
        <f>IF(COUNTIFS(户型资产表!E:E,I99,户型资产表!H:H,"餐桌")&gt;0,"有","无")</f>
        <v>有</v>
      </c>
      <c r="AA99" s="52" t="str">
        <f>IF(COUNTIFS(户型资产表!E:E,I99,户型资产表!H:H,"吸油烟机")&gt;0,"有","无")</f>
        <v>无</v>
      </c>
      <c r="AB99" s="52" t="str">
        <f>IF(COUNTIFS(户型资产表!E:E,I99,户型资产表!H:H,"冰箱")&gt;0,"有","无")</f>
        <v>无</v>
      </c>
      <c r="AC99" s="52" t="str">
        <f>IF(COUNTIFS(户型资产表!E:E,I99,户型资产表!H:H,"电视柜")&gt;0,"有","无")</f>
        <v>无</v>
      </c>
      <c r="AD99" s="51" t="str">
        <f t="shared" si="21"/>
        <v>适中</v>
      </c>
      <c r="AE99" s="52">
        <f>VLOOKUP($AD$1&amp;AD99,【1】定价因子!E:F,2,0)</f>
        <v>1</v>
      </c>
      <c r="AF99" s="51" t="str">
        <f t="shared" si="22"/>
        <v>适中</v>
      </c>
      <c r="AG99" s="52">
        <f>VLOOKUP($AF$1&amp;AF99,【1】定价因子!E:F,2,0)</f>
        <v>1</v>
      </c>
      <c r="AH99" s="51" t="str">
        <f t="shared" si="23"/>
        <v>适中</v>
      </c>
      <c r="AI99" s="52">
        <f>VLOOKUP($AH$1&amp;AH99,【1】定价因子!E:F,2,0)</f>
        <v>1</v>
      </c>
      <c r="AJ99" s="52" t="str">
        <f>VLOOKUP(H99,'【3-1】大区填-采光基本要素'!A:H,8,0)</f>
        <v>2</v>
      </c>
      <c r="AK99" s="52">
        <f>VLOOKUP($AJ$1&amp;AJ99,【1】定价因子!E:F,2,0)</f>
        <v>0.96</v>
      </c>
      <c r="AL99" s="53">
        <f t="shared" si="24"/>
        <v>2420.751312</v>
      </c>
      <c r="AM99" s="54">
        <v>2298</v>
      </c>
      <c r="AN99" s="55">
        <f t="shared" si="25"/>
        <v>-0.0507079398827565</v>
      </c>
      <c r="AO99" s="56">
        <f t="shared" ref="AO99:AO130" si="27">AM99+10</f>
        <v>2308</v>
      </c>
    </row>
    <row r="100" spans="1:42">
      <c r="A100" s="47" t="str">
        <f>'【2】运营中心填-基本信息&amp;审核标准'!$E$2</f>
        <v>福围广生7-16、17栋</v>
      </c>
      <c r="B100" s="13"/>
      <c r="C100" s="13"/>
      <c r="D100" s="13"/>
      <c r="E100" s="13"/>
      <c r="F100" s="13"/>
      <c r="G100" s="13"/>
      <c r="H100" s="48">
        <v>901</v>
      </c>
      <c r="I100" s="49" t="s">
        <v>491</v>
      </c>
      <c r="J100" s="49" t="s">
        <v>43</v>
      </c>
      <c r="K100" s="13"/>
      <c r="L100" s="50">
        <f>VLOOKUP(J100,'【3】大区填-楼栋基准格局定价'!B:H,7,0)</f>
        <v>2472.1725</v>
      </c>
      <c r="M100" s="51" t="s">
        <v>65</v>
      </c>
      <c r="N100" s="51">
        <v>22.14</v>
      </c>
      <c r="O100" s="52"/>
      <c r="P100" s="52" t="str">
        <f>IF(COUNTIFS(户型资产表!E:E,I100,户型资产表!H:H,"阳台门")&gt;0,"有","无")</f>
        <v>无</v>
      </c>
      <c r="Q100" s="52"/>
      <c r="R100" s="52" t="str">
        <f>IF('【2】运营中心填-基本信息&amp;审核标准'!$D$4="是","无",IF(INT(H100/100)&gt;9,"9F",INT(H100/100)&amp;"F"))</f>
        <v>无</v>
      </c>
      <c r="S100" s="52">
        <f>VLOOKUP(R100,【1】定价因子!D:F,3,0)</f>
        <v>1</v>
      </c>
      <c r="T100" s="52" t="str">
        <f>IF('【2】运营中心填-基本信息&amp;审核标准'!$D$4="否","无",IF(INT(H100/100)=1,"1F",IF(AND(INT(H100/100)&gt;=2,INT(H100/100)&lt;=3),"2-3F",IF(INT(H100/100)=4,"4F",IF(AND(INT(H100/100)&gt;=5,INT(H100/100)&lt;=6),"5-6F",IF(AND(INT(H100/100)&gt;=7,INT(H100/100)&lt;=8),"7-8F",IF(AND(INT(H100/100)&gt;=9,INT(H100/100)&lt;=10),"9-10F",IF(AND(INT(H100/100)&gt;=11,INT(H100/100)&lt;=12),"11-12F",IF(INT(H100/100)&gt;=13,"13以上F","")))))))))</f>
        <v>9-10F</v>
      </c>
      <c r="U100" s="52">
        <f>VLOOKUP($T$1&amp;T100,【1】定价因子!E:F,2,0)</f>
        <v>1.03</v>
      </c>
      <c r="V100" s="52" t="str">
        <f>IF(COUNTIFS(户型资产表!E:E,I100,户型资产表!H:H,"操作台")&gt;0,"有","无")</f>
        <v>有</v>
      </c>
      <c r="W100" s="52" t="str">
        <f>IF(COUNTIFS(户型资产表!E:E,I100,户型资产表!H:H,"书桌")&gt;0,"有","无")</f>
        <v>无</v>
      </c>
      <c r="X100" s="52" t="str" cm="1">
        <f t="array" ref="X100">IF(SUMPRODUCT((户型资产表!E:E=I100)*((户型资产表!I:I="沙发01单人")+(户型资产表!I:I="单人沙发02")))&gt;0,"有","无")</f>
        <v>无</v>
      </c>
      <c r="Y100" s="52" t="str" cm="1">
        <f t="array" ref="Y100">IF(SUMPRODUCT((户型资产表!E:E=I100)*((户型资产表!I:I="沙发02两人")+(户型资产表!I:I="双人沙发01")))&gt;0,"有","无")</f>
        <v>有</v>
      </c>
      <c r="Z100" s="52" t="str">
        <f>IF(COUNTIFS(户型资产表!E:E,I100,户型资产表!H:H,"餐桌")&gt;0,"有","无")</f>
        <v>有</v>
      </c>
      <c r="AA100" s="52" t="str">
        <f>IF(COUNTIFS(户型资产表!E:E,I100,户型资产表!H:H,"吸油烟机")&gt;0,"有","无")</f>
        <v>无</v>
      </c>
      <c r="AB100" s="52" t="str">
        <f>IF(COUNTIFS(户型资产表!E:E,I100,户型资产表!H:H,"冰箱")&gt;0,"有","无")</f>
        <v>无</v>
      </c>
      <c r="AC100" s="52" t="str">
        <f>IF(COUNTIFS(户型资产表!E:E,I100,户型资产表!H:H,"电视柜")&gt;0,"有","无")</f>
        <v>无</v>
      </c>
      <c r="AD100" s="51" t="str">
        <f t="shared" si="21"/>
        <v>适中</v>
      </c>
      <c r="AE100" s="52">
        <f>VLOOKUP($AD$1&amp;AD100,【1】定价因子!E:F,2,0)</f>
        <v>1</v>
      </c>
      <c r="AF100" s="51" t="str">
        <f t="shared" si="22"/>
        <v>适中</v>
      </c>
      <c r="AG100" s="52">
        <f>VLOOKUP($AF$1&amp;AF100,【1】定价因子!E:F,2,0)</f>
        <v>1</v>
      </c>
      <c r="AH100" s="51" t="str">
        <f t="shared" si="23"/>
        <v>适中</v>
      </c>
      <c r="AI100" s="52">
        <f>VLOOKUP($AH$1&amp;AH100,【1】定价因子!E:F,2,0)</f>
        <v>1</v>
      </c>
      <c r="AJ100" s="52" t="str">
        <f>VLOOKUP(H100,'【3-1】大区填-采光基本要素'!A:H,8,0)</f>
        <v>2</v>
      </c>
      <c r="AK100" s="52">
        <f>VLOOKUP($AJ$1&amp;AJ100,【1】定价因子!E:F,2,0)</f>
        <v>0.96</v>
      </c>
      <c r="AL100" s="53">
        <f t="shared" si="24"/>
        <v>2444.484168</v>
      </c>
      <c r="AM100" s="54">
        <v>2298</v>
      </c>
      <c r="AN100" s="55">
        <f t="shared" si="25"/>
        <v>-0.059924367650885</v>
      </c>
      <c r="AO100" s="56">
        <f t="shared" si="27"/>
        <v>2308</v>
      </c>
    </row>
    <row r="101" spans="1:42">
      <c r="A101" s="47" t="str">
        <f>'【2】运营中心填-基本信息&amp;审核标准'!$E$2</f>
        <v>福围广生7-16、17栋</v>
      </c>
      <c r="B101" s="13"/>
      <c r="C101" s="13"/>
      <c r="D101" s="13"/>
      <c r="E101" s="13"/>
      <c r="F101" s="13"/>
      <c r="G101" s="13"/>
      <c r="H101" s="48">
        <v>902</v>
      </c>
      <c r="I101" s="49" t="s">
        <v>492</v>
      </c>
      <c r="J101" s="49" t="s">
        <v>40</v>
      </c>
      <c r="K101" s="13"/>
      <c r="L101" s="50">
        <f>VLOOKUP(J101,'【3】大区填-楼栋基准格局定价'!B:H,7,0)</f>
        <v>1658.8509</v>
      </c>
      <c r="M101" s="51" t="s">
        <v>58</v>
      </c>
      <c r="N101" s="51">
        <v>21.67</v>
      </c>
      <c r="O101" s="52"/>
      <c r="P101" s="52" t="str">
        <f>IF(COUNTIFS(户型资产表!E:E,I101,户型资产表!H:H,"阳台门")&gt;0,"有","无")</f>
        <v>无</v>
      </c>
      <c r="Q101" s="52"/>
      <c r="R101" s="52" t="str">
        <f>IF('【2】运营中心填-基本信息&amp;审核标准'!$D$4="是","无",IF(INT(H101/100)&gt;9,"9F",INT(H101/100)&amp;"F"))</f>
        <v>无</v>
      </c>
      <c r="S101" s="52">
        <f>VLOOKUP(R101,【1】定价因子!D:F,3,0)</f>
        <v>1</v>
      </c>
      <c r="T101" s="52" t="str">
        <f>IF('【2】运营中心填-基本信息&amp;审核标准'!$D$4="否","无",IF(INT(H101/100)=1,"1F",IF(AND(INT(H101/100)&gt;=2,INT(H101/100)&lt;=3),"2-3F",IF(INT(H101/100)=4,"4F",IF(AND(INT(H101/100)&gt;=5,INT(H101/100)&lt;=6),"5-6F",IF(AND(INT(H101/100)&gt;=7,INT(H101/100)&lt;=8),"7-8F",IF(AND(INT(H101/100)&gt;=9,INT(H101/100)&lt;=10),"9-10F",IF(AND(INT(H101/100)&gt;=11,INT(H101/100)&lt;=12),"11-12F",IF(INT(H101/100)&gt;=13,"13以上F","")))))))))</f>
        <v>9-10F</v>
      </c>
      <c r="U101" s="52">
        <f>VLOOKUP($T$1&amp;T101,【1】定价因子!E:F,2,0)</f>
        <v>1.03</v>
      </c>
      <c r="V101" s="52" t="str">
        <f>IF(COUNTIFS(户型资产表!E:E,I101,户型资产表!H:H,"操作台")&gt;0,"有","无")</f>
        <v>有</v>
      </c>
      <c r="W101" s="52" t="str">
        <f>IF(COUNTIFS(户型资产表!E:E,I101,户型资产表!H:H,"书桌")&gt;0,"有","无")</f>
        <v>有</v>
      </c>
      <c r="X101" s="52" t="str" cm="1">
        <f t="array" ref="X101">IF(SUMPRODUCT((户型资产表!E:E=I101)*((户型资产表!I:I="沙发01单人")+(户型资产表!I:I="单人沙发02")))&gt;0,"有","无")</f>
        <v>无</v>
      </c>
      <c r="Y101" s="52" t="str" cm="1">
        <f t="array" ref="Y101">IF(SUMPRODUCT((户型资产表!E:E=I101)*((户型资产表!I:I="沙发02两人")+(户型资产表!I:I="双人沙发01")))&gt;0,"有","无")</f>
        <v>无</v>
      </c>
      <c r="Z101" s="52" t="str">
        <f>IF(COUNTIFS(户型资产表!E:E,I101,户型资产表!H:H,"餐桌")&gt;0,"有","无")</f>
        <v>无</v>
      </c>
      <c r="AA101" s="52" t="str">
        <f>IF(COUNTIFS(户型资产表!E:E,I101,户型资产表!H:H,"吸油烟机")&gt;0,"有","无")</f>
        <v>无</v>
      </c>
      <c r="AB101" s="52" t="str">
        <f>IF(COUNTIFS(户型资产表!E:E,I101,户型资产表!H:H,"冰箱")&gt;0,"有","无")</f>
        <v>无</v>
      </c>
      <c r="AC101" s="52" t="str">
        <f>IF(COUNTIFS(户型资产表!E:E,I101,户型资产表!H:H,"电视柜")&gt;0,"有","无")</f>
        <v>无</v>
      </c>
      <c r="AD101" s="51" t="str">
        <f t="shared" si="21"/>
        <v>适中</v>
      </c>
      <c r="AE101" s="52">
        <f>VLOOKUP($AD$1&amp;AD101,【1】定价因子!E:F,2,0)</f>
        <v>1</v>
      </c>
      <c r="AF101" s="51" t="str">
        <f t="shared" si="22"/>
        <v>适中</v>
      </c>
      <c r="AG101" s="52">
        <f>VLOOKUP($AF$1&amp;AF101,【1】定价因子!E:F,2,0)</f>
        <v>1</v>
      </c>
      <c r="AH101" s="51" t="str">
        <f t="shared" si="23"/>
        <v>适中</v>
      </c>
      <c r="AI101" s="52">
        <f>VLOOKUP($AH$1&amp;AH101,【1】定价因子!E:F,2,0)</f>
        <v>1</v>
      </c>
      <c r="AJ101" s="52" t="str">
        <f>VLOOKUP(H101,'【3-1】大区填-采光基本要素'!A:H,8,0)</f>
        <v>2</v>
      </c>
      <c r="AK101" s="52">
        <f>VLOOKUP($AJ$1&amp;AJ101,【1】定价因子!E:F,2,0)</f>
        <v>0.96</v>
      </c>
      <c r="AL101" s="53">
        <f t="shared" si="24"/>
        <v>1640.27176992</v>
      </c>
      <c r="AM101" s="54">
        <v>1508</v>
      </c>
      <c r="AN101" s="55">
        <f t="shared" si="25"/>
        <v>-0.0806401550923791</v>
      </c>
      <c r="AO101" s="56">
        <f t="shared" si="27"/>
        <v>1518</v>
      </c>
    </row>
    <row r="102" spans="1:42">
      <c r="A102" s="47" t="str">
        <f>'【2】运营中心填-基本信息&amp;审核标准'!$E$2</f>
        <v>福围广生7-16、17栋</v>
      </c>
      <c r="B102" s="13"/>
      <c r="C102" s="13"/>
      <c r="D102" s="13"/>
      <c r="E102" s="13"/>
      <c r="F102" s="13"/>
      <c r="G102" s="13"/>
      <c r="H102" s="48">
        <v>903</v>
      </c>
      <c r="I102" s="49" t="s">
        <v>492</v>
      </c>
      <c r="J102" s="49" t="s">
        <v>40</v>
      </c>
      <c r="K102" s="13"/>
      <c r="L102" s="50">
        <f>VLOOKUP(J102,'【3】大区填-楼栋基准格局定价'!B:H,7,0)</f>
        <v>1658.8509</v>
      </c>
      <c r="M102" s="51" t="s">
        <v>63</v>
      </c>
      <c r="N102" s="51">
        <v>16.32</v>
      </c>
      <c r="O102" s="52"/>
      <c r="P102" s="52" t="str">
        <f>IF(COUNTIFS(户型资产表!E:E,I102,户型资产表!H:H,"阳台门")&gt;0,"有","无")</f>
        <v>无</v>
      </c>
      <c r="Q102" s="52"/>
      <c r="R102" s="52" t="str">
        <f>IF('【2】运营中心填-基本信息&amp;审核标准'!$D$4="是","无",IF(INT(H102/100)&gt;9,"9F",INT(H102/100)&amp;"F"))</f>
        <v>无</v>
      </c>
      <c r="S102" s="52">
        <f>VLOOKUP(R102,【1】定价因子!D:F,3,0)</f>
        <v>1</v>
      </c>
      <c r="T102" s="52" t="str">
        <f>IF('【2】运营中心填-基本信息&amp;审核标准'!$D$4="否","无",IF(INT(H102/100)=1,"1F",IF(AND(INT(H102/100)&gt;=2,INT(H102/100)&lt;=3),"2-3F",IF(INT(H102/100)=4,"4F",IF(AND(INT(H102/100)&gt;=5,INT(H102/100)&lt;=6),"5-6F",IF(AND(INT(H102/100)&gt;=7,INT(H102/100)&lt;=8),"7-8F",IF(AND(INT(H102/100)&gt;=9,INT(H102/100)&lt;=10),"9-10F",IF(AND(INT(H102/100)&gt;=11,INT(H102/100)&lt;=12),"11-12F",IF(INT(H102/100)&gt;=13,"13以上F","")))))))))</f>
        <v>9-10F</v>
      </c>
      <c r="U102" s="52">
        <f>VLOOKUP($T$1&amp;T102,【1】定价因子!E:F,2,0)</f>
        <v>1.03</v>
      </c>
      <c r="V102" s="52" t="str">
        <f>IF(COUNTIFS(户型资产表!E:E,I102,户型资产表!H:H,"操作台")&gt;0,"有","无")</f>
        <v>有</v>
      </c>
      <c r="W102" s="52" t="str">
        <f>IF(COUNTIFS(户型资产表!E:E,I102,户型资产表!H:H,"书桌")&gt;0,"有","无")</f>
        <v>有</v>
      </c>
      <c r="X102" s="52" t="str" cm="1">
        <f t="array" ref="X102">IF(SUMPRODUCT((户型资产表!E:E=I102)*((户型资产表!I:I="沙发01单人")+(户型资产表!I:I="单人沙发02")))&gt;0,"有","无")</f>
        <v>无</v>
      </c>
      <c r="Y102" s="52" t="str" cm="1">
        <f t="array" ref="Y102">IF(SUMPRODUCT((户型资产表!E:E=I102)*((户型资产表!I:I="沙发02两人")+(户型资产表!I:I="双人沙发01")))&gt;0,"有","无")</f>
        <v>无</v>
      </c>
      <c r="Z102" s="52" t="str">
        <f>IF(COUNTIFS(户型资产表!E:E,I102,户型资产表!H:H,"餐桌")&gt;0,"有","无")</f>
        <v>无</v>
      </c>
      <c r="AA102" s="52" t="str">
        <f>IF(COUNTIFS(户型资产表!E:E,I102,户型资产表!H:H,"吸油烟机")&gt;0,"有","无")</f>
        <v>无</v>
      </c>
      <c r="AB102" s="52" t="str">
        <f>IF(COUNTIFS(户型资产表!E:E,I102,户型资产表!H:H,"冰箱")&gt;0,"有","无")</f>
        <v>无</v>
      </c>
      <c r="AC102" s="52" t="str">
        <f>IF(COUNTIFS(户型资产表!E:E,I102,户型资产表!H:H,"电视柜")&gt;0,"有","无")</f>
        <v>无</v>
      </c>
      <c r="AD102" s="51" t="str">
        <f t="shared" si="21"/>
        <v>适中</v>
      </c>
      <c r="AE102" s="52">
        <f>VLOOKUP($AD$1&amp;AD102,【1】定价因子!E:F,2,0)</f>
        <v>1</v>
      </c>
      <c r="AF102" s="51" t="str">
        <f t="shared" si="22"/>
        <v>适中</v>
      </c>
      <c r="AG102" s="52">
        <f>VLOOKUP($AF$1&amp;AF102,【1】定价因子!E:F,2,0)</f>
        <v>1</v>
      </c>
      <c r="AH102" s="51" t="str">
        <f t="shared" si="23"/>
        <v>适中</v>
      </c>
      <c r="AI102" s="52">
        <f>VLOOKUP($AH$1&amp;AH102,【1】定价因子!E:F,2,0)</f>
        <v>1</v>
      </c>
      <c r="AJ102" s="52" t="str">
        <f>VLOOKUP(H102,'【3-1】大区填-采光基本要素'!A:H,8,0)</f>
        <v>2</v>
      </c>
      <c r="AK102" s="52">
        <f>VLOOKUP($AJ$1&amp;AJ102,【1】定价因子!E:F,2,0)</f>
        <v>0.96</v>
      </c>
      <c r="AL102" s="53">
        <f t="shared" si="24"/>
        <v>1640.27176992</v>
      </c>
      <c r="AM102" s="54">
        <v>1508</v>
      </c>
      <c r="AN102" s="55">
        <f t="shared" si="25"/>
        <v>-0.0806401550923791</v>
      </c>
      <c r="AO102" s="56">
        <f t="shared" si="27"/>
        <v>1518</v>
      </c>
    </row>
    <row r="103" s="34" customFormat="1" spans="1:42">
      <c r="A103" s="57" t="str">
        <f>'【2】运营中心填-基本信息&amp;审核标准'!$E$2</f>
        <v>福围广生7-16、17栋</v>
      </c>
      <c r="B103" s="57"/>
      <c r="C103" s="57"/>
      <c r="D103" s="57"/>
      <c r="E103" s="57"/>
      <c r="F103" s="57"/>
      <c r="G103" s="57"/>
      <c r="H103" s="58">
        <v>904</v>
      </c>
      <c r="I103" s="59" t="s">
        <v>491</v>
      </c>
      <c r="J103" s="59" t="s">
        <v>43</v>
      </c>
      <c r="K103" s="57"/>
      <c r="L103" s="60">
        <f>VLOOKUP(J103,'【3】大区填-楼栋基准格局定价'!B:H,7,0)</f>
        <v>2472.1725</v>
      </c>
      <c r="M103" s="61" t="s">
        <v>65</v>
      </c>
      <c r="N103" s="61">
        <v>20.73</v>
      </c>
      <c r="O103" s="57"/>
      <c r="P103" s="57" t="str">
        <f>IF(COUNTIFS(户型资产表!E:E,I103,户型资产表!H:H,"阳台门")&gt;0,"有","无")</f>
        <v>无</v>
      </c>
      <c r="Q103" s="57"/>
      <c r="R103" s="57" t="str">
        <f>IF('【2】运营中心填-基本信息&amp;审核标准'!$D$4="是","无",IF(INT(H103/100)&gt;9,"9F",INT(H103/100)&amp;"F"))</f>
        <v>无</v>
      </c>
      <c r="S103" s="57">
        <f>VLOOKUP(R103,【1】定价因子!D:F,3,0)</f>
        <v>1</v>
      </c>
      <c r="T103" s="57" t="str">
        <f>IF('【2】运营中心填-基本信息&amp;审核标准'!$D$4="否","无",IF(INT(H103/100)=1,"1F",IF(AND(INT(H103/100)&gt;=2,INT(H103/100)&lt;=3),"2-3F",IF(INT(H103/100)=4,"4F",IF(AND(INT(H103/100)&gt;=5,INT(H103/100)&lt;=6),"5-6F",IF(AND(INT(H103/100)&gt;=7,INT(H103/100)&lt;=8),"7-8F",IF(AND(INT(H103/100)&gt;=9,INT(H103/100)&lt;=10),"9-10F",IF(AND(INT(H103/100)&gt;=11,INT(H103/100)&lt;=12),"11-12F",IF(INT(H103/100)&gt;=13,"13以上F","")))))))))</f>
        <v>9-10F</v>
      </c>
      <c r="U103" s="57">
        <f>VLOOKUP($T$1&amp;T103,【1】定价因子!E:F,2,0)</f>
        <v>1.03</v>
      </c>
      <c r="V103" s="57" t="str">
        <f>IF(COUNTIFS(户型资产表!E:E,I103,户型资产表!H:H,"操作台")&gt;0,"有","无")</f>
        <v>有</v>
      </c>
      <c r="W103" s="57" t="str">
        <f>IF(COUNTIFS(户型资产表!E:E,I103,户型资产表!H:H,"书桌")&gt;0,"有","无")</f>
        <v>无</v>
      </c>
      <c r="X103" s="57" t="str" cm="1">
        <f t="array" ref="X103">IF(SUMPRODUCT((户型资产表!E:E=I103)*((户型资产表!I:I="沙发01单人")+(户型资产表!I:I="单人沙发02")))&gt;0,"有","无")</f>
        <v>无</v>
      </c>
      <c r="Y103" s="57" t="str" cm="1">
        <f t="array" ref="Y103">IF(SUMPRODUCT((户型资产表!E:E=I103)*((户型资产表!I:I="沙发02两人")+(户型资产表!I:I="双人沙发01")))&gt;0,"有","无")</f>
        <v>有</v>
      </c>
      <c r="Z103" s="57" t="str">
        <f>IF(COUNTIFS(户型资产表!E:E,I103,户型资产表!H:H,"餐桌")&gt;0,"有","无")</f>
        <v>有</v>
      </c>
      <c r="AA103" s="57" t="str">
        <f>IF(COUNTIFS(户型资产表!E:E,I103,户型资产表!H:H,"吸油烟机")&gt;0,"有","无")</f>
        <v>无</v>
      </c>
      <c r="AB103" s="57" t="str">
        <f>IF(COUNTIFS(户型资产表!E:E,I103,户型资产表!H:H,"冰箱")&gt;0,"有","无")</f>
        <v>无</v>
      </c>
      <c r="AC103" s="57" t="str">
        <f>IF(COUNTIFS(户型资产表!E:E,I103,户型资产表!H:H,"电视柜")&gt;0,"有","无")</f>
        <v>无</v>
      </c>
      <c r="AD103" s="61" t="str">
        <f t="shared" si="21"/>
        <v>适中</v>
      </c>
      <c r="AE103" s="57">
        <f>VLOOKUP($AD$1&amp;AD103,【1】定价因子!E:F,2,0)</f>
        <v>1</v>
      </c>
      <c r="AF103" s="61" t="str">
        <f t="shared" si="22"/>
        <v>适中</v>
      </c>
      <c r="AG103" s="57">
        <f>VLOOKUP($AF$1&amp;AF103,【1】定价因子!E:F,2,0)</f>
        <v>1</v>
      </c>
      <c r="AH103" s="61" t="str">
        <f t="shared" si="23"/>
        <v>适中</v>
      </c>
      <c r="AI103" s="57">
        <f>VLOOKUP($AH$1&amp;AH103,【1】定价因子!E:F,2,0)</f>
        <v>1</v>
      </c>
      <c r="AJ103" s="57" t="str">
        <f>VLOOKUP(H103,'【3-1】大区填-采光基本要素'!A:H,8,0)</f>
        <v>1</v>
      </c>
      <c r="AK103" s="57">
        <f>VLOOKUP($AJ$1&amp;AJ103,【1】定价因子!E:F,2,0)</f>
        <v>0.91</v>
      </c>
      <c r="AL103" s="62">
        <f t="shared" si="24"/>
        <v>2317.16728425</v>
      </c>
      <c r="AM103" s="63">
        <v>2150</v>
      </c>
      <c r="AN103" s="64">
        <f t="shared" si="25"/>
        <v>-0.0721429503110335</v>
      </c>
      <c r="AO103" s="65">
        <f t="shared" si="27"/>
        <v>2160</v>
      </c>
      <c r="AP103" s="34">
        <v>2298</v>
      </c>
    </row>
    <row r="104" s="34" customFormat="1" spans="1:42">
      <c r="A104" s="57" t="str">
        <f>'【2】运营中心填-基本信息&amp;审核标准'!$E$2</f>
        <v>福围广生7-16、17栋</v>
      </c>
      <c r="B104" s="57"/>
      <c r="C104" s="57"/>
      <c r="D104" s="57"/>
      <c r="E104" s="57"/>
      <c r="F104" s="57"/>
      <c r="G104" s="57"/>
      <c r="H104" s="58">
        <v>905</v>
      </c>
      <c r="I104" s="59" t="s">
        <v>493</v>
      </c>
      <c r="J104" s="59" t="s">
        <v>43</v>
      </c>
      <c r="K104" s="57"/>
      <c r="L104" s="60">
        <f>VLOOKUP(J104,'【3】大区填-楼栋基准格局定价'!B:H,7,0)</f>
        <v>2472.1725</v>
      </c>
      <c r="M104" s="61" t="s">
        <v>65</v>
      </c>
      <c r="N104" s="61">
        <v>21.83</v>
      </c>
      <c r="O104" s="57"/>
      <c r="P104" s="57" t="str">
        <f>IF(COUNTIFS(户型资产表!E:E,I104,户型资产表!H:H,"阳台门")&gt;0,"有","无")</f>
        <v>无</v>
      </c>
      <c r="Q104" s="57"/>
      <c r="R104" s="57" t="str">
        <f>IF('【2】运营中心填-基本信息&amp;审核标准'!$D$4="是","无",IF(INT(H104/100)&gt;9,"9F",INT(H104/100)&amp;"F"))</f>
        <v>无</v>
      </c>
      <c r="S104" s="57">
        <f>VLOOKUP(R104,【1】定价因子!D:F,3,0)</f>
        <v>1</v>
      </c>
      <c r="T104" s="57" t="str">
        <f>IF('【2】运营中心填-基本信息&amp;审核标准'!$D$4="否","无",IF(INT(H104/100)=1,"1F",IF(AND(INT(H104/100)&gt;=2,INT(H104/100)&lt;=3),"2-3F",IF(INT(H104/100)=4,"4F",IF(AND(INT(H104/100)&gt;=5,INT(H104/100)&lt;=6),"5-6F",IF(AND(INT(H104/100)&gt;=7,INT(H104/100)&lt;=8),"7-8F",IF(AND(INT(H104/100)&gt;=9,INT(H104/100)&lt;=10),"9-10F",IF(AND(INT(H104/100)&gt;=11,INT(H104/100)&lt;=12),"11-12F",IF(INT(H104/100)&gt;=13,"13以上F","")))))))))</f>
        <v>9-10F</v>
      </c>
      <c r="U104" s="57">
        <f>VLOOKUP($T$1&amp;T104,【1】定价因子!E:F,2,0)</f>
        <v>1.03</v>
      </c>
      <c r="V104" s="57" t="str">
        <f>IF(COUNTIFS(户型资产表!E:E,I104,户型资产表!H:H,"操作台")&gt;0,"有","无")</f>
        <v>有</v>
      </c>
      <c r="W104" s="57" t="str">
        <f>IF(COUNTIFS(户型资产表!E:E,I104,户型资产表!H:H,"书桌")&gt;0,"有","无")</f>
        <v>无</v>
      </c>
      <c r="X104" s="57" t="str" cm="1">
        <f t="array" ref="X104">IF(SUMPRODUCT((户型资产表!E:E=I104)*((户型资产表!I:I="沙发01单人")+(户型资产表!I:I="单人沙发02")))&gt;0,"有","无")</f>
        <v>无</v>
      </c>
      <c r="Y104" s="57" t="str" cm="1">
        <f t="array" ref="Y104">IF(SUMPRODUCT((户型资产表!E:E=I104)*((户型资产表!I:I="沙发02两人")+(户型资产表!I:I="双人沙发01")))&gt;0,"有","无")</f>
        <v>有</v>
      </c>
      <c r="Z104" s="57" t="str">
        <f>IF(COUNTIFS(户型资产表!E:E,I104,户型资产表!H:H,"餐桌")&gt;0,"有","无")</f>
        <v>有</v>
      </c>
      <c r="AA104" s="57" t="str">
        <f>IF(COUNTIFS(户型资产表!E:E,I104,户型资产表!H:H,"吸油烟机")&gt;0,"有","无")</f>
        <v>无</v>
      </c>
      <c r="AB104" s="57" t="str">
        <f>IF(COUNTIFS(户型资产表!E:E,I104,户型资产表!H:H,"冰箱")&gt;0,"有","无")</f>
        <v>无</v>
      </c>
      <c r="AC104" s="57" t="str">
        <f>IF(COUNTIFS(户型资产表!E:E,I104,户型资产表!H:H,"电视柜")&gt;0,"有","无")</f>
        <v>无</v>
      </c>
      <c r="AD104" s="61" t="str">
        <f t="shared" ref="AD104:AD166" si="28">IF(J104="开间",IF(AND(V104="无",W104="无"),"缺失",IF(AND(V104="无",W104="有"),"缺失（操作台）",IF(AND(V104="有",W104="无"),"缺失（书桌）",IF(AND(V104="有",W104="有"),IF(OR(AA104="有",Y104="有"),"充足（油烟机/双人沙发）",IF(OR(X104="有",Z104="有"),"充足（单人沙发/餐桌）",IF(AND(OR(X104="有",Y104="有"),Z104="有"),"非常充足","适中"))),"")))),"适中")</f>
        <v>适中</v>
      </c>
      <c r="AE104" s="57">
        <f>VLOOKUP($AD$1&amp;AD104,【1】定价因子!E:F,2,0)</f>
        <v>1</v>
      </c>
      <c r="AF104" s="61" t="str">
        <f t="shared" ref="AF104:AF166" si="29">IF(J104="一居室",IF(AND(V104="无",Y104="无",Z104="无"),"缺失",IF(OR(AND(Z104="有",V104="无",Y104="无"),AND(Z104="有",V104="无",Y104="有"),AND(Z104="有",V104="有",Y104="无"),AND(Z104="无",V104="有",Y104="无"),AND(Z104="无",V104="无",Y104="有")),"缺失（操作台/双人沙发）",IF(AND(V104="有",Y104="有",Z104="无"),"缺失（餐桌）",IF(AND(V104="有",Y104="有",Z104="有"),IF(AND(W104="无",AA104="有"),"充配（油烟机）",IF(AND(W104="有",AA104="无"),"充配（书桌）",IF(AND(W104="有",AA104="有"),"非常充配","适中"))),"")))),"适中")</f>
        <v>适中</v>
      </c>
      <c r="AG104" s="57">
        <f>VLOOKUP($AF$1&amp;AF104,【1】定价因子!E:F,2,0)</f>
        <v>1</v>
      </c>
      <c r="AH104" s="61" t="str">
        <f t="shared" ref="AH104:AH166" si="30">IF(J104="二居室",IF(AND(Y104="无",Z104="无",AC104="无",V104="无"),"缺失",IF(OR(AND(Y104="无",Z104="无",AC104="有"),AND(Y104="无",Z104="无",V104="有"),AND(Y104="无",Z104="无",AC104="有",V104="有"),AND(Y104="无",Z104="有",AC104="无"),AND(Y104="无",Z104="有",V104="无"),AND(Y104="无",Z104="有",AC104="有"),AND(Y104="无",Z104="有",V104="有"),AND(Y104="有",Z104="无",AC104="无"),AND(Y104="有",Z104="无",V104="无"),AND(Y104="有",Z104="无",AC104="有"),AND(Y104="有",Z104="无",V104="有")),"缺失（沙发/餐桌）",IF(AND(Y104="有",Z104="有",OR(AC104="无",V104="无")),"缺失（电视柜/操作台）",IF(AND(Y104="有",Z104="有",AC104="有",V104="有"),IF(OR(AA104="有",AB104="有"),"充配（油烟机/冰箱）",IF(AND(AA104="无",AB104="无"),"适中","")),"")))),"适中")</f>
        <v>适中</v>
      </c>
      <c r="AI104" s="57">
        <f>VLOOKUP($AH$1&amp;AH104,【1】定价因子!E:F,2,0)</f>
        <v>1</v>
      </c>
      <c r="AJ104" s="57" t="str">
        <f>VLOOKUP(H104,'【3-1】大区填-采光基本要素'!A:H,8,0)</f>
        <v>2</v>
      </c>
      <c r="AK104" s="57">
        <f>VLOOKUP($AJ$1&amp;AJ104,【1】定价因子!E:F,2,0)</f>
        <v>0.96</v>
      </c>
      <c r="AL104" s="62">
        <f t="shared" ref="AL104:AL166" si="31">L104*PRODUCT(AG104,AK104,AE104,U104,S104,Q104,O104)</f>
        <v>2444.484168</v>
      </c>
      <c r="AM104" s="63">
        <v>2180</v>
      </c>
      <c r="AN104" s="64">
        <f t="shared" ref="AN104:AN166" si="32">AM104/AL104-1</f>
        <v>-0.108196310478211</v>
      </c>
      <c r="AO104" s="65">
        <f t="shared" si="27"/>
        <v>2190</v>
      </c>
      <c r="AP104" s="63">
        <v>2210</v>
      </c>
    </row>
    <row r="105" spans="1:42">
      <c r="A105" s="47" t="str">
        <f>'【2】运营中心填-基本信息&amp;审核标准'!$E$2</f>
        <v>福围广生7-16、17栋</v>
      </c>
      <c r="B105" s="13"/>
      <c r="C105" s="13"/>
      <c r="D105" s="13"/>
      <c r="E105" s="13"/>
      <c r="F105" s="13"/>
      <c r="G105" s="13"/>
      <c r="H105" s="48">
        <v>906</v>
      </c>
      <c r="I105" s="49" t="s">
        <v>494</v>
      </c>
      <c r="J105" s="49" t="s">
        <v>40</v>
      </c>
      <c r="K105" s="13"/>
      <c r="L105" s="50">
        <f>VLOOKUP(J105,'【3】大区填-楼栋基准格局定价'!B:H,7,0)</f>
        <v>1658.8509</v>
      </c>
      <c r="M105" s="51" t="s">
        <v>61</v>
      </c>
      <c r="N105" s="51">
        <v>17.58</v>
      </c>
      <c r="O105" s="52"/>
      <c r="P105" s="52" t="str">
        <f>IF(COUNTIFS(户型资产表!E:E,I105,户型资产表!H:H,"阳台门")&gt;0,"有","无")</f>
        <v>无</v>
      </c>
      <c r="Q105" s="52"/>
      <c r="R105" s="52" t="str">
        <f>IF('【2】运营中心填-基本信息&amp;审核标准'!$D$4="是","无",IF(INT(H105/100)&gt;9,"9F",INT(H105/100)&amp;"F"))</f>
        <v>无</v>
      </c>
      <c r="S105" s="52">
        <f>VLOOKUP(R105,【1】定价因子!D:F,3,0)</f>
        <v>1</v>
      </c>
      <c r="T105" s="52" t="str">
        <f>IF('【2】运营中心填-基本信息&amp;审核标准'!$D$4="否","无",IF(INT(H105/100)=1,"1F",IF(AND(INT(H105/100)&gt;=2,INT(H105/100)&lt;=3),"2-3F",IF(INT(H105/100)=4,"4F",IF(AND(INT(H105/100)&gt;=5,INT(H105/100)&lt;=6),"5-6F",IF(AND(INT(H105/100)&gt;=7,INT(H105/100)&lt;=8),"7-8F",IF(AND(INT(H105/100)&gt;=9,INT(H105/100)&lt;=10),"9-10F",IF(AND(INT(H105/100)&gt;=11,INT(H105/100)&lt;=12),"11-12F",IF(INT(H105/100)&gt;=13,"13以上F","")))))))))</f>
        <v>9-10F</v>
      </c>
      <c r="U105" s="52">
        <f>VLOOKUP($T$1&amp;T105,【1】定价因子!E:F,2,0)</f>
        <v>1.03</v>
      </c>
      <c r="V105" s="52" t="str">
        <f>IF(COUNTIFS(户型资产表!E:E,I105,户型资产表!H:H,"操作台")&gt;0,"有","无")</f>
        <v>有</v>
      </c>
      <c r="W105" s="52" t="str">
        <f>IF(COUNTIFS(户型资产表!E:E,I105,户型资产表!H:H,"书桌")&gt;0,"有","无")</f>
        <v>有</v>
      </c>
      <c r="X105" s="52" t="str" cm="1">
        <f t="array" ref="X105">IF(SUMPRODUCT((户型资产表!E:E=I105)*((户型资产表!I:I="沙发01单人")+(户型资产表!I:I="单人沙发02")))&gt;0,"有","无")</f>
        <v>无</v>
      </c>
      <c r="Y105" s="52" t="str" cm="1">
        <f t="array" ref="Y105">IF(SUMPRODUCT((户型资产表!E:E=I105)*((户型资产表!I:I="沙发02两人")+(户型资产表!I:I="双人沙发01")))&gt;0,"有","无")</f>
        <v>无</v>
      </c>
      <c r="Z105" s="52" t="str">
        <f>IF(COUNTIFS(户型资产表!E:E,I105,户型资产表!H:H,"餐桌")&gt;0,"有","无")</f>
        <v>无</v>
      </c>
      <c r="AA105" s="52" t="str">
        <f>IF(COUNTIFS(户型资产表!E:E,I105,户型资产表!H:H,"吸油烟机")&gt;0,"有","无")</f>
        <v>无</v>
      </c>
      <c r="AB105" s="52" t="str">
        <f>IF(COUNTIFS(户型资产表!E:E,I105,户型资产表!H:H,"冰箱")&gt;0,"有","无")</f>
        <v>无</v>
      </c>
      <c r="AC105" s="52" t="str">
        <f>IF(COUNTIFS(户型资产表!E:E,I105,户型资产表!H:H,"电视柜")&gt;0,"有","无")</f>
        <v>无</v>
      </c>
      <c r="AD105" s="51" t="str">
        <f t="shared" si="28"/>
        <v>适中</v>
      </c>
      <c r="AE105" s="52">
        <f>VLOOKUP($AD$1&amp;AD105,【1】定价因子!E:F,2,0)</f>
        <v>1</v>
      </c>
      <c r="AF105" s="51" t="str">
        <f t="shared" si="29"/>
        <v>适中</v>
      </c>
      <c r="AG105" s="52">
        <f>VLOOKUP($AF$1&amp;AF105,【1】定价因子!E:F,2,0)</f>
        <v>1</v>
      </c>
      <c r="AH105" s="51" t="str">
        <f t="shared" si="30"/>
        <v>适中</v>
      </c>
      <c r="AI105" s="52">
        <f>VLOOKUP($AH$1&amp;AH105,【1】定价因子!E:F,2,0)</f>
        <v>1</v>
      </c>
      <c r="AJ105" s="52" t="str">
        <f>VLOOKUP(H105,'【3-1】大区填-采光基本要素'!A:H,8,0)</f>
        <v>3</v>
      </c>
      <c r="AK105" s="52">
        <f>VLOOKUP($AJ$1&amp;AJ105,【1】定价因子!E:F,2,0)</f>
        <v>1</v>
      </c>
      <c r="AL105" s="53">
        <f t="shared" si="31"/>
        <v>1708.616427</v>
      </c>
      <c r="AM105" s="54">
        <v>1558</v>
      </c>
      <c r="AN105" s="55">
        <f t="shared" si="32"/>
        <v>-0.0881511055494493</v>
      </c>
      <c r="AO105" s="56">
        <f t="shared" si="27"/>
        <v>1568</v>
      </c>
    </row>
    <row r="106" spans="1:42">
      <c r="A106" s="47" t="str">
        <f>'【2】运营中心填-基本信息&amp;审核标准'!$E$2</f>
        <v>福围广生7-16、17栋</v>
      </c>
      <c r="B106" s="13"/>
      <c r="C106" s="13"/>
      <c r="D106" s="13"/>
      <c r="E106" s="13"/>
      <c r="F106" s="13"/>
      <c r="G106" s="13"/>
      <c r="H106" s="48">
        <v>907</v>
      </c>
      <c r="I106" s="49" t="s">
        <v>492</v>
      </c>
      <c r="J106" s="49" t="s">
        <v>40</v>
      </c>
      <c r="K106" s="13"/>
      <c r="L106" s="50">
        <f>VLOOKUP(J106,'【3】大区填-楼栋基准格局定价'!B:H,7,0)</f>
        <v>1658.8509</v>
      </c>
      <c r="M106" s="51" t="s">
        <v>63</v>
      </c>
      <c r="N106" s="51">
        <v>16.65</v>
      </c>
      <c r="O106" s="52"/>
      <c r="P106" s="52" t="str">
        <f>IF(COUNTIFS(户型资产表!E:E,I106,户型资产表!H:H,"阳台门")&gt;0,"有","无")</f>
        <v>无</v>
      </c>
      <c r="Q106" s="52"/>
      <c r="R106" s="52" t="str">
        <f>IF('【2】运营中心填-基本信息&amp;审核标准'!$D$4="是","无",IF(INT(H106/100)&gt;9,"9F",INT(H106/100)&amp;"F"))</f>
        <v>无</v>
      </c>
      <c r="S106" s="52">
        <f>VLOOKUP(R106,【1】定价因子!D:F,3,0)</f>
        <v>1</v>
      </c>
      <c r="T106" s="52" t="str">
        <f>IF('【2】运营中心填-基本信息&amp;审核标准'!$D$4="否","无",IF(INT(H106/100)=1,"1F",IF(AND(INT(H106/100)&gt;=2,INT(H106/100)&lt;=3),"2-3F",IF(INT(H106/100)=4,"4F",IF(AND(INT(H106/100)&gt;=5,INT(H106/100)&lt;=6),"5-6F",IF(AND(INT(H106/100)&gt;=7,INT(H106/100)&lt;=8),"7-8F",IF(AND(INT(H106/100)&gt;=9,INT(H106/100)&lt;=10),"9-10F",IF(AND(INT(H106/100)&gt;=11,INT(H106/100)&lt;=12),"11-12F",IF(INT(H106/100)&gt;=13,"13以上F","")))))))))</f>
        <v>9-10F</v>
      </c>
      <c r="U106" s="52">
        <f>VLOOKUP($T$1&amp;T106,【1】定价因子!E:F,2,0)</f>
        <v>1.03</v>
      </c>
      <c r="V106" s="52" t="str">
        <f>IF(COUNTIFS(户型资产表!E:E,I106,户型资产表!H:H,"操作台")&gt;0,"有","无")</f>
        <v>有</v>
      </c>
      <c r="W106" s="52" t="str">
        <f>IF(COUNTIFS(户型资产表!E:E,I106,户型资产表!H:H,"书桌")&gt;0,"有","无")</f>
        <v>有</v>
      </c>
      <c r="X106" s="52" t="str" cm="1">
        <f t="array" ref="X106">IF(SUMPRODUCT((户型资产表!E:E=I106)*((户型资产表!I:I="沙发01单人")+(户型资产表!I:I="单人沙发02")))&gt;0,"有","无")</f>
        <v>无</v>
      </c>
      <c r="Y106" s="52" t="str" cm="1">
        <f t="array" ref="Y106">IF(SUMPRODUCT((户型资产表!E:E=I106)*((户型资产表!I:I="沙发02两人")+(户型资产表!I:I="双人沙发01")))&gt;0,"有","无")</f>
        <v>无</v>
      </c>
      <c r="Z106" s="52" t="str">
        <f>IF(COUNTIFS(户型资产表!E:E,I106,户型资产表!H:H,"餐桌")&gt;0,"有","无")</f>
        <v>无</v>
      </c>
      <c r="AA106" s="52" t="str">
        <f>IF(COUNTIFS(户型资产表!E:E,I106,户型资产表!H:H,"吸油烟机")&gt;0,"有","无")</f>
        <v>无</v>
      </c>
      <c r="AB106" s="52" t="str">
        <f>IF(COUNTIFS(户型资产表!E:E,I106,户型资产表!H:H,"冰箱")&gt;0,"有","无")</f>
        <v>无</v>
      </c>
      <c r="AC106" s="52" t="str">
        <f>IF(COUNTIFS(户型资产表!E:E,I106,户型资产表!H:H,"电视柜")&gt;0,"有","无")</f>
        <v>无</v>
      </c>
      <c r="AD106" s="51" t="str">
        <f t="shared" si="28"/>
        <v>适中</v>
      </c>
      <c r="AE106" s="52">
        <f>VLOOKUP($AD$1&amp;AD106,【1】定价因子!E:F,2,0)</f>
        <v>1</v>
      </c>
      <c r="AF106" s="51" t="str">
        <f t="shared" si="29"/>
        <v>适中</v>
      </c>
      <c r="AG106" s="52">
        <f>VLOOKUP($AF$1&amp;AF106,【1】定价因子!E:F,2,0)</f>
        <v>1</v>
      </c>
      <c r="AH106" s="51" t="str">
        <f t="shared" si="30"/>
        <v>适中</v>
      </c>
      <c r="AI106" s="52">
        <f>VLOOKUP($AH$1&amp;AH106,【1】定价因子!E:F,2,0)</f>
        <v>1</v>
      </c>
      <c r="AJ106" s="52" t="str">
        <f>VLOOKUP(H106,'【3-1】大区填-采光基本要素'!A:H,8,0)</f>
        <v>2</v>
      </c>
      <c r="AK106" s="52">
        <f>VLOOKUP($AJ$1&amp;AJ106,【1】定价因子!E:F,2,0)</f>
        <v>0.96</v>
      </c>
      <c r="AL106" s="53">
        <f t="shared" si="31"/>
        <v>1640.27176992</v>
      </c>
      <c r="AM106" s="54">
        <v>1498</v>
      </c>
      <c r="AN106" s="55">
        <f t="shared" si="32"/>
        <v>-0.086736705788053</v>
      </c>
      <c r="AO106" s="56">
        <f t="shared" si="27"/>
        <v>1508</v>
      </c>
    </row>
    <row r="107" spans="1:42">
      <c r="A107" s="47" t="str">
        <f>'【2】运营中心填-基本信息&amp;审核标准'!$E$2</f>
        <v>福围广生7-16、17栋</v>
      </c>
      <c r="B107" s="13"/>
      <c r="C107" s="13"/>
      <c r="D107" s="13"/>
      <c r="E107" s="13"/>
      <c r="F107" s="13"/>
      <c r="G107" s="13"/>
      <c r="H107" s="48">
        <v>908</v>
      </c>
      <c r="I107" s="49" t="s">
        <v>492</v>
      </c>
      <c r="J107" s="49" t="s">
        <v>40</v>
      </c>
      <c r="K107" s="13"/>
      <c r="L107" s="50">
        <f>VLOOKUP(J107,'【3】大区填-楼栋基准格局定价'!B:H,7,0)</f>
        <v>1658.8509</v>
      </c>
      <c r="M107" s="51" t="s">
        <v>63</v>
      </c>
      <c r="N107" s="51">
        <v>16.79</v>
      </c>
      <c r="O107" s="52"/>
      <c r="P107" s="52" t="str">
        <f>IF(COUNTIFS(户型资产表!E:E,I107,户型资产表!H:H,"阳台门")&gt;0,"有","无")</f>
        <v>无</v>
      </c>
      <c r="Q107" s="52"/>
      <c r="R107" s="52" t="str">
        <f>IF('【2】运营中心填-基本信息&amp;审核标准'!$D$4="是","无",IF(INT(H107/100)&gt;9,"9F",INT(H107/100)&amp;"F"))</f>
        <v>无</v>
      </c>
      <c r="S107" s="52">
        <f>VLOOKUP(R107,【1】定价因子!D:F,3,0)</f>
        <v>1</v>
      </c>
      <c r="T107" s="52" t="str">
        <f>IF('【2】运营中心填-基本信息&amp;审核标准'!$D$4="否","无",IF(INT(H107/100)=1,"1F",IF(AND(INT(H107/100)&gt;=2,INT(H107/100)&lt;=3),"2-3F",IF(INT(H107/100)=4,"4F",IF(AND(INT(H107/100)&gt;=5,INT(H107/100)&lt;=6),"5-6F",IF(AND(INT(H107/100)&gt;=7,INT(H107/100)&lt;=8),"7-8F",IF(AND(INT(H107/100)&gt;=9,INT(H107/100)&lt;=10),"9-10F",IF(AND(INT(H107/100)&gt;=11,INT(H107/100)&lt;=12),"11-12F",IF(INT(H107/100)&gt;=13,"13以上F","")))))))))</f>
        <v>9-10F</v>
      </c>
      <c r="U107" s="52">
        <f>VLOOKUP($T$1&amp;T107,【1】定价因子!E:F,2,0)</f>
        <v>1.03</v>
      </c>
      <c r="V107" s="52" t="str">
        <f>IF(COUNTIFS(户型资产表!E:E,I107,户型资产表!H:H,"操作台")&gt;0,"有","无")</f>
        <v>有</v>
      </c>
      <c r="W107" s="52" t="str">
        <f>IF(COUNTIFS(户型资产表!E:E,I107,户型资产表!H:H,"书桌")&gt;0,"有","无")</f>
        <v>有</v>
      </c>
      <c r="X107" s="52" t="str" cm="1">
        <f t="array" ref="X107">IF(SUMPRODUCT((户型资产表!E:E=I107)*((户型资产表!I:I="沙发01单人")+(户型资产表!I:I="单人沙发02")))&gt;0,"有","无")</f>
        <v>无</v>
      </c>
      <c r="Y107" s="52" t="str" cm="1">
        <f t="array" ref="Y107">IF(SUMPRODUCT((户型资产表!E:E=I107)*((户型资产表!I:I="沙发02两人")+(户型资产表!I:I="双人沙发01")))&gt;0,"有","无")</f>
        <v>无</v>
      </c>
      <c r="Z107" s="52" t="str">
        <f>IF(COUNTIFS(户型资产表!E:E,I107,户型资产表!H:H,"餐桌")&gt;0,"有","无")</f>
        <v>无</v>
      </c>
      <c r="AA107" s="52" t="str">
        <f>IF(COUNTIFS(户型资产表!E:E,I107,户型资产表!H:H,"吸油烟机")&gt;0,"有","无")</f>
        <v>无</v>
      </c>
      <c r="AB107" s="52" t="str">
        <f>IF(COUNTIFS(户型资产表!E:E,I107,户型资产表!H:H,"冰箱")&gt;0,"有","无")</f>
        <v>无</v>
      </c>
      <c r="AC107" s="52" t="str">
        <f>IF(COUNTIFS(户型资产表!E:E,I107,户型资产表!H:H,"电视柜")&gt;0,"有","无")</f>
        <v>无</v>
      </c>
      <c r="AD107" s="51" t="str">
        <f t="shared" si="28"/>
        <v>适中</v>
      </c>
      <c r="AE107" s="52">
        <f>VLOOKUP($AD$1&amp;AD107,【1】定价因子!E:F,2,0)</f>
        <v>1</v>
      </c>
      <c r="AF107" s="51" t="str">
        <f t="shared" si="29"/>
        <v>适中</v>
      </c>
      <c r="AG107" s="52">
        <f>VLOOKUP($AF$1&amp;AF107,【1】定价因子!E:F,2,0)</f>
        <v>1</v>
      </c>
      <c r="AH107" s="51" t="str">
        <f t="shared" si="30"/>
        <v>适中</v>
      </c>
      <c r="AI107" s="52">
        <f>VLOOKUP($AH$1&amp;AH107,【1】定价因子!E:F,2,0)</f>
        <v>1</v>
      </c>
      <c r="AJ107" s="52" t="str">
        <f>VLOOKUP(H107,'【3-1】大区填-采光基本要素'!A:H,8,0)</f>
        <v>2</v>
      </c>
      <c r="AK107" s="52">
        <f>VLOOKUP($AJ$1&amp;AJ107,【1】定价因子!E:F,2,0)</f>
        <v>0.96</v>
      </c>
      <c r="AL107" s="53">
        <f t="shared" si="31"/>
        <v>1640.27176992</v>
      </c>
      <c r="AM107" s="54">
        <v>1498</v>
      </c>
      <c r="AN107" s="55">
        <f t="shared" si="32"/>
        <v>-0.086736705788053</v>
      </c>
      <c r="AO107" s="56">
        <f t="shared" si="27"/>
        <v>1508</v>
      </c>
    </row>
    <row r="108" spans="1:42">
      <c r="A108" s="47" t="str">
        <f>'【2】运营中心填-基本信息&amp;审核标准'!$E$2</f>
        <v>福围广生7-16、17栋</v>
      </c>
      <c r="B108" s="13"/>
      <c r="C108" s="13"/>
      <c r="D108" s="13"/>
      <c r="E108" s="13"/>
      <c r="F108" s="13"/>
      <c r="G108" s="13"/>
      <c r="H108" s="48">
        <v>909</v>
      </c>
      <c r="I108" s="49" t="s">
        <v>495</v>
      </c>
      <c r="J108" s="49" t="s">
        <v>43</v>
      </c>
      <c r="K108" s="13"/>
      <c r="L108" s="50">
        <f>VLOOKUP(J108,'【3】大区填-楼栋基准格局定价'!B:H,7,0)</f>
        <v>2472.1725</v>
      </c>
      <c r="M108" s="51" t="s">
        <v>58</v>
      </c>
      <c r="N108" s="51">
        <v>30.92</v>
      </c>
      <c r="O108" s="52"/>
      <c r="P108" s="52" t="str">
        <f>IF(COUNTIFS(户型资产表!E:E,I108,户型资产表!H:H,"阳台门")&gt;0,"有","无")</f>
        <v>无</v>
      </c>
      <c r="Q108" s="52"/>
      <c r="R108" s="52" t="str">
        <f>IF('【2】运营中心填-基本信息&amp;审核标准'!$D$4="是","无",IF(INT(H108/100)&gt;9,"9F",INT(H108/100)&amp;"F"))</f>
        <v>无</v>
      </c>
      <c r="S108" s="52">
        <f>VLOOKUP(R108,【1】定价因子!D:F,3,0)</f>
        <v>1</v>
      </c>
      <c r="T108" s="52" t="str">
        <f>IF('【2】运营中心填-基本信息&amp;审核标准'!$D$4="否","无",IF(INT(H108/100)=1,"1F",IF(AND(INT(H108/100)&gt;=2,INT(H108/100)&lt;=3),"2-3F",IF(INT(H108/100)=4,"4F",IF(AND(INT(H108/100)&gt;=5,INT(H108/100)&lt;=6),"5-6F",IF(AND(INT(H108/100)&gt;=7,INT(H108/100)&lt;=8),"7-8F",IF(AND(INT(H108/100)&gt;=9,INT(H108/100)&lt;=10),"9-10F",IF(AND(INT(H108/100)&gt;=11,INT(H108/100)&lt;=12),"11-12F",IF(INT(H108/100)&gt;=13,"13以上F","")))))))))</f>
        <v>9-10F</v>
      </c>
      <c r="U108" s="52">
        <f>VLOOKUP($T$1&amp;T108,【1】定价因子!E:F,2,0)</f>
        <v>1.03</v>
      </c>
      <c r="V108" s="52" t="str">
        <f>IF(COUNTIFS(户型资产表!E:E,I108,户型资产表!H:H,"操作台")&gt;0,"有","无")</f>
        <v>有</v>
      </c>
      <c r="W108" s="52" t="str">
        <f>IF(COUNTIFS(户型资产表!E:E,I108,户型资产表!H:H,"书桌")&gt;0,"有","无")</f>
        <v>有</v>
      </c>
      <c r="X108" s="52" t="str" cm="1">
        <f t="array" ref="X108">IF(SUMPRODUCT((户型资产表!E:E=I108)*((户型资产表!I:I="沙发01单人")+(户型资产表!I:I="单人沙发02")))&gt;0,"有","无")</f>
        <v>有</v>
      </c>
      <c r="Y108" s="52" t="str" cm="1">
        <f t="array" ref="Y108">IF(SUMPRODUCT((户型资产表!E:E=I108)*((户型资产表!I:I="沙发02两人")+(户型资产表!I:I="双人沙发01")))&gt;0,"有","无")</f>
        <v>有</v>
      </c>
      <c r="Z108" s="52" t="str">
        <f>IF(COUNTIFS(户型资产表!E:E,I108,户型资产表!H:H,"餐桌")&gt;0,"有","无")</f>
        <v>有</v>
      </c>
      <c r="AA108" s="52" t="str">
        <f>IF(COUNTIFS(户型资产表!E:E,I108,户型资产表!H:H,"吸油烟机")&gt;0,"有","无")</f>
        <v>无</v>
      </c>
      <c r="AB108" s="52" t="str">
        <f>IF(COUNTIFS(户型资产表!E:E,I108,户型资产表!H:H,"冰箱")&gt;0,"有","无")</f>
        <v>无</v>
      </c>
      <c r="AC108" s="52" t="str">
        <f>IF(COUNTIFS(户型资产表!E:E,I108,户型资产表!H:H,"电视柜")&gt;0,"有","无")</f>
        <v>无</v>
      </c>
      <c r="AD108" s="51" t="str">
        <f t="shared" si="28"/>
        <v>适中</v>
      </c>
      <c r="AE108" s="52">
        <f>VLOOKUP($AD$1&amp;AD108,【1】定价因子!E:F,2,0)</f>
        <v>1</v>
      </c>
      <c r="AF108" s="51" t="s">
        <v>63</v>
      </c>
      <c r="AG108" s="52">
        <f>VLOOKUP($AF$1&amp;AF108,【1】定价因子!E:F,2,0)</f>
        <v>1</v>
      </c>
      <c r="AH108" s="51" t="str">
        <f t="shared" si="30"/>
        <v>适中</v>
      </c>
      <c r="AI108" s="52">
        <f>VLOOKUP($AH$1&amp;AH108,【1】定价因子!E:F,2,0)</f>
        <v>1</v>
      </c>
      <c r="AJ108" s="52" t="str">
        <f>VLOOKUP(H108,'【3-1】大区填-采光基本要素'!A:H,8,0)</f>
        <v>2</v>
      </c>
      <c r="AK108" s="52">
        <f>VLOOKUP($AJ$1&amp;AJ108,【1】定价因子!E:F,2,0)</f>
        <v>0.96</v>
      </c>
      <c r="AL108" s="53">
        <f t="shared" si="31"/>
        <v>2444.484168</v>
      </c>
      <c r="AM108" s="54">
        <v>2348</v>
      </c>
      <c r="AN108" s="55">
        <f t="shared" si="32"/>
        <v>-0.0394701545884587</v>
      </c>
      <c r="AO108" s="56">
        <f t="shared" si="27"/>
        <v>2358</v>
      </c>
    </row>
    <row r="109" spans="1:42">
      <c r="A109" s="47" t="str">
        <f>'【2】运营中心填-基本信息&amp;审核标准'!$E$2</f>
        <v>福围广生7-16、17栋</v>
      </c>
      <c r="B109" s="13"/>
      <c r="C109" s="13"/>
      <c r="D109" s="13"/>
      <c r="E109" s="13"/>
      <c r="F109" s="13"/>
      <c r="G109" s="13"/>
      <c r="H109" s="48">
        <v>910</v>
      </c>
      <c r="I109" s="49" t="s">
        <v>492</v>
      </c>
      <c r="J109" s="49" t="s">
        <v>40</v>
      </c>
      <c r="K109" s="13"/>
      <c r="L109" s="50">
        <f>VLOOKUP(J109,'【3】大区填-楼栋基准格局定价'!B:H,7,0)</f>
        <v>1658.8509</v>
      </c>
      <c r="M109" s="51" t="s">
        <v>63</v>
      </c>
      <c r="N109" s="51">
        <v>16.79</v>
      </c>
      <c r="O109" s="52"/>
      <c r="P109" s="52" t="str">
        <f>IF(COUNTIFS(户型资产表!E:E,I109,户型资产表!H:H,"阳台门")&gt;0,"有","无")</f>
        <v>无</v>
      </c>
      <c r="Q109" s="52"/>
      <c r="R109" s="52" t="str">
        <f>IF('【2】运营中心填-基本信息&amp;审核标准'!$D$4="是","无",IF(INT(H109/100)&gt;9,"9F",INT(H109/100)&amp;"F"))</f>
        <v>无</v>
      </c>
      <c r="S109" s="52">
        <f>VLOOKUP(R109,【1】定价因子!D:F,3,0)</f>
        <v>1</v>
      </c>
      <c r="T109" s="52" t="str">
        <f>IF('【2】运营中心填-基本信息&amp;审核标准'!$D$4="否","无",IF(INT(H109/100)=1,"1F",IF(AND(INT(H109/100)&gt;=2,INT(H109/100)&lt;=3),"2-3F",IF(INT(H109/100)=4,"4F",IF(AND(INT(H109/100)&gt;=5,INT(H109/100)&lt;=6),"5-6F",IF(AND(INT(H109/100)&gt;=7,INT(H109/100)&lt;=8),"7-8F",IF(AND(INT(H109/100)&gt;=9,INT(H109/100)&lt;=10),"9-10F",IF(AND(INT(H109/100)&gt;=11,INT(H109/100)&lt;=12),"11-12F",IF(INT(H109/100)&gt;=13,"13以上F","")))))))))</f>
        <v>9-10F</v>
      </c>
      <c r="U109" s="52">
        <f>VLOOKUP($T$1&amp;T109,【1】定价因子!E:F,2,0)</f>
        <v>1.03</v>
      </c>
      <c r="V109" s="52" t="str">
        <f>IF(COUNTIFS(户型资产表!E:E,I109,户型资产表!H:H,"操作台")&gt;0,"有","无")</f>
        <v>有</v>
      </c>
      <c r="W109" s="52" t="str">
        <f>IF(COUNTIFS(户型资产表!E:E,I109,户型资产表!H:H,"书桌")&gt;0,"有","无")</f>
        <v>有</v>
      </c>
      <c r="X109" s="52" t="str" cm="1">
        <f t="array" ref="X109">IF(SUMPRODUCT((户型资产表!E:E=I109)*((户型资产表!I:I="沙发01单人")+(户型资产表!I:I="单人沙发02")))&gt;0,"有","无")</f>
        <v>无</v>
      </c>
      <c r="Y109" s="52" t="str" cm="1">
        <f t="array" ref="Y109">IF(SUMPRODUCT((户型资产表!E:E=I109)*((户型资产表!I:I="沙发02两人")+(户型资产表!I:I="双人沙发01")))&gt;0,"有","无")</f>
        <v>无</v>
      </c>
      <c r="Z109" s="52" t="str">
        <f>IF(COUNTIFS(户型资产表!E:E,I109,户型资产表!H:H,"餐桌")&gt;0,"有","无")</f>
        <v>无</v>
      </c>
      <c r="AA109" s="52" t="str">
        <f>IF(COUNTIFS(户型资产表!E:E,I109,户型资产表!H:H,"吸油烟机")&gt;0,"有","无")</f>
        <v>无</v>
      </c>
      <c r="AB109" s="52" t="str">
        <f>IF(COUNTIFS(户型资产表!E:E,I109,户型资产表!H:H,"冰箱")&gt;0,"有","无")</f>
        <v>无</v>
      </c>
      <c r="AC109" s="52" t="str">
        <f>IF(COUNTIFS(户型资产表!E:E,I109,户型资产表!H:H,"电视柜")&gt;0,"有","无")</f>
        <v>无</v>
      </c>
      <c r="AD109" s="51" t="str">
        <f t="shared" si="28"/>
        <v>适中</v>
      </c>
      <c r="AE109" s="52">
        <f>VLOOKUP($AD$1&amp;AD109,【1】定价因子!E:F,2,0)</f>
        <v>1</v>
      </c>
      <c r="AF109" s="51" t="str">
        <f t="shared" si="29"/>
        <v>适中</v>
      </c>
      <c r="AG109" s="52">
        <f>VLOOKUP($AF$1&amp;AF109,【1】定价因子!E:F,2,0)</f>
        <v>1</v>
      </c>
      <c r="AH109" s="51" t="str">
        <f t="shared" si="30"/>
        <v>适中</v>
      </c>
      <c r="AI109" s="52">
        <f>VLOOKUP($AH$1&amp;AH109,【1】定价因子!E:F,2,0)</f>
        <v>1</v>
      </c>
      <c r="AJ109" s="52" t="str">
        <f>VLOOKUP(H109,'【3-1】大区填-采光基本要素'!A:H,8,0)</f>
        <v>2</v>
      </c>
      <c r="AK109" s="52">
        <f>VLOOKUP($AJ$1&amp;AJ109,【1】定价因子!E:F,2,0)</f>
        <v>0.96</v>
      </c>
      <c r="AL109" s="53">
        <f t="shared" si="31"/>
        <v>1640.27176992</v>
      </c>
      <c r="AM109" s="54">
        <v>1498</v>
      </c>
      <c r="AN109" s="55">
        <f t="shared" si="32"/>
        <v>-0.086736705788053</v>
      </c>
      <c r="AO109" s="56">
        <f t="shared" si="27"/>
        <v>1508</v>
      </c>
    </row>
    <row r="110" spans="1:42">
      <c r="A110" s="47" t="str">
        <f>'【2】运营中心填-基本信息&amp;审核标准'!$E$2</f>
        <v>福围广生7-16、17栋</v>
      </c>
      <c r="B110" s="13"/>
      <c r="C110" s="13"/>
      <c r="D110" s="13"/>
      <c r="E110" s="13"/>
      <c r="F110" s="13"/>
      <c r="G110" s="13"/>
      <c r="H110" s="48">
        <v>911</v>
      </c>
      <c r="I110" s="49" t="s">
        <v>492</v>
      </c>
      <c r="J110" s="49" t="s">
        <v>40</v>
      </c>
      <c r="K110" s="13"/>
      <c r="L110" s="50">
        <f>VLOOKUP(J110,'【3】大区填-楼栋基准格局定价'!B:H,7,0)</f>
        <v>1658.8509</v>
      </c>
      <c r="M110" s="51" t="s">
        <v>63</v>
      </c>
      <c r="N110" s="51">
        <v>16.65</v>
      </c>
      <c r="O110" s="52"/>
      <c r="P110" s="52" t="str">
        <f>IF(COUNTIFS(户型资产表!E:E,I110,户型资产表!H:H,"阳台门")&gt;0,"有","无")</f>
        <v>无</v>
      </c>
      <c r="Q110" s="52"/>
      <c r="R110" s="52" t="str">
        <f>IF('【2】运营中心填-基本信息&amp;审核标准'!$D$4="是","无",IF(INT(H110/100)&gt;9,"9F",INT(H110/100)&amp;"F"))</f>
        <v>无</v>
      </c>
      <c r="S110" s="52">
        <f>VLOOKUP(R110,【1】定价因子!D:F,3,0)</f>
        <v>1</v>
      </c>
      <c r="T110" s="52" t="str">
        <f>IF('【2】运营中心填-基本信息&amp;审核标准'!$D$4="否","无",IF(INT(H110/100)=1,"1F",IF(AND(INT(H110/100)&gt;=2,INT(H110/100)&lt;=3),"2-3F",IF(INT(H110/100)=4,"4F",IF(AND(INT(H110/100)&gt;=5,INT(H110/100)&lt;=6),"5-6F",IF(AND(INT(H110/100)&gt;=7,INT(H110/100)&lt;=8),"7-8F",IF(AND(INT(H110/100)&gt;=9,INT(H110/100)&lt;=10),"9-10F",IF(AND(INT(H110/100)&gt;=11,INT(H110/100)&lt;=12),"11-12F",IF(INT(H110/100)&gt;=13,"13以上F","")))))))))</f>
        <v>9-10F</v>
      </c>
      <c r="U110" s="52">
        <f>VLOOKUP($T$1&amp;T110,【1】定价因子!E:F,2,0)</f>
        <v>1.03</v>
      </c>
      <c r="V110" s="52" t="str">
        <f>IF(COUNTIFS(户型资产表!E:E,I110,户型资产表!H:H,"操作台")&gt;0,"有","无")</f>
        <v>有</v>
      </c>
      <c r="W110" s="52" t="str">
        <f>IF(COUNTIFS(户型资产表!E:E,I110,户型资产表!H:H,"书桌")&gt;0,"有","无")</f>
        <v>有</v>
      </c>
      <c r="X110" s="52" t="str" cm="1">
        <f t="array" ref="X110">IF(SUMPRODUCT((户型资产表!E:E=I110)*((户型资产表!I:I="沙发01单人")+(户型资产表!I:I="单人沙发02")))&gt;0,"有","无")</f>
        <v>无</v>
      </c>
      <c r="Y110" s="52" t="str" cm="1">
        <f t="array" ref="Y110">IF(SUMPRODUCT((户型资产表!E:E=I110)*((户型资产表!I:I="沙发02两人")+(户型资产表!I:I="双人沙发01")))&gt;0,"有","无")</f>
        <v>无</v>
      </c>
      <c r="Z110" s="52" t="str">
        <f>IF(COUNTIFS(户型资产表!E:E,I110,户型资产表!H:H,"餐桌")&gt;0,"有","无")</f>
        <v>无</v>
      </c>
      <c r="AA110" s="52" t="str">
        <f>IF(COUNTIFS(户型资产表!E:E,I110,户型资产表!H:H,"吸油烟机")&gt;0,"有","无")</f>
        <v>无</v>
      </c>
      <c r="AB110" s="52" t="str">
        <f>IF(COUNTIFS(户型资产表!E:E,I110,户型资产表!H:H,"冰箱")&gt;0,"有","无")</f>
        <v>无</v>
      </c>
      <c r="AC110" s="52" t="str">
        <f>IF(COUNTIFS(户型资产表!E:E,I110,户型资产表!H:H,"电视柜")&gt;0,"有","无")</f>
        <v>无</v>
      </c>
      <c r="AD110" s="51" t="str">
        <f t="shared" si="28"/>
        <v>适中</v>
      </c>
      <c r="AE110" s="52">
        <f>VLOOKUP($AD$1&amp;AD110,【1】定价因子!E:F,2,0)</f>
        <v>1</v>
      </c>
      <c r="AF110" s="51" t="str">
        <f t="shared" si="29"/>
        <v>适中</v>
      </c>
      <c r="AG110" s="52">
        <f>VLOOKUP($AF$1&amp;AF110,【1】定价因子!E:F,2,0)</f>
        <v>1</v>
      </c>
      <c r="AH110" s="51" t="str">
        <f t="shared" si="30"/>
        <v>适中</v>
      </c>
      <c r="AI110" s="52">
        <f>VLOOKUP($AH$1&amp;AH110,【1】定价因子!E:F,2,0)</f>
        <v>1</v>
      </c>
      <c r="AJ110" s="52" t="str">
        <f>VLOOKUP(H110,'【3-1】大区填-采光基本要素'!A:H,8,0)</f>
        <v>2</v>
      </c>
      <c r="AK110" s="52">
        <f>VLOOKUP($AJ$1&amp;AJ110,【1】定价因子!E:F,2,0)</f>
        <v>0.96</v>
      </c>
      <c r="AL110" s="53">
        <f t="shared" si="31"/>
        <v>1640.27176992</v>
      </c>
      <c r="AM110" s="54">
        <v>1498</v>
      </c>
      <c r="AN110" s="55">
        <f t="shared" si="32"/>
        <v>-0.086736705788053</v>
      </c>
      <c r="AO110" s="56">
        <f t="shared" si="27"/>
        <v>1508</v>
      </c>
    </row>
    <row r="111" spans="1:42">
      <c r="A111" s="47" t="str">
        <f>'【2】运营中心填-基本信息&amp;审核标准'!$E$2</f>
        <v>福围广生7-16、17栋</v>
      </c>
      <c r="B111" s="13"/>
      <c r="C111" s="13"/>
      <c r="D111" s="13"/>
      <c r="E111" s="13"/>
      <c r="F111" s="13"/>
      <c r="G111" s="13"/>
      <c r="H111" s="48">
        <v>912</v>
      </c>
      <c r="I111" s="49" t="s">
        <v>494</v>
      </c>
      <c r="J111" s="49" t="s">
        <v>40</v>
      </c>
      <c r="K111" s="13"/>
      <c r="L111" s="50">
        <f>VLOOKUP(J111,'【3】大区填-楼栋基准格局定价'!B:H,7,0)</f>
        <v>1658.8509</v>
      </c>
      <c r="M111" s="51" t="s">
        <v>61</v>
      </c>
      <c r="N111" s="51">
        <v>17.58</v>
      </c>
      <c r="O111" s="52"/>
      <c r="P111" s="52" t="str">
        <f>IF(COUNTIFS(户型资产表!E:E,I111,户型资产表!H:H,"阳台门")&gt;0,"有","无")</f>
        <v>无</v>
      </c>
      <c r="Q111" s="52"/>
      <c r="R111" s="52" t="str">
        <f>IF('【2】运营中心填-基本信息&amp;审核标准'!$D$4="是","无",IF(INT(H111/100)&gt;9,"9F",INT(H111/100)&amp;"F"))</f>
        <v>无</v>
      </c>
      <c r="S111" s="52">
        <f>VLOOKUP(R111,【1】定价因子!D:F,3,0)</f>
        <v>1</v>
      </c>
      <c r="T111" s="52" t="str">
        <f>IF('【2】运营中心填-基本信息&amp;审核标准'!$D$4="否","无",IF(INT(H111/100)=1,"1F",IF(AND(INT(H111/100)&gt;=2,INT(H111/100)&lt;=3),"2-3F",IF(INT(H111/100)=4,"4F",IF(AND(INT(H111/100)&gt;=5,INT(H111/100)&lt;=6),"5-6F",IF(AND(INT(H111/100)&gt;=7,INT(H111/100)&lt;=8),"7-8F",IF(AND(INT(H111/100)&gt;=9,INT(H111/100)&lt;=10),"9-10F",IF(AND(INT(H111/100)&gt;=11,INT(H111/100)&lt;=12),"11-12F",IF(INT(H111/100)&gt;=13,"13以上F","")))))))))</f>
        <v>9-10F</v>
      </c>
      <c r="U111" s="52">
        <f>VLOOKUP($T$1&amp;T111,【1】定价因子!E:F,2,0)</f>
        <v>1.03</v>
      </c>
      <c r="V111" s="52" t="str">
        <f>IF(COUNTIFS(户型资产表!E:E,I111,户型资产表!H:H,"操作台")&gt;0,"有","无")</f>
        <v>有</v>
      </c>
      <c r="W111" s="52" t="str">
        <f>IF(COUNTIFS(户型资产表!E:E,I111,户型资产表!H:H,"书桌")&gt;0,"有","无")</f>
        <v>有</v>
      </c>
      <c r="X111" s="52" t="str" cm="1">
        <f t="array" ref="X111">IF(SUMPRODUCT((户型资产表!E:E=I111)*((户型资产表!I:I="沙发01单人")+(户型资产表!I:I="单人沙发02")))&gt;0,"有","无")</f>
        <v>无</v>
      </c>
      <c r="Y111" s="52" t="str" cm="1">
        <f t="array" ref="Y111">IF(SUMPRODUCT((户型资产表!E:E=I111)*((户型资产表!I:I="沙发02两人")+(户型资产表!I:I="双人沙发01")))&gt;0,"有","无")</f>
        <v>无</v>
      </c>
      <c r="Z111" s="52" t="str">
        <f>IF(COUNTIFS(户型资产表!E:E,I111,户型资产表!H:H,"餐桌")&gt;0,"有","无")</f>
        <v>无</v>
      </c>
      <c r="AA111" s="52" t="str">
        <f>IF(COUNTIFS(户型资产表!E:E,I111,户型资产表!H:H,"吸油烟机")&gt;0,"有","无")</f>
        <v>无</v>
      </c>
      <c r="AB111" s="52" t="str">
        <f>IF(COUNTIFS(户型资产表!E:E,I111,户型资产表!H:H,"冰箱")&gt;0,"有","无")</f>
        <v>无</v>
      </c>
      <c r="AC111" s="52" t="str">
        <f>IF(COUNTIFS(户型资产表!E:E,I111,户型资产表!H:H,"电视柜")&gt;0,"有","无")</f>
        <v>无</v>
      </c>
      <c r="AD111" s="51" t="str">
        <f t="shared" si="28"/>
        <v>适中</v>
      </c>
      <c r="AE111" s="52">
        <f>VLOOKUP($AD$1&amp;AD111,【1】定价因子!E:F,2,0)</f>
        <v>1</v>
      </c>
      <c r="AF111" s="51" t="str">
        <f t="shared" si="29"/>
        <v>适中</v>
      </c>
      <c r="AG111" s="52">
        <f>VLOOKUP($AF$1&amp;AF111,【1】定价因子!E:F,2,0)</f>
        <v>1</v>
      </c>
      <c r="AH111" s="51" t="str">
        <f t="shared" si="30"/>
        <v>适中</v>
      </c>
      <c r="AI111" s="52">
        <f>VLOOKUP($AH$1&amp;AH111,【1】定价因子!E:F,2,0)</f>
        <v>1</v>
      </c>
      <c r="AJ111" s="52" t="str">
        <f>VLOOKUP(H111,'【3-1】大区填-采光基本要素'!A:H,8,0)</f>
        <v>2</v>
      </c>
      <c r="AK111" s="52">
        <f>VLOOKUP($AJ$1&amp;AJ111,【1】定价因子!E:F,2,0)</f>
        <v>0.96</v>
      </c>
      <c r="AL111" s="53">
        <f t="shared" si="31"/>
        <v>1640.27176992</v>
      </c>
      <c r="AM111" s="54">
        <v>1498</v>
      </c>
      <c r="AN111" s="55">
        <f t="shared" si="32"/>
        <v>-0.086736705788053</v>
      </c>
      <c r="AO111" s="56">
        <f t="shared" si="27"/>
        <v>1508</v>
      </c>
    </row>
    <row r="112" spans="1:42">
      <c r="A112" s="47" t="str">
        <f>'【2】运营中心填-基本信息&amp;审核标准'!$E$2</f>
        <v>福围广生7-16、17栋</v>
      </c>
      <c r="B112" s="13"/>
      <c r="C112" s="13"/>
      <c r="D112" s="13"/>
      <c r="E112" s="13"/>
      <c r="F112" s="13"/>
      <c r="G112" s="13"/>
      <c r="H112" s="48">
        <v>913</v>
      </c>
      <c r="I112" s="49" t="s">
        <v>493</v>
      </c>
      <c r="J112" s="49" t="s">
        <v>43</v>
      </c>
      <c r="K112" s="13"/>
      <c r="L112" s="50">
        <f>VLOOKUP(J112,'【3】大区填-楼栋基准格局定价'!B:H,7,0)</f>
        <v>2472.1725</v>
      </c>
      <c r="M112" s="51" t="s">
        <v>65</v>
      </c>
      <c r="N112" s="51">
        <v>20.18</v>
      </c>
      <c r="O112" s="52"/>
      <c r="P112" s="52" t="str">
        <f>IF(COUNTIFS(户型资产表!E:E,I112,户型资产表!H:H,"阳台门")&gt;0,"有","无")</f>
        <v>无</v>
      </c>
      <c r="Q112" s="52"/>
      <c r="R112" s="52" t="str">
        <f>IF('【2】运营中心填-基本信息&amp;审核标准'!$D$4="是","无",IF(INT(H112/100)&gt;9,"9F",INT(H112/100)&amp;"F"))</f>
        <v>无</v>
      </c>
      <c r="S112" s="52">
        <f>VLOOKUP(R112,【1】定价因子!D:F,3,0)</f>
        <v>1</v>
      </c>
      <c r="T112" s="52" t="str">
        <f>IF('【2】运营中心填-基本信息&amp;审核标准'!$D$4="否","无",IF(INT(H112/100)=1,"1F",IF(AND(INT(H112/100)&gt;=2,INT(H112/100)&lt;=3),"2-3F",IF(INT(H112/100)=4,"4F",IF(AND(INT(H112/100)&gt;=5,INT(H112/100)&lt;=6),"5-6F",IF(AND(INT(H112/100)&gt;=7,INT(H112/100)&lt;=8),"7-8F",IF(AND(INT(H112/100)&gt;=9,INT(H112/100)&lt;=10),"9-10F",IF(AND(INT(H112/100)&gt;=11,INT(H112/100)&lt;=12),"11-12F",IF(INT(H112/100)&gt;=13,"13以上F","")))))))))</f>
        <v>9-10F</v>
      </c>
      <c r="U112" s="52">
        <f>VLOOKUP($T$1&amp;T112,【1】定价因子!E:F,2,0)</f>
        <v>1.03</v>
      </c>
      <c r="V112" s="52" t="str">
        <f>IF(COUNTIFS(户型资产表!E:E,I112,户型资产表!H:H,"操作台")&gt;0,"有","无")</f>
        <v>有</v>
      </c>
      <c r="W112" s="52" t="str">
        <f>IF(COUNTIFS(户型资产表!E:E,I112,户型资产表!H:H,"书桌")&gt;0,"有","无")</f>
        <v>无</v>
      </c>
      <c r="X112" s="52" t="str" cm="1">
        <f t="array" ref="X112">IF(SUMPRODUCT((户型资产表!E:E=I112)*((户型资产表!I:I="沙发01单人")+(户型资产表!I:I="单人沙发02")))&gt;0,"有","无")</f>
        <v>无</v>
      </c>
      <c r="Y112" s="52" t="str" cm="1">
        <f t="array" ref="Y112">IF(SUMPRODUCT((户型资产表!E:E=I112)*((户型资产表!I:I="沙发02两人")+(户型资产表!I:I="双人沙发01")))&gt;0,"有","无")</f>
        <v>有</v>
      </c>
      <c r="Z112" s="52" t="str">
        <f>IF(COUNTIFS(户型资产表!E:E,I112,户型资产表!H:H,"餐桌")&gt;0,"有","无")</f>
        <v>有</v>
      </c>
      <c r="AA112" s="52" t="str">
        <f>IF(COUNTIFS(户型资产表!E:E,I112,户型资产表!H:H,"吸油烟机")&gt;0,"有","无")</f>
        <v>无</v>
      </c>
      <c r="AB112" s="52" t="str">
        <f>IF(COUNTIFS(户型资产表!E:E,I112,户型资产表!H:H,"冰箱")&gt;0,"有","无")</f>
        <v>无</v>
      </c>
      <c r="AC112" s="52" t="str">
        <f>IF(COUNTIFS(户型资产表!E:E,I112,户型资产表!H:H,"电视柜")&gt;0,"有","无")</f>
        <v>无</v>
      </c>
      <c r="AD112" s="51" t="str">
        <f t="shared" si="28"/>
        <v>适中</v>
      </c>
      <c r="AE112" s="52">
        <f>VLOOKUP($AD$1&amp;AD112,【1】定价因子!E:F,2,0)</f>
        <v>1</v>
      </c>
      <c r="AF112" s="51" t="str">
        <f t="shared" si="29"/>
        <v>适中</v>
      </c>
      <c r="AG112" s="52">
        <f>VLOOKUP($AF$1&amp;AF112,【1】定价因子!E:F,2,0)</f>
        <v>1</v>
      </c>
      <c r="AH112" s="51" t="str">
        <f t="shared" si="30"/>
        <v>适中</v>
      </c>
      <c r="AI112" s="52">
        <f>VLOOKUP($AH$1&amp;AH112,【1】定价因子!E:F,2,0)</f>
        <v>1</v>
      </c>
      <c r="AJ112" s="52" t="str">
        <f>VLOOKUP(H112,'【3-1】大区填-采光基本要素'!A:H,8,0)</f>
        <v>2</v>
      </c>
      <c r="AK112" s="52">
        <f>VLOOKUP($AJ$1&amp;AJ112,【1】定价因子!E:F,2,0)</f>
        <v>0.96</v>
      </c>
      <c r="AL112" s="53">
        <f t="shared" si="31"/>
        <v>2444.484168</v>
      </c>
      <c r="AM112" s="54">
        <v>2298</v>
      </c>
      <c r="AN112" s="55">
        <f t="shared" si="32"/>
        <v>-0.059924367650885</v>
      </c>
      <c r="AO112" s="56">
        <f t="shared" si="27"/>
        <v>2308</v>
      </c>
    </row>
    <row r="113" spans="1:42">
      <c r="A113" s="47" t="str">
        <f>'【2】运营中心填-基本信息&amp;审核标准'!$E$2</f>
        <v>福围广生7-16、17栋</v>
      </c>
      <c r="B113" s="13"/>
      <c r="C113" s="13"/>
      <c r="D113" s="13"/>
      <c r="E113" s="13"/>
      <c r="F113" s="13"/>
      <c r="G113" s="13"/>
      <c r="H113" s="48">
        <v>914</v>
      </c>
      <c r="I113" s="49" t="s">
        <v>491</v>
      </c>
      <c r="J113" s="49" t="s">
        <v>43</v>
      </c>
      <c r="K113" s="13"/>
      <c r="L113" s="50">
        <f>VLOOKUP(J113,'【3】大区填-楼栋基准格局定价'!B:H,7,0)</f>
        <v>2472.1725</v>
      </c>
      <c r="M113" s="51" t="s">
        <v>63</v>
      </c>
      <c r="N113" s="51">
        <v>23.39</v>
      </c>
      <c r="O113" s="52"/>
      <c r="P113" s="52" t="str">
        <f>IF(COUNTIFS(户型资产表!E:E,I113,户型资产表!H:H,"阳台门")&gt;0,"有","无")</f>
        <v>无</v>
      </c>
      <c r="Q113" s="52"/>
      <c r="R113" s="52" t="str">
        <f>IF('【2】运营中心填-基本信息&amp;审核标准'!$D$4="是","无",IF(INT(H113/100)&gt;9,"9F",INT(H113/100)&amp;"F"))</f>
        <v>无</v>
      </c>
      <c r="S113" s="52">
        <f>VLOOKUP(R113,【1】定价因子!D:F,3,0)</f>
        <v>1</v>
      </c>
      <c r="T113" s="52" t="str">
        <f>IF('【2】运营中心填-基本信息&amp;审核标准'!$D$4="否","无",IF(INT(H113/100)=1,"1F",IF(AND(INT(H113/100)&gt;=2,INT(H113/100)&lt;=3),"2-3F",IF(INT(H113/100)=4,"4F",IF(AND(INT(H113/100)&gt;=5,INT(H113/100)&lt;=6),"5-6F",IF(AND(INT(H113/100)&gt;=7,INT(H113/100)&lt;=8),"7-8F",IF(AND(INT(H113/100)&gt;=9,INT(H113/100)&lt;=10),"9-10F",IF(AND(INT(H113/100)&gt;=11,INT(H113/100)&lt;=12),"11-12F",IF(INT(H113/100)&gt;=13,"13以上F","")))))))))</f>
        <v>9-10F</v>
      </c>
      <c r="U113" s="52">
        <f>VLOOKUP($T$1&amp;T113,【1】定价因子!E:F,2,0)</f>
        <v>1.03</v>
      </c>
      <c r="V113" s="52" t="str">
        <f>IF(COUNTIFS(户型资产表!E:E,I113,户型资产表!H:H,"操作台")&gt;0,"有","无")</f>
        <v>有</v>
      </c>
      <c r="W113" s="52" t="str">
        <f>IF(COUNTIFS(户型资产表!E:E,I113,户型资产表!H:H,"书桌")&gt;0,"有","无")</f>
        <v>无</v>
      </c>
      <c r="X113" s="52" t="str" cm="1">
        <f t="array" ref="X113">IF(SUMPRODUCT((户型资产表!E:E=I113)*((户型资产表!I:I="沙发01单人")+(户型资产表!I:I="单人沙发02")))&gt;0,"有","无")</f>
        <v>无</v>
      </c>
      <c r="Y113" s="52" t="str" cm="1">
        <f t="array" ref="Y113">IF(SUMPRODUCT((户型资产表!E:E=I113)*((户型资产表!I:I="沙发02两人")+(户型资产表!I:I="双人沙发01")))&gt;0,"有","无")</f>
        <v>有</v>
      </c>
      <c r="Z113" s="52" t="str">
        <f>IF(COUNTIFS(户型资产表!E:E,I113,户型资产表!H:H,"餐桌")&gt;0,"有","无")</f>
        <v>有</v>
      </c>
      <c r="AA113" s="52" t="str">
        <f>IF(COUNTIFS(户型资产表!E:E,I113,户型资产表!H:H,"吸油烟机")&gt;0,"有","无")</f>
        <v>无</v>
      </c>
      <c r="AB113" s="52" t="str">
        <f>IF(COUNTIFS(户型资产表!E:E,I113,户型资产表!H:H,"冰箱")&gt;0,"有","无")</f>
        <v>无</v>
      </c>
      <c r="AC113" s="52" t="str">
        <f>IF(COUNTIFS(户型资产表!E:E,I113,户型资产表!H:H,"电视柜")&gt;0,"有","无")</f>
        <v>无</v>
      </c>
      <c r="AD113" s="51" t="str">
        <f t="shared" si="28"/>
        <v>适中</v>
      </c>
      <c r="AE113" s="52">
        <f>VLOOKUP($AD$1&amp;AD113,【1】定价因子!E:F,2,0)</f>
        <v>1</v>
      </c>
      <c r="AF113" s="51" t="str">
        <f t="shared" si="29"/>
        <v>适中</v>
      </c>
      <c r="AG113" s="52">
        <f>VLOOKUP($AF$1&amp;AF113,【1】定价因子!E:F,2,0)</f>
        <v>1</v>
      </c>
      <c r="AH113" s="51" t="str">
        <f t="shared" si="30"/>
        <v>适中</v>
      </c>
      <c r="AI113" s="52">
        <f>VLOOKUP($AH$1&amp;AH113,【1】定价因子!E:F,2,0)</f>
        <v>1</v>
      </c>
      <c r="AJ113" s="52" t="str">
        <f>VLOOKUP(H113,'【3-1】大区填-采光基本要素'!A:H,8,0)</f>
        <v>2</v>
      </c>
      <c r="AK113" s="52">
        <f>VLOOKUP($AJ$1&amp;AJ113,【1】定价因子!E:F,2,0)</f>
        <v>0.96</v>
      </c>
      <c r="AL113" s="53">
        <f t="shared" si="31"/>
        <v>2444.484168</v>
      </c>
      <c r="AM113" s="54">
        <v>2298</v>
      </c>
      <c r="AN113" s="55">
        <f t="shared" si="32"/>
        <v>-0.059924367650885</v>
      </c>
      <c r="AO113" s="56">
        <f t="shared" si="27"/>
        <v>2308</v>
      </c>
    </row>
    <row r="114" spans="1:42">
      <c r="A114" s="47" t="str">
        <f>'【2】运营中心填-基本信息&amp;审核标准'!$E$2</f>
        <v>福围广生7-16、17栋</v>
      </c>
      <c r="B114" s="13"/>
      <c r="C114" s="13"/>
      <c r="D114" s="13"/>
      <c r="E114" s="13"/>
      <c r="F114" s="13"/>
      <c r="G114" s="13"/>
      <c r="H114" s="48">
        <v>1001</v>
      </c>
      <c r="I114" s="49" t="s">
        <v>491</v>
      </c>
      <c r="J114" s="49" t="s">
        <v>43</v>
      </c>
      <c r="K114" s="13"/>
      <c r="L114" s="50">
        <f>VLOOKUP(J114,'【3】大区填-楼栋基准格局定价'!B:H,7,0)</f>
        <v>2472.1725</v>
      </c>
      <c r="M114" s="51" t="s">
        <v>65</v>
      </c>
      <c r="N114" s="51">
        <v>22.14</v>
      </c>
      <c r="O114" s="52"/>
      <c r="P114" s="52" t="str">
        <f>IF(COUNTIFS(户型资产表!E:E,I114,户型资产表!H:H,"阳台门")&gt;0,"有","无")</f>
        <v>无</v>
      </c>
      <c r="Q114" s="52"/>
      <c r="R114" s="52" t="str">
        <f>IF('【2】运营中心填-基本信息&amp;审核标准'!$D$4="是","无",IF(INT(H114/100)&gt;9,"9F",INT(H114/100)&amp;"F"))</f>
        <v>无</v>
      </c>
      <c r="S114" s="52">
        <f>VLOOKUP(R114,【1】定价因子!D:F,3,0)</f>
        <v>1</v>
      </c>
      <c r="T114" s="52" t="str">
        <f>IF('【2】运营中心填-基本信息&amp;审核标准'!$D$4="否","无",IF(INT(H114/100)=1,"1F",IF(AND(INT(H114/100)&gt;=2,INT(H114/100)&lt;=3),"2-3F",IF(INT(H114/100)=4,"4F",IF(AND(INT(H114/100)&gt;=5,INT(H114/100)&lt;=6),"5-6F",IF(AND(INT(H114/100)&gt;=7,INT(H114/100)&lt;=8),"7-8F",IF(AND(INT(H114/100)&gt;=9,INT(H114/100)&lt;=10),"9-10F",IF(AND(INT(H114/100)&gt;=11,INT(H114/100)&lt;=12),"11-12F",IF(INT(H114/100)&gt;=13,"13以上F","")))))))))</f>
        <v>9-10F</v>
      </c>
      <c r="U114" s="52">
        <f>VLOOKUP($T$1&amp;T114,【1】定价因子!E:F,2,0)</f>
        <v>1.03</v>
      </c>
      <c r="V114" s="52" t="str">
        <f>IF(COUNTIFS(户型资产表!E:E,I114,户型资产表!H:H,"操作台")&gt;0,"有","无")</f>
        <v>有</v>
      </c>
      <c r="W114" s="52" t="str">
        <f>IF(COUNTIFS(户型资产表!E:E,I114,户型资产表!H:H,"书桌")&gt;0,"有","无")</f>
        <v>无</v>
      </c>
      <c r="X114" s="52" t="str" cm="1">
        <f t="array" ref="X114">IF(SUMPRODUCT((户型资产表!E:E=I114)*((户型资产表!I:I="沙发01单人")+(户型资产表!I:I="单人沙发02")))&gt;0,"有","无")</f>
        <v>无</v>
      </c>
      <c r="Y114" s="52" t="str" cm="1">
        <f t="array" ref="Y114">IF(SUMPRODUCT((户型资产表!E:E=I114)*((户型资产表!I:I="沙发02两人")+(户型资产表!I:I="双人沙发01")))&gt;0,"有","无")</f>
        <v>有</v>
      </c>
      <c r="Z114" s="52" t="str">
        <f>IF(COUNTIFS(户型资产表!E:E,I114,户型资产表!H:H,"餐桌")&gt;0,"有","无")</f>
        <v>有</v>
      </c>
      <c r="AA114" s="52" t="str">
        <f>IF(COUNTIFS(户型资产表!E:E,I114,户型资产表!H:H,"吸油烟机")&gt;0,"有","无")</f>
        <v>无</v>
      </c>
      <c r="AB114" s="52" t="str">
        <f>IF(COUNTIFS(户型资产表!E:E,I114,户型资产表!H:H,"冰箱")&gt;0,"有","无")</f>
        <v>无</v>
      </c>
      <c r="AC114" s="52" t="str">
        <f>IF(COUNTIFS(户型资产表!E:E,I114,户型资产表!H:H,"电视柜")&gt;0,"有","无")</f>
        <v>无</v>
      </c>
      <c r="AD114" s="51" t="str">
        <f t="shared" si="28"/>
        <v>适中</v>
      </c>
      <c r="AE114" s="52">
        <f>VLOOKUP($AD$1&amp;AD114,【1】定价因子!E:F,2,0)</f>
        <v>1</v>
      </c>
      <c r="AF114" s="51" t="str">
        <f t="shared" si="29"/>
        <v>适中</v>
      </c>
      <c r="AG114" s="52">
        <f>VLOOKUP($AF$1&amp;AF114,【1】定价因子!E:F,2,0)</f>
        <v>1</v>
      </c>
      <c r="AH114" s="51" t="str">
        <f t="shared" si="30"/>
        <v>适中</v>
      </c>
      <c r="AI114" s="52">
        <f>VLOOKUP($AH$1&amp;AH114,【1】定价因子!E:F,2,0)</f>
        <v>1</v>
      </c>
      <c r="AJ114" s="52" t="str">
        <f>VLOOKUP(H114,'【3-1】大区填-采光基本要素'!A:H,8,0)</f>
        <v>2</v>
      </c>
      <c r="AK114" s="52">
        <f>VLOOKUP($AJ$1&amp;AJ114,【1】定价因子!E:F,2,0)</f>
        <v>0.96</v>
      </c>
      <c r="AL114" s="53">
        <f t="shared" si="31"/>
        <v>2444.484168</v>
      </c>
      <c r="AM114" s="54">
        <v>2448</v>
      </c>
      <c r="AN114" s="55">
        <f t="shared" si="32"/>
        <v>0.00143827153639386</v>
      </c>
      <c r="AO114" s="56">
        <f t="shared" si="27"/>
        <v>2458</v>
      </c>
    </row>
    <row r="115" spans="1:42">
      <c r="A115" s="47" t="str">
        <f>'【2】运营中心填-基本信息&amp;审核标准'!$E$2</f>
        <v>福围广生7-16、17栋</v>
      </c>
      <c r="B115" s="13"/>
      <c r="C115" s="13"/>
      <c r="D115" s="13"/>
      <c r="E115" s="13"/>
      <c r="F115" s="13"/>
      <c r="G115" s="13"/>
      <c r="H115" s="48">
        <v>1002</v>
      </c>
      <c r="I115" s="49" t="s">
        <v>492</v>
      </c>
      <c r="J115" s="49" t="s">
        <v>40</v>
      </c>
      <c r="K115" s="13"/>
      <c r="L115" s="50">
        <f>VLOOKUP(J115,'【3】大区填-楼栋基准格局定价'!B:H,7,0)</f>
        <v>1658.8509</v>
      </c>
      <c r="M115" s="51" t="s">
        <v>58</v>
      </c>
      <c r="N115" s="51">
        <v>21.67</v>
      </c>
      <c r="O115" s="52"/>
      <c r="P115" s="52" t="str">
        <f>IF(COUNTIFS(户型资产表!E:E,I115,户型资产表!H:H,"阳台门")&gt;0,"有","无")</f>
        <v>无</v>
      </c>
      <c r="Q115" s="52"/>
      <c r="R115" s="52" t="str">
        <f>IF('【2】运营中心填-基本信息&amp;审核标准'!$D$4="是","无",IF(INT(H115/100)&gt;9,"9F",INT(H115/100)&amp;"F"))</f>
        <v>无</v>
      </c>
      <c r="S115" s="52">
        <f>VLOOKUP(R115,【1】定价因子!D:F,3,0)</f>
        <v>1</v>
      </c>
      <c r="T115" s="52" t="str">
        <f>IF('【2】运营中心填-基本信息&amp;审核标准'!$D$4="否","无",IF(INT(H115/100)=1,"1F",IF(AND(INT(H115/100)&gt;=2,INT(H115/100)&lt;=3),"2-3F",IF(INT(H115/100)=4,"4F",IF(AND(INT(H115/100)&gt;=5,INT(H115/100)&lt;=6),"5-6F",IF(AND(INT(H115/100)&gt;=7,INT(H115/100)&lt;=8),"7-8F",IF(AND(INT(H115/100)&gt;=9,INT(H115/100)&lt;=10),"9-10F",IF(AND(INT(H115/100)&gt;=11,INT(H115/100)&lt;=12),"11-12F",IF(INT(H115/100)&gt;=13,"13以上F","")))))))))</f>
        <v>9-10F</v>
      </c>
      <c r="U115" s="52">
        <f>VLOOKUP($T$1&amp;T115,【1】定价因子!E:F,2,0)</f>
        <v>1.03</v>
      </c>
      <c r="V115" s="52" t="str">
        <f>IF(COUNTIFS(户型资产表!E:E,I115,户型资产表!H:H,"操作台")&gt;0,"有","无")</f>
        <v>有</v>
      </c>
      <c r="W115" s="52" t="str">
        <f>IF(COUNTIFS(户型资产表!E:E,I115,户型资产表!H:H,"书桌")&gt;0,"有","无")</f>
        <v>有</v>
      </c>
      <c r="X115" s="52" t="str" cm="1">
        <f t="array" ref="X115">IF(SUMPRODUCT((户型资产表!E:E=I115)*((户型资产表!I:I="沙发01单人")+(户型资产表!I:I="单人沙发02")))&gt;0,"有","无")</f>
        <v>无</v>
      </c>
      <c r="Y115" s="52" t="str" cm="1">
        <f t="array" ref="Y115">IF(SUMPRODUCT((户型资产表!E:E=I115)*((户型资产表!I:I="沙发02两人")+(户型资产表!I:I="双人沙发01")))&gt;0,"有","无")</f>
        <v>无</v>
      </c>
      <c r="Z115" s="52" t="str">
        <f>IF(COUNTIFS(户型资产表!E:E,I115,户型资产表!H:H,"餐桌")&gt;0,"有","无")</f>
        <v>无</v>
      </c>
      <c r="AA115" s="52" t="str">
        <f>IF(COUNTIFS(户型资产表!E:E,I115,户型资产表!H:H,"吸油烟机")&gt;0,"有","无")</f>
        <v>无</v>
      </c>
      <c r="AB115" s="52" t="str">
        <f>IF(COUNTIFS(户型资产表!E:E,I115,户型资产表!H:H,"冰箱")&gt;0,"有","无")</f>
        <v>无</v>
      </c>
      <c r="AC115" s="52" t="str">
        <f>IF(COUNTIFS(户型资产表!E:E,I115,户型资产表!H:H,"电视柜")&gt;0,"有","无")</f>
        <v>无</v>
      </c>
      <c r="AD115" s="51" t="str">
        <f t="shared" si="28"/>
        <v>适中</v>
      </c>
      <c r="AE115" s="52">
        <f>VLOOKUP($AD$1&amp;AD115,【1】定价因子!E:F,2,0)</f>
        <v>1</v>
      </c>
      <c r="AF115" s="51" t="str">
        <f t="shared" si="29"/>
        <v>适中</v>
      </c>
      <c r="AG115" s="52">
        <f>VLOOKUP($AF$1&amp;AF115,【1】定价因子!E:F,2,0)</f>
        <v>1</v>
      </c>
      <c r="AH115" s="51" t="str">
        <f t="shared" si="30"/>
        <v>适中</v>
      </c>
      <c r="AI115" s="52">
        <f>VLOOKUP($AH$1&amp;AH115,【1】定价因子!E:F,2,0)</f>
        <v>1</v>
      </c>
      <c r="AJ115" s="52" t="str">
        <f>VLOOKUP(H115,'【3-1】大区填-采光基本要素'!A:H,8,0)</f>
        <v>2</v>
      </c>
      <c r="AK115" s="52">
        <f>VLOOKUP($AJ$1&amp;AJ115,【1】定价因子!E:F,2,0)</f>
        <v>0.96</v>
      </c>
      <c r="AL115" s="53">
        <f t="shared" si="31"/>
        <v>1640.27176992</v>
      </c>
      <c r="AM115" s="54">
        <v>1498</v>
      </c>
      <c r="AN115" s="55">
        <f t="shared" si="32"/>
        <v>-0.086736705788053</v>
      </c>
      <c r="AO115" s="56">
        <f t="shared" si="27"/>
        <v>1508</v>
      </c>
    </row>
    <row r="116" spans="1:42">
      <c r="A116" s="47" t="str">
        <f>'【2】运营中心填-基本信息&amp;审核标准'!$E$2</f>
        <v>福围广生7-16、17栋</v>
      </c>
      <c r="B116" s="13"/>
      <c r="C116" s="13"/>
      <c r="D116" s="13"/>
      <c r="E116" s="13"/>
      <c r="F116" s="13"/>
      <c r="G116" s="13"/>
      <c r="H116" s="48">
        <v>1003</v>
      </c>
      <c r="I116" s="49" t="s">
        <v>492</v>
      </c>
      <c r="J116" s="49" t="s">
        <v>40</v>
      </c>
      <c r="K116" s="13"/>
      <c r="L116" s="50">
        <f>VLOOKUP(J116,'【3】大区填-楼栋基准格局定价'!B:H,7,0)</f>
        <v>1658.8509</v>
      </c>
      <c r="M116" s="51" t="s">
        <v>63</v>
      </c>
      <c r="N116" s="51">
        <v>16.32</v>
      </c>
      <c r="O116" s="52"/>
      <c r="P116" s="52" t="str">
        <f>IF(COUNTIFS(户型资产表!E:E,I116,户型资产表!H:H,"阳台门")&gt;0,"有","无")</f>
        <v>无</v>
      </c>
      <c r="Q116" s="52"/>
      <c r="R116" s="52" t="str">
        <f>IF('【2】运营中心填-基本信息&amp;审核标准'!$D$4="是","无",IF(INT(H116/100)&gt;9,"9F",INT(H116/100)&amp;"F"))</f>
        <v>无</v>
      </c>
      <c r="S116" s="52">
        <f>VLOOKUP(R116,【1】定价因子!D:F,3,0)</f>
        <v>1</v>
      </c>
      <c r="T116" s="52" t="str">
        <f>IF('【2】运营中心填-基本信息&amp;审核标准'!$D$4="否","无",IF(INT(H116/100)=1,"1F",IF(AND(INT(H116/100)&gt;=2,INT(H116/100)&lt;=3),"2-3F",IF(INT(H116/100)=4,"4F",IF(AND(INT(H116/100)&gt;=5,INT(H116/100)&lt;=6),"5-6F",IF(AND(INT(H116/100)&gt;=7,INT(H116/100)&lt;=8),"7-8F",IF(AND(INT(H116/100)&gt;=9,INT(H116/100)&lt;=10),"9-10F",IF(AND(INT(H116/100)&gt;=11,INT(H116/100)&lt;=12),"11-12F",IF(INT(H116/100)&gt;=13,"13以上F","")))))))))</f>
        <v>9-10F</v>
      </c>
      <c r="U116" s="52">
        <f>VLOOKUP($T$1&amp;T116,【1】定价因子!E:F,2,0)</f>
        <v>1.03</v>
      </c>
      <c r="V116" s="52" t="str">
        <f>IF(COUNTIFS(户型资产表!E:E,I116,户型资产表!H:H,"操作台")&gt;0,"有","无")</f>
        <v>有</v>
      </c>
      <c r="W116" s="52" t="str">
        <f>IF(COUNTIFS(户型资产表!E:E,I116,户型资产表!H:H,"书桌")&gt;0,"有","无")</f>
        <v>有</v>
      </c>
      <c r="X116" s="52" t="str" cm="1">
        <f t="array" ref="X116">IF(SUMPRODUCT((户型资产表!E:E=I116)*((户型资产表!I:I="沙发01单人")+(户型资产表!I:I="单人沙发02")))&gt;0,"有","无")</f>
        <v>无</v>
      </c>
      <c r="Y116" s="52" t="str" cm="1">
        <f t="array" ref="Y116">IF(SUMPRODUCT((户型资产表!E:E=I116)*((户型资产表!I:I="沙发02两人")+(户型资产表!I:I="双人沙发01")))&gt;0,"有","无")</f>
        <v>无</v>
      </c>
      <c r="Z116" s="52" t="str">
        <f>IF(COUNTIFS(户型资产表!E:E,I116,户型资产表!H:H,"餐桌")&gt;0,"有","无")</f>
        <v>无</v>
      </c>
      <c r="AA116" s="52" t="str">
        <f>IF(COUNTIFS(户型资产表!E:E,I116,户型资产表!H:H,"吸油烟机")&gt;0,"有","无")</f>
        <v>无</v>
      </c>
      <c r="AB116" s="52" t="str">
        <f>IF(COUNTIFS(户型资产表!E:E,I116,户型资产表!H:H,"冰箱")&gt;0,"有","无")</f>
        <v>无</v>
      </c>
      <c r="AC116" s="52" t="str">
        <f>IF(COUNTIFS(户型资产表!E:E,I116,户型资产表!H:H,"电视柜")&gt;0,"有","无")</f>
        <v>无</v>
      </c>
      <c r="AD116" s="51" t="str">
        <f t="shared" si="28"/>
        <v>适中</v>
      </c>
      <c r="AE116" s="52">
        <f>VLOOKUP($AD$1&amp;AD116,【1】定价因子!E:F,2,0)</f>
        <v>1</v>
      </c>
      <c r="AF116" s="51" t="str">
        <f t="shared" si="29"/>
        <v>适中</v>
      </c>
      <c r="AG116" s="52">
        <f>VLOOKUP($AF$1&amp;AF116,【1】定价因子!E:F,2,0)</f>
        <v>1</v>
      </c>
      <c r="AH116" s="51" t="str">
        <f t="shared" si="30"/>
        <v>适中</v>
      </c>
      <c r="AI116" s="52">
        <f>VLOOKUP($AH$1&amp;AH116,【1】定价因子!E:F,2,0)</f>
        <v>1</v>
      </c>
      <c r="AJ116" s="52" t="str">
        <f>VLOOKUP(H116,'【3-1】大区填-采光基本要素'!A:H,8,0)</f>
        <v>2</v>
      </c>
      <c r="AK116" s="52">
        <f>VLOOKUP($AJ$1&amp;AJ116,【1】定价因子!E:F,2,0)</f>
        <v>0.96</v>
      </c>
      <c r="AL116" s="53">
        <f t="shared" si="31"/>
        <v>1640.27176992</v>
      </c>
      <c r="AM116" s="54">
        <v>1498</v>
      </c>
      <c r="AN116" s="55">
        <f t="shared" si="32"/>
        <v>-0.086736705788053</v>
      </c>
      <c r="AO116" s="56">
        <f t="shared" si="27"/>
        <v>1508</v>
      </c>
    </row>
    <row r="117" s="34" customFormat="1" spans="1:42">
      <c r="A117" s="57" t="str">
        <f>'【2】运营中心填-基本信息&amp;审核标准'!$E$2</f>
        <v>福围广生7-16、17栋</v>
      </c>
      <c r="B117" s="57"/>
      <c r="C117" s="57"/>
      <c r="D117" s="57"/>
      <c r="E117" s="57"/>
      <c r="F117" s="57"/>
      <c r="G117" s="57"/>
      <c r="H117" s="58">
        <v>1004</v>
      </c>
      <c r="I117" s="59" t="s">
        <v>491</v>
      </c>
      <c r="J117" s="59" t="s">
        <v>43</v>
      </c>
      <c r="K117" s="57"/>
      <c r="L117" s="60">
        <f>VLOOKUP(J117,'【3】大区填-楼栋基准格局定价'!B:H,7,0)</f>
        <v>2472.1725</v>
      </c>
      <c r="M117" s="61" t="s">
        <v>65</v>
      </c>
      <c r="N117" s="61">
        <v>20.73</v>
      </c>
      <c r="O117" s="57"/>
      <c r="P117" s="57" t="str">
        <f>IF(COUNTIFS(户型资产表!E:E,I117,户型资产表!H:H,"阳台门")&gt;0,"有","无")</f>
        <v>无</v>
      </c>
      <c r="Q117" s="57"/>
      <c r="R117" s="57" t="str">
        <f>IF('【2】运营中心填-基本信息&amp;审核标准'!$D$4="是","无",IF(INT(H117/100)&gt;9,"9F",INT(H117/100)&amp;"F"))</f>
        <v>无</v>
      </c>
      <c r="S117" s="57">
        <f>VLOOKUP(R117,【1】定价因子!D:F,3,0)</f>
        <v>1</v>
      </c>
      <c r="T117" s="57" t="str">
        <f>IF('【2】运营中心填-基本信息&amp;审核标准'!$D$4="否","无",IF(INT(H117/100)=1,"1F",IF(AND(INT(H117/100)&gt;=2,INT(H117/100)&lt;=3),"2-3F",IF(INT(H117/100)=4,"4F",IF(AND(INT(H117/100)&gt;=5,INT(H117/100)&lt;=6),"5-6F",IF(AND(INT(H117/100)&gt;=7,INT(H117/100)&lt;=8),"7-8F",IF(AND(INT(H117/100)&gt;=9,INT(H117/100)&lt;=10),"9-10F",IF(AND(INT(H117/100)&gt;=11,INT(H117/100)&lt;=12),"11-12F",IF(INT(H117/100)&gt;=13,"13以上F","")))))))))</f>
        <v>9-10F</v>
      </c>
      <c r="U117" s="57">
        <f>VLOOKUP($T$1&amp;T117,【1】定价因子!E:F,2,0)</f>
        <v>1.03</v>
      </c>
      <c r="V117" s="57" t="str">
        <f>IF(COUNTIFS(户型资产表!E:E,I117,户型资产表!H:H,"操作台")&gt;0,"有","无")</f>
        <v>有</v>
      </c>
      <c r="W117" s="57" t="str">
        <f>IF(COUNTIFS(户型资产表!E:E,I117,户型资产表!H:H,"书桌")&gt;0,"有","无")</f>
        <v>无</v>
      </c>
      <c r="X117" s="57" t="str" cm="1">
        <f t="array" ref="X117">IF(SUMPRODUCT((户型资产表!E:E=I117)*((户型资产表!I:I="沙发01单人")+(户型资产表!I:I="单人沙发02")))&gt;0,"有","无")</f>
        <v>无</v>
      </c>
      <c r="Y117" s="57" t="str" cm="1">
        <f t="array" ref="Y117">IF(SUMPRODUCT((户型资产表!E:E=I117)*((户型资产表!I:I="沙发02两人")+(户型资产表!I:I="双人沙发01")))&gt;0,"有","无")</f>
        <v>有</v>
      </c>
      <c r="Z117" s="57" t="str">
        <f>IF(COUNTIFS(户型资产表!E:E,I117,户型资产表!H:H,"餐桌")&gt;0,"有","无")</f>
        <v>有</v>
      </c>
      <c r="AA117" s="57" t="str">
        <f>IF(COUNTIFS(户型资产表!E:E,I117,户型资产表!H:H,"吸油烟机")&gt;0,"有","无")</f>
        <v>无</v>
      </c>
      <c r="AB117" s="57" t="str">
        <f>IF(COUNTIFS(户型资产表!E:E,I117,户型资产表!H:H,"冰箱")&gt;0,"有","无")</f>
        <v>无</v>
      </c>
      <c r="AC117" s="57" t="str">
        <f>IF(COUNTIFS(户型资产表!E:E,I117,户型资产表!H:H,"电视柜")&gt;0,"有","无")</f>
        <v>无</v>
      </c>
      <c r="AD117" s="61" t="str">
        <f t="shared" si="28"/>
        <v>适中</v>
      </c>
      <c r="AE117" s="57">
        <f>VLOOKUP($AD$1&amp;AD117,【1】定价因子!E:F,2,0)</f>
        <v>1</v>
      </c>
      <c r="AF117" s="61" t="str">
        <f t="shared" si="29"/>
        <v>适中</v>
      </c>
      <c r="AG117" s="57">
        <f>VLOOKUP($AF$1&amp;AF117,【1】定价因子!E:F,2,0)</f>
        <v>1</v>
      </c>
      <c r="AH117" s="61" t="str">
        <f t="shared" si="30"/>
        <v>适中</v>
      </c>
      <c r="AI117" s="57">
        <f>VLOOKUP($AH$1&amp;AH117,【1】定价因子!E:F,2,0)</f>
        <v>1</v>
      </c>
      <c r="AJ117" s="57" t="str">
        <f>VLOOKUP(H117,'【3-1】大区填-采光基本要素'!A:H,8,0)</f>
        <v>2</v>
      </c>
      <c r="AK117" s="57">
        <f>VLOOKUP($AJ$1&amp;AJ117,【1】定价因子!E:F,2,0)</f>
        <v>0.96</v>
      </c>
      <c r="AL117" s="62">
        <f t="shared" si="31"/>
        <v>2444.484168</v>
      </c>
      <c r="AM117" s="63">
        <v>2150</v>
      </c>
      <c r="AN117" s="64">
        <f t="shared" si="32"/>
        <v>-0.120468838315667</v>
      </c>
      <c r="AO117" s="65">
        <f t="shared" si="27"/>
        <v>2160</v>
      </c>
      <c r="AP117" s="63">
        <v>2298</v>
      </c>
    </row>
    <row r="118" s="34" customFormat="1" spans="1:42">
      <c r="A118" s="57" t="str">
        <f>'【2】运营中心填-基本信息&amp;审核标准'!$E$2</f>
        <v>福围广生7-16、17栋</v>
      </c>
      <c r="B118" s="57"/>
      <c r="C118" s="57"/>
      <c r="D118" s="57"/>
      <c r="E118" s="57"/>
      <c r="F118" s="57"/>
      <c r="G118" s="57"/>
      <c r="H118" s="58">
        <v>1005</v>
      </c>
      <c r="I118" s="59" t="s">
        <v>493</v>
      </c>
      <c r="J118" s="59" t="s">
        <v>43</v>
      </c>
      <c r="K118" s="57"/>
      <c r="L118" s="60">
        <f>VLOOKUP(J118,'【3】大区填-楼栋基准格局定价'!B:H,7,0)</f>
        <v>2472.1725</v>
      </c>
      <c r="M118" s="61" t="s">
        <v>65</v>
      </c>
      <c r="N118" s="61">
        <v>21.83</v>
      </c>
      <c r="O118" s="57"/>
      <c r="P118" s="57" t="str">
        <f>IF(COUNTIFS(户型资产表!E:E,I118,户型资产表!H:H,"阳台门")&gt;0,"有","无")</f>
        <v>无</v>
      </c>
      <c r="Q118" s="57"/>
      <c r="R118" s="57" t="str">
        <f>IF('【2】运营中心填-基本信息&amp;审核标准'!$D$4="是","无",IF(INT(H118/100)&gt;9,"9F",INT(H118/100)&amp;"F"))</f>
        <v>无</v>
      </c>
      <c r="S118" s="57">
        <f>VLOOKUP(R118,【1】定价因子!D:F,3,0)</f>
        <v>1</v>
      </c>
      <c r="T118" s="57" t="str">
        <f>IF('【2】运营中心填-基本信息&amp;审核标准'!$D$4="否","无",IF(INT(H118/100)=1,"1F",IF(AND(INT(H118/100)&gt;=2,INT(H118/100)&lt;=3),"2-3F",IF(INT(H118/100)=4,"4F",IF(AND(INT(H118/100)&gt;=5,INT(H118/100)&lt;=6),"5-6F",IF(AND(INT(H118/100)&gt;=7,INT(H118/100)&lt;=8),"7-8F",IF(AND(INT(H118/100)&gt;=9,INT(H118/100)&lt;=10),"9-10F",IF(AND(INT(H118/100)&gt;=11,INT(H118/100)&lt;=12),"11-12F",IF(INT(H118/100)&gt;=13,"13以上F","")))))))))</f>
        <v>9-10F</v>
      </c>
      <c r="U118" s="57">
        <f>VLOOKUP($T$1&amp;T118,【1】定价因子!E:F,2,0)</f>
        <v>1.03</v>
      </c>
      <c r="V118" s="57" t="str">
        <f>IF(COUNTIFS(户型资产表!E:E,I118,户型资产表!H:H,"操作台")&gt;0,"有","无")</f>
        <v>有</v>
      </c>
      <c r="W118" s="57" t="str">
        <f>IF(COUNTIFS(户型资产表!E:E,I118,户型资产表!H:H,"书桌")&gt;0,"有","无")</f>
        <v>无</v>
      </c>
      <c r="X118" s="57" t="str" cm="1">
        <f t="array" ref="X118">IF(SUMPRODUCT((户型资产表!E:E=I118)*((户型资产表!I:I="沙发01单人")+(户型资产表!I:I="单人沙发02")))&gt;0,"有","无")</f>
        <v>无</v>
      </c>
      <c r="Y118" s="57" t="str" cm="1">
        <f t="array" ref="Y118">IF(SUMPRODUCT((户型资产表!E:E=I118)*((户型资产表!I:I="沙发02两人")+(户型资产表!I:I="双人沙发01")))&gt;0,"有","无")</f>
        <v>有</v>
      </c>
      <c r="Z118" s="57" t="str">
        <f>IF(COUNTIFS(户型资产表!E:E,I118,户型资产表!H:H,"餐桌")&gt;0,"有","无")</f>
        <v>有</v>
      </c>
      <c r="AA118" s="57" t="str">
        <f>IF(COUNTIFS(户型资产表!E:E,I118,户型资产表!H:H,"吸油烟机")&gt;0,"有","无")</f>
        <v>无</v>
      </c>
      <c r="AB118" s="57" t="str">
        <f>IF(COUNTIFS(户型资产表!E:E,I118,户型资产表!H:H,"冰箱")&gt;0,"有","无")</f>
        <v>无</v>
      </c>
      <c r="AC118" s="57" t="str">
        <f>IF(COUNTIFS(户型资产表!E:E,I118,户型资产表!H:H,"电视柜")&gt;0,"有","无")</f>
        <v>无</v>
      </c>
      <c r="AD118" s="61" t="str">
        <f t="shared" si="28"/>
        <v>适中</v>
      </c>
      <c r="AE118" s="57">
        <f>VLOOKUP($AD$1&amp;AD118,【1】定价因子!E:F,2,0)</f>
        <v>1</v>
      </c>
      <c r="AF118" s="61" t="str">
        <f t="shared" si="29"/>
        <v>适中</v>
      </c>
      <c r="AG118" s="57">
        <f>VLOOKUP($AF$1&amp;AF118,【1】定价因子!E:F,2,0)</f>
        <v>1</v>
      </c>
      <c r="AH118" s="61" t="str">
        <f t="shared" si="30"/>
        <v>适中</v>
      </c>
      <c r="AI118" s="57">
        <f>VLOOKUP($AH$1&amp;AH118,【1】定价因子!E:F,2,0)</f>
        <v>1</v>
      </c>
      <c r="AJ118" s="57" t="str">
        <f>VLOOKUP(H118,'【3-1】大区填-采光基本要素'!A:H,8,0)</f>
        <v>2</v>
      </c>
      <c r="AK118" s="57">
        <f>VLOOKUP($AJ$1&amp;AJ118,【1】定价因子!E:F,2,0)</f>
        <v>0.96</v>
      </c>
      <c r="AL118" s="62">
        <f t="shared" si="31"/>
        <v>2444.484168</v>
      </c>
      <c r="AM118" s="63">
        <v>2200</v>
      </c>
      <c r="AN118" s="64">
        <f t="shared" si="32"/>
        <v>-0.100014625253241</v>
      </c>
      <c r="AO118" s="65">
        <f t="shared" si="27"/>
        <v>2210</v>
      </c>
      <c r="AP118" s="63">
        <v>2298</v>
      </c>
    </row>
    <row r="119" spans="1:42">
      <c r="A119" s="47" t="str">
        <f>'【2】运营中心填-基本信息&amp;审核标准'!$E$2</f>
        <v>福围广生7-16、17栋</v>
      </c>
      <c r="B119" s="13"/>
      <c r="C119" s="13"/>
      <c r="D119" s="13"/>
      <c r="E119" s="13"/>
      <c r="F119" s="13"/>
      <c r="G119" s="13"/>
      <c r="H119" s="48">
        <v>1006</v>
      </c>
      <c r="I119" s="49" t="s">
        <v>494</v>
      </c>
      <c r="J119" s="49" t="s">
        <v>40</v>
      </c>
      <c r="K119" s="13"/>
      <c r="L119" s="50">
        <f>VLOOKUP(J119,'【3】大区填-楼栋基准格局定价'!B:H,7,0)</f>
        <v>1658.8509</v>
      </c>
      <c r="M119" s="51" t="s">
        <v>61</v>
      </c>
      <c r="N119" s="51">
        <v>17.58</v>
      </c>
      <c r="O119" s="52"/>
      <c r="P119" s="52" t="str">
        <f>IF(COUNTIFS(户型资产表!E:E,I119,户型资产表!H:H,"阳台门")&gt;0,"有","无")</f>
        <v>无</v>
      </c>
      <c r="Q119" s="52"/>
      <c r="R119" s="52" t="str">
        <f>IF('【2】运营中心填-基本信息&amp;审核标准'!$D$4="是","无",IF(INT(H119/100)&gt;9,"9F",INT(H119/100)&amp;"F"))</f>
        <v>无</v>
      </c>
      <c r="S119" s="52">
        <f>VLOOKUP(R119,【1】定价因子!D:F,3,0)</f>
        <v>1</v>
      </c>
      <c r="T119" s="52" t="str">
        <f>IF('【2】运营中心填-基本信息&amp;审核标准'!$D$4="否","无",IF(INT(H119/100)=1,"1F",IF(AND(INT(H119/100)&gt;=2,INT(H119/100)&lt;=3),"2-3F",IF(INT(H119/100)=4,"4F",IF(AND(INT(H119/100)&gt;=5,INT(H119/100)&lt;=6),"5-6F",IF(AND(INT(H119/100)&gt;=7,INT(H119/100)&lt;=8),"7-8F",IF(AND(INT(H119/100)&gt;=9,INT(H119/100)&lt;=10),"9-10F",IF(AND(INT(H119/100)&gt;=11,INT(H119/100)&lt;=12),"11-12F",IF(INT(H119/100)&gt;=13,"13以上F","")))))))))</f>
        <v>9-10F</v>
      </c>
      <c r="U119" s="52">
        <f>VLOOKUP($T$1&amp;T119,【1】定价因子!E:F,2,0)</f>
        <v>1.03</v>
      </c>
      <c r="V119" s="52" t="str">
        <f>IF(COUNTIFS(户型资产表!E:E,I119,户型资产表!H:H,"操作台")&gt;0,"有","无")</f>
        <v>有</v>
      </c>
      <c r="W119" s="52" t="str">
        <f>IF(COUNTIFS(户型资产表!E:E,I119,户型资产表!H:H,"书桌")&gt;0,"有","无")</f>
        <v>有</v>
      </c>
      <c r="X119" s="52" t="str" cm="1">
        <f t="array" ref="X119">IF(SUMPRODUCT((户型资产表!E:E=I119)*((户型资产表!I:I="沙发01单人")+(户型资产表!I:I="单人沙发02")))&gt;0,"有","无")</f>
        <v>无</v>
      </c>
      <c r="Y119" s="52" t="str" cm="1">
        <f t="array" ref="Y119">IF(SUMPRODUCT((户型资产表!E:E=I119)*((户型资产表!I:I="沙发02两人")+(户型资产表!I:I="双人沙发01")))&gt;0,"有","无")</f>
        <v>无</v>
      </c>
      <c r="Z119" s="52" t="str">
        <f>IF(COUNTIFS(户型资产表!E:E,I119,户型资产表!H:H,"餐桌")&gt;0,"有","无")</f>
        <v>无</v>
      </c>
      <c r="AA119" s="52" t="str">
        <f>IF(COUNTIFS(户型资产表!E:E,I119,户型资产表!H:H,"吸油烟机")&gt;0,"有","无")</f>
        <v>无</v>
      </c>
      <c r="AB119" s="52" t="str">
        <f>IF(COUNTIFS(户型资产表!E:E,I119,户型资产表!H:H,"冰箱")&gt;0,"有","无")</f>
        <v>无</v>
      </c>
      <c r="AC119" s="52" t="str">
        <f>IF(COUNTIFS(户型资产表!E:E,I119,户型资产表!H:H,"电视柜")&gt;0,"有","无")</f>
        <v>无</v>
      </c>
      <c r="AD119" s="51" t="str">
        <f t="shared" si="28"/>
        <v>适中</v>
      </c>
      <c r="AE119" s="52">
        <f>VLOOKUP($AD$1&amp;AD119,【1】定价因子!E:F,2,0)</f>
        <v>1</v>
      </c>
      <c r="AF119" s="51" t="str">
        <f t="shared" si="29"/>
        <v>适中</v>
      </c>
      <c r="AG119" s="52">
        <f>VLOOKUP($AF$1&amp;AF119,【1】定价因子!E:F,2,0)</f>
        <v>1</v>
      </c>
      <c r="AH119" s="51" t="str">
        <f t="shared" si="30"/>
        <v>适中</v>
      </c>
      <c r="AI119" s="52">
        <f>VLOOKUP($AH$1&amp;AH119,【1】定价因子!E:F,2,0)</f>
        <v>1</v>
      </c>
      <c r="AJ119" s="52" t="str">
        <f>VLOOKUP(H119,'【3-1】大区填-采光基本要素'!A:H,8,0)</f>
        <v>3</v>
      </c>
      <c r="AK119" s="52">
        <f>VLOOKUP($AJ$1&amp;AJ119,【1】定价因子!E:F,2,0)</f>
        <v>1</v>
      </c>
      <c r="AL119" s="53">
        <f t="shared" si="31"/>
        <v>1708.616427</v>
      </c>
      <c r="AM119" s="54">
        <v>1558</v>
      </c>
      <c r="AN119" s="55">
        <f t="shared" si="32"/>
        <v>-0.0881511055494493</v>
      </c>
      <c r="AO119" s="56">
        <f t="shared" si="27"/>
        <v>1568</v>
      </c>
    </row>
    <row r="120" spans="1:42">
      <c r="A120" s="47" t="str">
        <f>'【2】运营中心填-基本信息&amp;审核标准'!$E$2</f>
        <v>福围广生7-16、17栋</v>
      </c>
      <c r="B120" s="13"/>
      <c r="C120" s="13"/>
      <c r="D120" s="13"/>
      <c r="E120" s="13"/>
      <c r="F120" s="13"/>
      <c r="G120" s="13"/>
      <c r="H120" s="48">
        <v>1007</v>
      </c>
      <c r="I120" s="49" t="s">
        <v>492</v>
      </c>
      <c r="J120" s="49" t="s">
        <v>40</v>
      </c>
      <c r="K120" s="13"/>
      <c r="L120" s="50">
        <f>VLOOKUP(J120,'【3】大区填-楼栋基准格局定价'!B:H,7,0)</f>
        <v>1658.8509</v>
      </c>
      <c r="M120" s="51" t="s">
        <v>63</v>
      </c>
      <c r="N120" s="51">
        <v>16.65</v>
      </c>
      <c r="O120" s="52"/>
      <c r="P120" s="52" t="str">
        <f>IF(COUNTIFS(户型资产表!E:E,I120,户型资产表!H:H,"阳台门")&gt;0,"有","无")</f>
        <v>无</v>
      </c>
      <c r="Q120" s="52"/>
      <c r="R120" s="52" t="str">
        <f>IF('【2】运营中心填-基本信息&amp;审核标准'!$D$4="是","无",IF(INT(H120/100)&gt;9,"9F",INT(H120/100)&amp;"F"))</f>
        <v>无</v>
      </c>
      <c r="S120" s="52">
        <f>VLOOKUP(R120,【1】定价因子!D:F,3,0)</f>
        <v>1</v>
      </c>
      <c r="T120" s="52" t="str">
        <f>IF('【2】运营中心填-基本信息&amp;审核标准'!$D$4="否","无",IF(INT(H120/100)=1,"1F",IF(AND(INT(H120/100)&gt;=2,INT(H120/100)&lt;=3),"2-3F",IF(INT(H120/100)=4,"4F",IF(AND(INT(H120/100)&gt;=5,INT(H120/100)&lt;=6),"5-6F",IF(AND(INT(H120/100)&gt;=7,INT(H120/100)&lt;=8),"7-8F",IF(AND(INT(H120/100)&gt;=9,INT(H120/100)&lt;=10),"9-10F",IF(AND(INT(H120/100)&gt;=11,INT(H120/100)&lt;=12),"11-12F",IF(INT(H120/100)&gt;=13,"13以上F","")))))))))</f>
        <v>9-10F</v>
      </c>
      <c r="U120" s="52">
        <f>VLOOKUP($T$1&amp;T120,【1】定价因子!E:F,2,0)</f>
        <v>1.03</v>
      </c>
      <c r="V120" s="52" t="str">
        <f>IF(COUNTIFS(户型资产表!E:E,I120,户型资产表!H:H,"操作台")&gt;0,"有","无")</f>
        <v>有</v>
      </c>
      <c r="W120" s="52" t="str">
        <f>IF(COUNTIFS(户型资产表!E:E,I120,户型资产表!H:H,"书桌")&gt;0,"有","无")</f>
        <v>有</v>
      </c>
      <c r="X120" s="52" t="str" cm="1">
        <f t="array" ref="X120">IF(SUMPRODUCT((户型资产表!E:E=I120)*((户型资产表!I:I="沙发01单人")+(户型资产表!I:I="单人沙发02")))&gt;0,"有","无")</f>
        <v>无</v>
      </c>
      <c r="Y120" s="52" t="str" cm="1">
        <f t="array" ref="Y120">IF(SUMPRODUCT((户型资产表!E:E=I120)*((户型资产表!I:I="沙发02两人")+(户型资产表!I:I="双人沙发01")))&gt;0,"有","无")</f>
        <v>无</v>
      </c>
      <c r="Z120" s="52" t="str">
        <f>IF(COUNTIFS(户型资产表!E:E,I120,户型资产表!H:H,"餐桌")&gt;0,"有","无")</f>
        <v>无</v>
      </c>
      <c r="AA120" s="52" t="str">
        <f>IF(COUNTIFS(户型资产表!E:E,I120,户型资产表!H:H,"吸油烟机")&gt;0,"有","无")</f>
        <v>无</v>
      </c>
      <c r="AB120" s="52" t="str">
        <f>IF(COUNTIFS(户型资产表!E:E,I120,户型资产表!H:H,"冰箱")&gt;0,"有","无")</f>
        <v>无</v>
      </c>
      <c r="AC120" s="52" t="str">
        <f>IF(COUNTIFS(户型资产表!E:E,I120,户型资产表!H:H,"电视柜")&gt;0,"有","无")</f>
        <v>无</v>
      </c>
      <c r="AD120" s="51" t="str">
        <f t="shared" si="28"/>
        <v>适中</v>
      </c>
      <c r="AE120" s="52">
        <f>VLOOKUP($AD$1&amp;AD120,【1】定价因子!E:F,2,0)</f>
        <v>1</v>
      </c>
      <c r="AF120" s="51" t="str">
        <f t="shared" si="29"/>
        <v>适中</v>
      </c>
      <c r="AG120" s="52">
        <f>VLOOKUP($AF$1&amp;AF120,【1】定价因子!E:F,2,0)</f>
        <v>1</v>
      </c>
      <c r="AH120" s="51" t="str">
        <f t="shared" si="30"/>
        <v>适中</v>
      </c>
      <c r="AI120" s="52">
        <f>VLOOKUP($AH$1&amp;AH120,【1】定价因子!E:F,2,0)</f>
        <v>1</v>
      </c>
      <c r="AJ120" s="52" t="str">
        <f>VLOOKUP(H120,'【3-1】大区填-采光基本要素'!A:H,8,0)</f>
        <v>2</v>
      </c>
      <c r="AK120" s="52">
        <f>VLOOKUP($AJ$1&amp;AJ120,【1】定价因子!E:F,2,0)</f>
        <v>0.96</v>
      </c>
      <c r="AL120" s="53">
        <f t="shared" si="31"/>
        <v>1640.27176992</v>
      </c>
      <c r="AM120" s="54">
        <v>1498</v>
      </c>
      <c r="AN120" s="55">
        <f t="shared" si="32"/>
        <v>-0.086736705788053</v>
      </c>
      <c r="AO120" s="56">
        <f t="shared" si="27"/>
        <v>1508</v>
      </c>
    </row>
    <row r="121" spans="1:42">
      <c r="A121" s="47" t="str">
        <f>'【2】运营中心填-基本信息&amp;审核标准'!$E$2</f>
        <v>福围广生7-16、17栋</v>
      </c>
      <c r="B121" s="13"/>
      <c r="C121" s="13"/>
      <c r="D121" s="13"/>
      <c r="E121" s="13"/>
      <c r="F121" s="13"/>
      <c r="G121" s="13"/>
      <c r="H121" s="48">
        <v>1008</v>
      </c>
      <c r="I121" s="49" t="s">
        <v>492</v>
      </c>
      <c r="J121" s="49" t="s">
        <v>40</v>
      </c>
      <c r="K121" s="13"/>
      <c r="L121" s="50">
        <f>VLOOKUP(J121,'【3】大区填-楼栋基准格局定价'!B:H,7,0)</f>
        <v>1658.8509</v>
      </c>
      <c r="M121" s="51" t="s">
        <v>63</v>
      </c>
      <c r="N121" s="51">
        <v>16.79</v>
      </c>
      <c r="O121" s="52"/>
      <c r="P121" s="52" t="str">
        <f>IF(COUNTIFS(户型资产表!E:E,I121,户型资产表!H:H,"阳台门")&gt;0,"有","无")</f>
        <v>无</v>
      </c>
      <c r="Q121" s="52"/>
      <c r="R121" s="52" t="str">
        <f>IF('【2】运营中心填-基本信息&amp;审核标准'!$D$4="是","无",IF(INT(H121/100)&gt;9,"9F",INT(H121/100)&amp;"F"))</f>
        <v>无</v>
      </c>
      <c r="S121" s="52">
        <f>VLOOKUP(R121,【1】定价因子!D:F,3,0)</f>
        <v>1</v>
      </c>
      <c r="T121" s="52" t="str">
        <f>IF('【2】运营中心填-基本信息&amp;审核标准'!$D$4="否","无",IF(INT(H121/100)=1,"1F",IF(AND(INT(H121/100)&gt;=2,INT(H121/100)&lt;=3),"2-3F",IF(INT(H121/100)=4,"4F",IF(AND(INT(H121/100)&gt;=5,INT(H121/100)&lt;=6),"5-6F",IF(AND(INT(H121/100)&gt;=7,INT(H121/100)&lt;=8),"7-8F",IF(AND(INT(H121/100)&gt;=9,INT(H121/100)&lt;=10),"9-10F",IF(AND(INT(H121/100)&gt;=11,INT(H121/100)&lt;=12),"11-12F",IF(INT(H121/100)&gt;=13,"13以上F","")))))))))</f>
        <v>9-10F</v>
      </c>
      <c r="U121" s="52">
        <f>VLOOKUP($T$1&amp;T121,【1】定价因子!E:F,2,0)</f>
        <v>1.03</v>
      </c>
      <c r="V121" s="52" t="str">
        <f>IF(COUNTIFS(户型资产表!E:E,I121,户型资产表!H:H,"操作台")&gt;0,"有","无")</f>
        <v>有</v>
      </c>
      <c r="W121" s="52" t="str">
        <f>IF(COUNTIFS(户型资产表!E:E,I121,户型资产表!H:H,"书桌")&gt;0,"有","无")</f>
        <v>有</v>
      </c>
      <c r="X121" s="52" t="str" cm="1">
        <f t="array" ref="X121">IF(SUMPRODUCT((户型资产表!E:E=I121)*((户型资产表!I:I="沙发01单人")+(户型资产表!I:I="单人沙发02")))&gt;0,"有","无")</f>
        <v>无</v>
      </c>
      <c r="Y121" s="52" t="str" cm="1">
        <f t="array" ref="Y121">IF(SUMPRODUCT((户型资产表!E:E=I121)*((户型资产表!I:I="沙发02两人")+(户型资产表!I:I="双人沙发01")))&gt;0,"有","无")</f>
        <v>无</v>
      </c>
      <c r="Z121" s="52" t="str">
        <f>IF(COUNTIFS(户型资产表!E:E,I121,户型资产表!H:H,"餐桌")&gt;0,"有","无")</f>
        <v>无</v>
      </c>
      <c r="AA121" s="52" t="str">
        <f>IF(COUNTIFS(户型资产表!E:E,I121,户型资产表!H:H,"吸油烟机")&gt;0,"有","无")</f>
        <v>无</v>
      </c>
      <c r="AB121" s="52" t="str">
        <f>IF(COUNTIFS(户型资产表!E:E,I121,户型资产表!H:H,"冰箱")&gt;0,"有","无")</f>
        <v>无</v>
      </c>
      <c r="AC121" s="52" t="str">
        <f>IF(COUNTIFS(户型资产表!E:E,I121,户型资产表!H:H,"电视柜")&gt;0,"有","无")</f>
        <v>无</v>
      </c>
      <c r="AD121" s="51" t="str">
        <f t="shared" si="28"/>
        <v>适中</v>
      </c>
      <c r="AE121" s="52">
        <f>VLOOKUP($AD$1&amp;AD121,【1】定价因子!E:F,2,0)</f>
        <v>1</v>
      </c>
      <c r="AF121" s="51" t="str">
        <f t="shared" si="29"/>
        <v>适中</v>
      </c>
      <c r="AG121" s="52">
        <f>VLOOKUP($AF$1&amp;AF121,【1】定价因子!E:F,2,0)</f>
        <v>1</v>
      </c>
      <c r="AH121" s="51" t="str">
        <f t="shared" si="30"/>
        <v>适中</v>
      </c>
      <c r="AI121" s="52">
        <f>VLOOKUP($AH$1&amp;AH121,【1】定价因子!E:F,2,0)</f>
        <v>1</v>
      </c>
      <c r="AJ121" s="52" t="str">
        <f>VLOOKUP(H121,'【3-1】大区填-采光基本要素'!A:H,8,0)</f>
        <v>2</v>
      </c>
      <c r="AK121" s="52">
        <f>VLOOKUP($AJ$1&amp;AJ121,【1】定价因子!E:F,2,0)</f>
        <v>0.96</v>
      </c>
      <c r="AL121" s="53">
        <f t="shared" si="31"/>
        <v>1640.27176992</v>
      </c>
      <c r="AM121" s="54">
        <v>1498</v>
      </c>
      <c r="AN121" s="55">
        <f t="shared" si="32"/>
        <v>-0.086736705788053</v>
      </c>
      <c r="AO121" s="56">
        <f t="shared" si="27"/>
        <v>1508</v>
      </c>
    </row>
    <row r="122" spans="1:42">
      <c r="A122" s="47" t="str">
        <f>'【2】运营中心填-基本信息&amp;审核标准'!$E$2</f>
        <v>福围广生7-16、17栋</v>
      </c>
      <c r="B122" s="13"/>
      <c r="C122" s="13"/>
      <c r="D122" s="13"/>
      <c r="E122" s="13"/>
      <c r="F122" s="13"/>
      <c r="G122" s="13"/>
      <c r="H122" s="48">
        <v>1009</v>
      </c>
      <c r="I122" s="49" t="s">
        <v>495</v>
      </c>
      <c r="J122" s="49" t="s">
        <v>43</v>
      </c>
      <c r="K122" s="13"/>
      <c r="L122" s="50">
        <f>VLOOKUP(J122,'【3】大区填-楼栋基准格局定价'!B:H,7,0)</f>
        <v>2472.1725</v>
      </c>
      <c r="M122" s="51" t="s">
        <v>58</v>
      </c>
      <c r="N122" s="51">
        <v>30.92</v>
      </c>
      <c r="O122" s="52"/>
      <c r="P122" s="52" t="str">
        <f>IF(COUNTIFS(户型资产表!E:E,I122,户型资产表!H:H,"阳台门")&gt;0,"有","无")</f>
        <v>无</v>
      </c>
      <c r="Q122" s="52"/>
      <c r="R122" s="52" t="str">
        <f>IF('【2】运营中心填-基本信息&amp;审核标准'!$D$4="是","无",IF(INT(H122/100)&gt;9,"9F",INT(H122/100)&amp;"F"))</f>
        <v>无</v>
      </c>
      <c r="S122" s="52">
        <f>VLOOKUP(R122,【1】定价因子!D:F,3,0)</f>
        <v>1</v>
      </c>
      <c r="T122" s="52" t="str">
        <f>IF('【2】运营中心填-基本信息&amp;审核标准'!$D$4="否","无",IF(INT(H122/100)=1,"1F",IF(AND(INT(H122/100)&gt;=2,INT(H122/100)&lt;=3),"2-3F",IF(INT(H122/100)=4,"4F",IF(AND(INT(H122/100)&gt;=5,INT(H122/100)&lt;=6),"5-6F",IF(AND(INT(H122/100)&gt;=7,INT(H122/100)&lt;=8),"7-8F",IF(AND(INT(H122/100)&gt;=9,INT(H122/100)&lt;=10),"9-10F",IF(AND(INT(H122/100)&gt;=11,INT(H122/100)&lt;=12),"11-12F",IF(INT(H122/100)&gt;=13,"13以上F","")))))))))</f>
        <v>9-10F</v>
      </c>
      <c r="U122" s="52">
        <f>VLOOKUP($T$1&amp;T122,【1】定价因子!E:F,2,0)</f>
        <v>1.03</v>
      </c>
      <c r="V122" s="52" t="str">
        <f>IF(COUNTIFS(户型资产表!E:E,I122,户型资产表!H:H,"操作台")&gt;0,"有","无")</f>
        <v>有</v>
      </c>
      <c r="W122" s="52" t="str">
        <f>IF(COUNTIFS(户型资产表!E:E,I122,户型资产表!H:H,"书桌")&gt;0,"有","无")</f>
        <v>有</v>
      </c>
      <c r="X122" s="52" t="str" cm="1">
        <f t="array" ref="X122">IF(SUMPRODUCT((户型资产表!E:E=I122)*((户型资产表!I:I="沙发01单人")+(户型资产表!I:I="单人沙发02")))&gt;0,"有","无")</f>
        <v>有</v>
      </c>
      <c r="Y122" s="52" t="str" cm="1">
        <f t="array" ref="Y122">IF(SUMPRODUCT((户型资产表!E:E=I122)*((户型资产表!I:I="沙发02两人")+(户型资产表!I:I="双人沙发01")))&gt;0,"有","无")</f>
        <v>有</v>
      </c>
      <c r="Z122" s="52" t="str">
        <f>IF(COUNTIFS(户型资产表!E:E,I122,户型资产表!H:H,"餐桌")&gt;0,"有","无")</f>
        <v>有</v>
      </c>
      <c r="AA122" s="52" t="str">
        <f>IF(COUNTIFS(户型资产表!E:E,I122,户型资产表!H:H,"吸油烟机")&gt;0,"有","无")</f>
        <v>无</v>
      </c>
      <c r="AB122" s="52" t="str">
        <f>IF(COUNTIFS(户型资产表!E:E,I122,户型资产表!H:H,"冰箱")&gt;0,"有","无")</f>
        <v>无</v>
      </c>
      <c r="AC122" s="52" t="str">
        <f>IF(COUNTIFS(户型资产表!E:E,I122,户型资产表!H:H,"电视柜")&gt;0,"有","无")</f>
        <v>无</v>
      </c>
      <c r="AD122" s="51" t="str">
        <f t="shared" si="28"/>
        <v>适中</v>
      </c>
      <c r="AE122" s="52">
        <f>VLOOKUP($AD$1&amp;AD122,【1】定价因子!E:F,2,0)</f>
        <v>1</v>
      </c>
      <c r="AF122" s="51" t="s">
        <v>63</v>
      </c>
      <c r="AG122" s="52">
        <f>VLOOKUP($AF$1&amp;AF122,【1】定价因子!E:F,2,0)</f>
        <v>1</v>
      </c>
      <c r="AH122" s="51" t="str">
        <f t="shared" si="30"/>
        <v>适中</v>
      </c>
      <c r="AI122" s="52">
        <f>VLOOKUP($AH$1&amp;AH122,【1】定价因子!E:F,2,0)</f>
        <v>1</v>
      </c>
      <c r="AJ122" s="52" t="str">
        <f>VLOOKUP(H122,'【3-1】大区填-采光基本要素'!A:H,8,0)</f>
        <v>2</v>
      </c>
      <c r="AK122" s="52">
        <f>VLOOKUP($AJ$1&amp;AJ122,【1】定价因子!E:F,2,0)</f>
        <v>0.96</v>
      </c>
      <c r="AL122" s="53">
        <f t="shared" si="31"/>
        <v>2444.484168</v>
      </c>
      <c r="AM122" s="54">
        <v>2498</v>
      </c>
      <c r="AN122" s="55">
        <f t="shared" si="32"/>
        <v>0.0218924845988202</v>
      </c>
      <c r="AO122" s="56">
        <f t="shared" si="27"/>
        <v>2508</v>
      </c>
    </row>
    <row r="123" spans="1:42">
      <c r="A123" s="47" t="str">
        <f>'【2】运营中心填-基本信息&amp;审核标准'!$E$2</f>
        <v>福围广生7-16、17栋</v>
      </c>
      <c r="B123" s="13"/>
      <c r="C123" s="13"/>
      <c r="D123" s="13"/>
      <c r="E123" s="13"/>
      <c r="F123" s="13"/>
      <c r="G123" s="13"/>
      <c r="H123" s="48">
        <v>1010</v>
      </c>
      <c r="I123" s="49" t="s">
        <v>492</v>
      </c>
      <c r="J123" s="49" t="s">
        <v>40</v>
      </c>
      <c r="K123" s="13"/>
      <c r="L123" s="50">
        <f>VLOOKUP(J123,'【3】大区填-楼栋基准格局定价'!B:H,7,0)</f>
        <v>1658.8509</v>
      </c>
      <c r="M123" s="51" t="s">
        <v>63</v>
      </c>
      <c r="N123" s="51">
        <v>16.79</v>
      </c>
      <c r="O123" s="52"/>
      <c r="P123" s="52" t="str">
        <f>IF(COUNTIFS(户型资产表!E:E,I123,户型资产表!H:H,"阳台门")&gt;0,"有","无")</f>
        <v>无</v>
      </c>
      <c r="Q123" s="52"/>
      <c r="R123" s="52" t="str">
        <f>IF('【2】运营中心填-基本信息&amp;审核标准'!$D$4="是","无",IF(INT(H123/100)&gt;9,"9F",INT(H123/100)&amp;"F"))</f>
        <v>无</v>
      </c>
      <c r="S123" s="52">
        <f>VLOOKUP(R123,【1】定价因子!D:F,3,0)</f>
        <v>1</v>
      </c>
      <c r="T123" s="52" t="str">
        <f>IF('【2】运营中心填-基本信息&amp;审核标准'!$D$4="否","无",IF(INT(H123/100)=1,"1F",IF(AND(INT(H123/100)&gt;=2,INT(H123/100)&lt;=3),"2-3F",IF(INT(H123/100)=4,"4F",IF(AND(INT(H123/100)&gt;=5,INT(H123/100)&lt;=6),"5-6F",IF(AND(INT(H123/100)&gt;=7,INT(H123/100)&lt;=8),"7-8F",IF(AND(INT(H123/100)&gt;=9,INT(H123/100)&lt;=10),"9-10F",IF(AND(INT(H123/100)&gt;=11,INT(H123/100)&lt;=12),"11-12F",IF(INT(H123/100)&gt;=13,"13以上F","")))))))))</f>
        <v>9-10F</v>
      </c>
      <c r="U123" s="52">
        <f>VLOOKUP($T$1&amp;T123,【1】定价因子!E:F,2,0)</f>
        <v>1.03</v>
      </c>
      <c r="V123" s="52" t="str">
        <f>IF(COUNTIFS(户型资产表!E:E,I123,户型资产表!H:H,"操作台")&gt;0,"有","无")</f>
        <v>有</v>
      </c>
      <c r="W123" s="52" t="str">
        <f>IF(COUNTIFS(户型资产表!E:E,I123,户型资产表!H:H,"书桌")&gt;0,"有","无")</f>
        <v>有</v>
      </c>
      <c r="X123" s="52" t="str" cm="1">
        <f t="array" ref="X123">IF(SUMPRODUCT((户型资产表!E:E=I123)*((户型资产表!I:I="沙发01单人")+(户型资产表!I:I="单人沙发02")))&gt;0,"有","无")</f>
        <v>无</v>
      </c>
      <c r="Y123" s="52" t="str" cm="1">
        <f t="array" ref="Y123">IF(SUMPRODUCT((户型资产表!E:E=I123)*((户型资产表!I:I="沙发02两人")+(户型资产表!I:I="双人沙发01")))&gt;0,"有","无")</f>
        <v>无</v>
      </c>
      <c r="Z123" s="52" t="str">
        <f>IF(COUNTIFS(户型资产表!E:E,I123,户型资产表!H:H,"餐桌")&gt;0,"有","无")</f>
        <v>无</v>
      </c>
      <c r="AA123" s="52" t="str">
        <f>IF(COUNTIFS(户型资产表!E:E,I123,户型资产表!H:H,"吸油烟机")&gt;0,"有","无")</f>
        <v>无</v>
      </c>
      <c r="AB123" s="52" t="str">
        <f>IF(COUNTIFS(户型资产表!E:E,I123,户型资产表!H:H,"冰箱")&gt;0,"有","无")</f>
        <v>无</v>
      </c>
      <c r="AC123" s="52" t="str">
        <f>IF(COUNTIFS(户型资产表!E:E,I123,户型资产表!H:H,"电视柜")&gt;0,"有","无")</f>
        <v>无</v>
      </c>
      <c r="AD123" s="51" t="str">
        <f t="shared" si="28"/>
        <v>适中</v>
      </c>
      <c r="AE123" s="52">
        <f>VLOOKUP($AD$1&amp;AD123,【1】定价因子!E:F,2,0)</f>
        <v>1</v>
      </c>
      <c r="AF123" s="51" t="str">
        <f t="shared" si="29"/>
        <v>适中</v>
      </c>
      <c r="AG123" s="52">
        <f>VLOOKUP($AF$1&amp;AF123,【1】定价因子!E:F,2,0)</f>
        <v>1</v>
      </c>
      <c r="AH123" s="51" t="str">
        <f t="shared" si="30"/>
        <v>适中</v>
      </c>
      <c r="AI123" s="52">
        <f>VLOOKUP($AH$1&amp;AH123,【1】定价因子!E:F,2,0)</f>
        <v>1</v>
      </c>
      <c r="AJ123" s="52" t="str">
        <f>VLOOKUP(H123,'【3-1】大区填-采光基本要素'!A:H,8,0)</f>
        <v>2</v>
      </c>
      <c r="AK123" s="52">
        <f>VLOOKUP($AJ$1&amp;AJ123,【1】定价因子!E:F,2,0)</f>
        <v>0.96</v>
      </c>
      <c r="AL123" s="53">
        <f t="shared" si="31"/>
        <v>1640.27176992</v>
      </c>
      <c r="AM123" s="54">
        <v>1498</v>
      </c>
      <c r="AN123" s="55">
        <f t="shared" si="32"/>
        <v>-0.086736705788053</v>
      </c>
      <c r="AO123" s="56">
        <f t="shared" si="27"/>
        <v>1508</v>
      </c>
    </row>
    <row r="124" spans="1:42">
      <c r="A124" s="47" t="str">
        <f>'【2】运营中心填-基本信息&amp;审核标准'!$E$2</f>
        <v>福围广生7-16、17栋</v>
      </c>
      <c r="B124" s="13"/>
      <c r="C124" s="13"/>
      <c r="D124" s="13"/>
      <c r="E124" s="13"/>
      <c r="F124" s="13"/>
      <c r="G124" s="13"/>
      <c r="H124" s="48">
        <v>1011</v>
      </c>
      <c r="I124" s="49" t="s">
        <v>492</v>
      </c>
      <c r="J124" s="49" t="s">
        <v>40</v>
      </c>
      <c r="K124" s="13"/>
      <c r="L124" s="50">
        <f>VLOOKUP(J124,'【3】大区填-楼栋基准格局定价'!B:H,7,0)</f>
        <v>1658.8509</v>
      </c>
      <c r="M124" s="51" t="s">
        <v>63</v>
      </c>
      <c r="N124" s="51">
        <v>16.65</v>
      </c>
      <c r="O124" s="52"/>
      <c r="P124" s="52" t="str">
        <f>IF(COUNTIFS(户型资产表!E:E,I124,户型资产表!H:H,"阳台门")&gt;0,"有","无")</f>
        <v>无</v>
      </c>
      <c r="Q124" s="52"/>
      <c r="R124" s="52" t="str">
        <f>IF('【2】运营中心填-基本信息&amp;审核标准'!$D$4="是","无",IF(INT(H124/100)&gt;9,"9F",INT(H124/100)&amp;"F"))</f>
        <v>无</v>
      </c>
      <c r="S124" s="52">
        <f>VLOOKUP(R124,【1】定价因子!D:F,3,0)</f>
        <v>1</v>
      </c>
      <c r="T124" s="52" t="str">
        <f>IF('【2】运营中心填-基本信息&amp;审核标准'!$D$4="否","无",IF(INT(H124/100)=1,"1F",IF(AND(INT(H124/100)&gt;=2,INT(H124/100)&lt;=3),"2-3F",IF(INT(H124/100)=4,"4F",IF(AND(INT(H124/100)&gt;=5,INT(H124/100)&lt;=6),"5-6F",IF(AND(INT(H124/100)&gt;=7,INT(H124/100)&lt;=8),"7-8F",IF(AND(INT(H124/100)&gt;=9,INT(H124/100)&lt;=10),"9-10F",IF(AND(INT(H124/100)&gt;=11,INT(H124/100)&lt;=12),"11-12F",IF(INT(H124/100)&gt;=13,"13以上F","")))))))))</f>
        <v>9-10F</v>
      </c>
      <c r="U124" s="52">
        <f>VLOOKUP($T$1&amp;T124,【1】定价因子!E:F,2,0)</f>
        <v>1.03</v>
      </c>
      <c r="V124" s="52" t="str">
        <f>IF(COUNTIFS(户型资产表!E:E,I124,户型资产表!H:H,"操作台")&gt;0,"有","无")</f>
        <v>有</v>
      </c>
      <c r="W124" s="52" t="str">
        <f>IF(COUNTIFS(户型资产表!E:E,I124,户型资产表!H:H,"书桌")&gt;0,"有","无")</f>
        <v>有</v>
      </c>
      <c r="X124" s="52" t="str" cm="1">
        <f t="array" ref="X124">IF(SUMPRODUCT((户型资产表!E:E=I124)*((户型资产表!I:I="沙发01单人")+(户型资产表!I:I="单人沙发02")))&gt;0,"有","无")</f>
        <v>无</v>
      </c>
      <c r="Y124" s="52" t="str" cm="1">
        <f t="array" ref="Y124">IF(SUMPRODUCT((户型资产表!E:E=I124)*((户型资产表!I:I="沙发02两人")+(户型资产表!I:I="双人沙发01")))&gt;0,"有","无")</f>
        <v>无</v>
      </c>
      <c r="Z124" s="52" t="str">
        <f>IF(COUNTIFS(户型资产表!E:E,I124,户型资产表!H:H,"餐桌")&gt;0,"有","无")</f>
        <v>无</v>
      </c>
      <c r="AA124" s="52" t="str">
        <f>IF(COUNTIFS(户型资产表!E:E,I124,户型资产表!H:H,"吸油烟机")&gt;0,"有","无")</f>
        <v>无</v>
      </c>
      <c r="AB124" s="52" t="str">
        <f>IF(COUNTIFS(户型资产表!E:E,I124,户型资产表!H:H,"冰箱")&gt;0,"有","无")</f>
        <v>无</v>
      </c>
      <c r="AC124" s="52" t="str">
        <f>IF(COUNTIFS(户型资产表!E:E,I124,户型资产表!H:H,"电视柜")&gt;0,"有","无")</f>
        <v>无</v>
      </c>
      <c r="AD124" s="51" t="str">
        <f t="shared" si="28"/>
        <v>适中</v>
      </c>
      <c r="AE124" s="52">
        <f>VLOOKUP($AD$1&amp;AD124,【1】定价因子!E:F,2,0)</f>
        <v>1</v>
      </c>
      <c r="AF124" s="51" t="str">
        <f t="shared" si="29"/>
        <v>适中</v>
      </c>
      <c r="AG124" s="52">
        <f>VLOOKUP($AF$1&amp;AF124,【1】定价因子!E:F,2,0)</f>
        <v>1</v>
      </c>
      <c r="AH124" s="51" t="str">
        <f t="shared" si="30"/>
        <v>适中</v>
      </c>
      <c r="AI124" s="52">
        <f>VLOOKUP($AH$1&amp;AH124,【1】定价因子!E:F,2,0)</f>
        <v>1</v>
      </c>
      <c r="AJ124" s="52" t="str">
        <f>VLOOKUP(H124,'【3-1】大区填-采光基本要素'!A:H,8,0)</f>
        <v>2</v>
      </c>
      <c r="AK124" s="52">
        <f>VLOOKUP($AJ$1&amp;AJ124,【1】定价因子!E:F,2,0)</f>
        <v>0.96</v>
      </c>
      <c r="AL124" s="53">
        <f t="shared" si="31"/>
        <v>1640.27176992</v>
      </c>
      <c r="AM124" s="54">
        <v>1498</v>
      </c>
      <c r="AN124" s="55">
        <f t="shared" si="32"/>
        <v>-0.086736705788053</v>
      </c>
      <c r="AO124" s="56">
        <f t="shared" si="27"/>
        <v>1508</v>
      </c>
    </row>
    <row r="125" spans="1:42">
      <c r="A125" s="47" t="str">
        <f>'【2】运营中心填-基本信息&amp;审核标准'!$E$2</f>
        <v>福围广生7-16、17栋</v>
      </c>
      <c r="B125" s="13"/>
      <c r="C125" s="13"/>
      <c r="D125" s="13"/>
      <c r="E125" s="13"/>
      <c r="F125" s="13"/>
      <c r="G125" s="13"/>
      <c r="H125" s="48">
        <v>1012</v>
      </c>
      <c r="I125" s="49" t="s">
        <v>494</v>
      </c>
      <c r="J125" s="49" t="s">
        <v>40</v>
      </c>
      <c r="K125" s="13"/>
      <c r="L125" s="50">
        <f>VLOOKUP(J125,'【3】大区填-楼栋基准格局定价'!B:H,7,0)</f>
        <v>1658.8509</v>
      </c>
      <c r="M125" s="51" t="s">
        <v>61</v>
      </c>
      <c r="N125" s="51">
        <v>17.58</v>
      </c>
      <c r="O125" s="52"/>
      <c r="P125" s="52" t="str">
        <f>IF(COUNTIFS(户型资产表!E:E,I125,户型资产表!H:H,"阳台门")&gt;0,"有","无")</f>
        <v>无</v>
      </c>
      <c r="Q125" s="52"/>
      <c r="R125" s="52" t="str">
        <f>IF('【2】运营中心填-基本信息&amp;审核标准'!$D$4="是","无",IF(INT(H125/100)&gt;9,"9F",INT(H125/100)&amp;"F"))</f>
        <v>无</v>
      </c>
      <c r="S125" s="52">
        <f>VLOOKUP(R125,【1】定价因子!D:F,3,0)</f>
        <v>1</v>
      </c>
      <c r="T125" s="52" t="str">
        <f>IF('【2】运营中心填-基本信息&amp;审核标准'!$D$4="否","无",IF(INT(H125/100)=1,"1F",IF(AND(INT(H125/100)&gt;=2,INT(H125/100)&lt;=3),"2-3F",IF(INT(H125/100)=4,"4F",IF(AND(INT(H125/100)&gt;=5,INT(H125/100)&lt;=6),"5-6F",IF(AND(INT(H125/100)&gt;=7,INT(H125/100)&lt;=8),"7-8F",IF(AND(INT(H125/100)&gt;=9,INT(H125/100)&lt;=10),"9-10F",IF(AND(INT(H125/100)&gt;=11,INT(H125/100)&lt;=12),"11-12F",IF(INT(H125/100)&gt;=13,"13以上F","")))))))))</f>
        <v>9-10F</v>
      </c>
      <c r="U125" s="52">
        <f>VLOOKUP($T$1&amp;T125,【1】定价因子!E:F,2,0)</f>
        <v>1.03</v>
      </c>
      <c r="V125" s="52" t="str">
        <f>IF(COUNTIFS(户型资产表!E:E,I125,户型资产表!H:H,"操作台")&gt;0,"有","无")</f>
        <v>有</v>
      </c>
      <c r="W125" s="52" t="str">
        <f>IF(COUNTIFS(户型资产表!E:E,I125,户型资产表!H:H,"书桌")&gt;0,"有","无")</f>
        <v>有</v>
      </c>
      <c r="X125" s="52" t="str" cm="1">
        <f t="array" ref="X125">IF(SUMPRODUCT((户型资产表!E:E=I125)*((户型资产表!I:I="沙发01单人")+(户型资产表!I:I="单人沙发02")))&gt;0,"有","无")</f>
        <v>无</v>
      </c>
      <c r="Y125" s="52" t="str" cm="1">
        <f t="array" ref="Y125">IF(SUMPRODUCT((户型资产表!E:E=I125)*((户型资产表!I:I="沙发02两人")+(户型资产表!I:I="双人沙发01")))&gt;0,"有","无")</f>
        <v>无</v>
      </c>
      <c r="Z125" s="52" t="str">
        <f>IF(COUNTIFS(户型资产表!E:E,I125,户型资产表!H:H,"餐桌")&gt;0,"有","无")</f>
        <v>无</v>
      </c>
      <c r="AA125" s="52" t="str">
        <f>IF(COUNTIFS(户型资产表!E:E,I125,户型资产表!H:H,"吸油烟机")&gt;0,"有","无")</f>
        <v>无</v>
      </c>
      <c r="AB125" s="52" t="str">
        <f>IF(COUNTIFS(户型资产表!E:E,I125,户型资产表!H:H,"冰箱")&gt;0,"有","无")</f>
        <v>无</v>
      </c>
      <c r="AC125" s="52" t="str">
        <f>IF(COUNTIFS(户型资产表!E:E,I125,户型资产表!H:H,"电视柜")&gt;0,"有","无")</f>
        <v>无</v>
      </c>
      <c r="AD125" s="51" t="str">
        <f t="shared" si="28"/>
        <v>适中</v>
      </c>
      <c r="AE125" s="52">
        <f>VLOOKUP($AD$1&amp;AD125,【1】定价因子!E:F,2,0)</f>
        <v>1</v>
      </c>
      <c r="AF125" s="51" t="str">
        <f t="shared" si="29"/>
        <v>适中</v>
      </c>
      <c r="AG125" s="52">
        <f>VLOOKUP($AF$1&amp;AF125,【1】定价因子!E:F,2,0)</f>
        <v>1</v>
      </c>
      <c r="AH125" s="51" t="str">
        <f t="shared" si="30"/>
        <v>适中</v>
      </c>
      <c r="AI125" s="52">
        <f>VLOOKUP($AH$1&amp;AH125,【1】定价因子!E:F,2,0)</f>
        <v>1</v>
      </c>
      <c r="AJ125" s="52" t="str">
        <f>VLOOKUP(H125,'【3-1】大区填-采光基本要素'!A:H,8,0)</f>
        <v>3</v>
      </c>
      <c r="AK125" s="52">
        <f>VLOOKUP($AJ$1&amp;AJ125,【1】定价因子!E:F,2,0)</f>
        <v>1</v>
      </c>
      <c r="AL125" s="53">
        <f t="shared" si="31"/>
        <v>1708.616427</v>
      </c>
      <c r="AM125" s="54">
        <v>1558</v>
      </c>
      <c r="AN125" s="55">
        <f t="shared" si="32"/>
        <v>-0.0881511055494493</v>
      </c>
      <c r="AO125" s="56">
        <f t="shared" si="27"/>
        <v>1568</v>
      </c>
    </row>
    <row r="126" spans="1:42">
      <c r="A126" s="47" t="str">
        <f>'【2】运营中心填-基本信息&amp;审核标准'!$E$2</f>
        <v>福围广生7-16、17栋</v>
      </c>
      <c r="B126" s="13"/>
      <c r="C126" s="13"/>
      <c r="D126" s="13"/>
      <c r="E126" s="13"/>
      <c r="F126" s="13"/>
      <c r="G126" s="13"/>
      <c r="H126" s="48">
        <v>1013</v>
      </c>
      <c r="I126" s="49" t="s">
        <v>493</v>
      </c>
      <c r="J126" s="49" t="s">
        <v>43</v>
      </c>
      <c r="K126" s="13"/>
      <c r="L126" s="50">
        <f>VLOOKUP(J126,'【3】大区填-楼栋基准格局定价'!B:H,7,0)</f>
        <v>2472.1725</v>
      </c>
      <c r="M126" s="51" t="s">
        <v>65</v>
      </c>
      <c r="N126" s="51">
        <v>20.18</v>
      </c>
      <c r="O126" s="52"/>
      <c r="P126" s="52" t="str">
        <f>IF(COUNTIFS(户型资产表!E:E,I126,户型资产表!H:H,"阳台门")&gt;0,"有","无")</f>
        <v>无</v>
      </c>
      <c r="Q126" s="52"/>
      <c r="R126" s="52" t="str">
        <f>IF('【2】运营中心填-基本信息&amp;审核标准'!$D$4="是","无",IF(INT(H126/100)&gt;9,"9F",INT(H126/100)&amp;"F"))</f>
        <v>无</v>
      </c>
      <c r="S126" s="52">
        <f>VLOOKUP(R126,【1】定价因子!D:F,3,0)</f>
        <v>1</v>
      </c>
      <c r="T126" s="52" t="str">
        <f>IF('【2】运营中心填-基本信息&amp;审核标准'!$D$4="否","无",IF(INT(H126/100)=1,"1F",IF(AND(INT(H126/100)&gt;=2,INT(H126/100)&lt;=3),"2-3F",IF(INT(H126/100)=4,"4F",IF(AND(INT(H126/100)&gt;=5,INT(H126/100)&lt;=6),"5-6F",IF(AND(INT(H126/100)&gt;=7,INT(H126/100)&lt;=8),"7-8F",IF(AND(INT(H126/100)&gt;=9,INT(H126/100)&lt;=10),"9-10F",IF(AND(INT(H126/100)&gt;=11,INT(H126/100)&lt;=12),"11-12F",IF(INT(H126/100)&gt;=13,"13以上F","")))))))))</f>
        <v>9-10F</v>
      </c>
      <c r="U126" s="52">
        <f>VLOOKUP($T$1&amp;T126,【1】定价因子!E:F,2,0)</f>
        <v>1.03</v>
      </c>
      <c r="V126" s="52" t="str">
        <f>IF(COUNTIFS(户型资产表!E:E,I126,户型资产表!H:H,"操作台")&gt;0,"有","无")</f>
        <v>有</v>
      </c>
      <c r="W126" s="52" t="str">
        <f>IF(COUNTIFS(户型资产表!E:E,I126,户型资产表!H:H,"书桌")&gt;0,"有","无")</f>
        <v>无</v>
      </c>
      <c r="X126" s="52" t="str" cm="1">
        <f t="array" ref="X126">IF(SUMPRODUCT((户型资产表!E:E=I126)*((户型资产表!I:I="沙发01单人")+(户型资产表!I:I="单人沙发02")))&gt;0,"有","无")</f>
        <v>无</v>
      </c>
      <c r="Y126" s="52" t="str" cm="1">
        <f t="array" ref="Y126">IF(SUMPRODUCT((户型资产表!E:E=I126)*((户型资产表!I:I="沙发02两人")+(户型资产表!I:I="双人沙发01")))&gt;0,"有","无")</f>
        <v>有</v>
      </c>
      <c r="Z126" s="52" t="str">
        <f>IF(COUNTIFS(户型资产表!E:E,I126,户型资产表!H:H,"餐桌")&gt;0,"有","无")</f>
        <v>有</v>
      </c>
      <c r="AA126" s="52" t="str">
        <f>IF(COUNTIFS(户型资产表!E:E,I126,户型资产表!H:H,"吸油烟机")&gt;0,"有","无")</f>
        <v>无</v>
      </c>
      <c r="AB126" s="52" t="str">
        <f>IF(COUNTIFS(户型资产表!E:E,I126,户型资产表!H:H,"冰箱")&gt;0,"有","无")</f>
        <v>无</v>
      </c>
      <c r="AC126" s="52" t="str">
        <f>IF(COUNTIFS(户型资产表!E:E,I126,户型资产表!H:H,"电视柜")&gt;0,"有","无")</f>
        <v>无</v>
      </c>
      <c r="AD126" s="51" t="str">
        <f t="shared" si="28"/>
        <v>适中</v>
      </c>
      <c r="AE126" s="52">
        <f>VLOOKUP($AD$1&amp;AD126,【1】定价因子!E:F,2,0)</f>
        <v>1</v>
      </c>
      <c r="AF126" s="51" t="str">
        <f t="shared" si="29"/>
        <v>适中</v>
      </c>
      <c r="AG126" s="52">
        <f>VLOOKUP($AF$1&amp;AF126,【1】定价因子!E:F,2,0)</f>
        <v>1</v>
      </c>
      <c r="AH126" s="51" t="str">
        <f t="shared" si="30"/>
        <v>适中</v>
      </c>
      <c r="AI126" s="52">
        <f>VLOOKUP($AH$1&amp;AH126,【1】定价因子!E:F,2,0)</f>
        <v>1</v>
      </c>
      <c r="AJ126" s="52" t="str">
        <f>VLOOKUP(H126,'【3-1】大区填-采光基本要素'!A:H,8,0)</f>
        <v>2</v>
      </c>
      <c r="AK126" s="52">
        <f>VLOOKUP($AJ$1&amp;AJ126,【1】定价因子!E:F,2,0)</f>
        <v>0.96</v>
      </c>
      <c r="AL126" s="53">
        <f t="shared" si="31"/>
        <v>2444.484168</v>
      </c>
      <c r="AM126" s="54">
        <v>2448</v>
      </c>
      <c r="AN126" s="55">
        <f t="shared" si="32"/>
        <v>0.00143827153639386</v>
      </c>
      <c r="AO126" s="56">
        <f t="shared" si="27"/>
        <v>2458</v>
      </c>
    </row>
    <row r="127" spans="1:42">
      <c r="A127" s="47" t="str">
        <f>'【2】运营中心填-基本信息&amp;审核标准'!$E$2</f>
        <v>福围广生7-16、17栋</v>
      </c>
      <c r="B127" s="13"/>
      <c r="C127" s="13"/>
      <c r="D127" s="13"/>
      <c r="E127" s="13"/>
      <c r="F127" s="13"/>
      <c r="G127" s="13"/>
      <c r="H127" s="48">
        <v>1014</v>
      </c>
      <c r="I127" s="49" t="s">
        <v>491</v>
      </c>
      <c r="J127" s="49" t="s">
        <v>43</v>
      </c>
      <c r="K127" s="13"/>
      <c r="L127" s="50">
        <f>VLOOKUP(J127,'【3】大区填-楼栋基准格局定价'!B:H,7,0)</f>
        <v>2472.1725</v>
      </c>
      <c r="M127" s="51" t="s">
        <v>63</v>
      </c>
      <c r="N127" s="51">
        <v>23.39</v>
      </c>
      <c r="O127" s="52"/>
      <c r="P127" s="52" t="str">
        <f>IF(COUNTIFS(户型资产表!E:E,I127,户型资产表!H:H,"阳台门")&gt;0,"有","无")</f>
        <v>无</v>
      </c>
      <c r="Q127" s="52"/>
      <c r="R127" s="52" t="str">
        <f>IF('【2】运营中心填-基本信息&amp;审核标准'!$D$4="是","无",IF(INT(H127/100)&gt;9,"9F",INT(H127/100)&amp;"F"))</f>
        <v>无</v>
      </c>
      <c r="S127" s="52">
        <f>VLOOKUP(R127,【1】定价因子!D:F,3,0)</f>
        <v>1</v>
      </c>
      <c r="T127" s="52" t="str">
        <f>IF('【2】运营中心填-基本信息&amp;审核标准'!$D$4="否","无",IF(INT(H127/100)=1,"1F",IF(AND(INT(H127/100)&gt;=2,INT(H127/100)&lt;=3),"2-3F",IF(INT(H127/100)=4,"4F",IF(AND(INT(H127/100)&gt;=5,INT(H127/100)&lt;=6),"5-6F",IF(AND(INT(H127/100)&gt;=7,INT(H127/100)&lt;=8),"7-8F",IF(AND(INT(H127/100)&gt;=9,INT(H127/100)&lt;=10),"9-10F",IF(AND(INT(H127/100)&gt;=11,INT(H127/100)&lt;=12),"11-12F",IF(INT(H127/100)&gt;=13,"13以上F","")))))))))</f>
        <v>9-10F</v>
      </c>
      <c r="U127" s="52">
        <f>VLOOKUP($T$1&amp;T127,【1】定价因子!E:F,2,0)</f>
        <v>1.03</v>
      </c>
      <c r="V127" s="52" t="str">
        <f>IF(COUNTIFS(户型资产表!E:E,I127,户型资产表!H:H,"操作台")&gt;0,"有","无")</f>
        <v>有</v>
      </c>
      <c r="W127" s="52" t="str">
        <f>IF(COUNTIFS(户型资产表!E:E,I127,户型资产表!H:H,"书桌")&gt;0,"有","无")</f>
        <v>无</v>
      </c>
      <c r="X127" s="52" t="str" cm="1">
        <f t="array" ref="X127">IF(SUMPRODUCT((户型资产表!E:E=I127)*((户型资产表!I:I="沙发01单人")+(户型资产表!I:I="单人沙发02")))&gt;0,"有","无")</f>
        <v>无</v>
      </c>
      <c r="Y127" s="52" t="str" cm="1">
        <f t="array" ref="Y127">IF(SUMPRODUCT((户型资产表!E:E=I127)*((户型资产表!I:I="沙发02两人")+(户型资产表!I:I="双人沙发01")))&gt;0,"有","无")</f>
        <v>有</v>
      </c>
      <c r="Z127" s="52" t="str">
        <f>IF(COUNTIFS(户型资产表!E:E,I127,户型资产表!H:H,"餐桌")&gt;0,"有","无")</f>
        <v>有</v>
      </c>
      <c r="AA127" s="52" t="str">
        <f>IF(COUNTIFS(户型资产表!E:E,I127,户型资产表!H:H,"吸油烟机")&gt;0,"有","无")</f>
        <v>无</v>
      </c>
      <c r="AB127" s="52" t="str">
        <f>IF(COUNTIFS(户型资产表!E:E,I127,户型资产表!H:H,"冰箱")&gt;0,"有","无")</f>
        <v>无</v>
      </c>
      <c r="AC127" s="52" t="str">
        <f>IF(COUNTIFS(户型资产表!E:E,I127,户型资产表!H:H,"电视柜")&gt;0,"有","无")</f>
        <v>无</v>
      </c>
      <c r="AD127" s="51" t="str">
        <f t="shared" si="28"/>
        <v>适中</v>
      </c>
      <c r="AE127" s="52">
        <f>VLOOKUP($AD$1&amp;AD127,【1】定价因子!E:F,2,0)</f>
        <v>1</v>
      </c>
      <c r="AF127" s="51" t="str">
        <f t="shared" si="29"/>
        <v>适中</v>
      </c>
      <c r="AG127" s="52">
        <f>VLOOKUP($AF$1&amp;AF127,【1】定价因子!E:F,2,0)</f>
        <v>1</v>
      </c>
      <c r="AH127" s="51" t="str">
        <f t="shared" si="30"/>
        <v>适中</v>
      </c>
      <c r="AI127" s="52">
        <f>VLOOKUP($AH$1&amp;AH127,【1】定价因子!E:F,2,0)</f>
        <v>1</v>
      </c>
      <c r="AJ127" s="52" t="str">
        <f>VLOOKUP(H127,'【3-1】大区填-采光基本要素'!A:H,8,0)</f>
        <v>2</v>
      </c>
      <c r="AK127" s="52">
        <f>VLOOKUP($AJ$1&amp;AJ127,【1】定价因子!E:F,2,0)</f>
        <v>0.96</v>
      </c>
      <c r="AL127" s="53">
        <f t="shared" si="31"/>
        <v>2444.484168</v>
      </c>
      <c r="AM127" s="54">
        <v>2448</v>
      </c>
      <c r="AN127" s="55">
        <f t="shared" si="32"/>
        <v>0.00143827153639386</v>
      </c>
      <c r="AO127" s="56">
        <f t="shared" si="27"/>
        <v>2458</v>
      </c>
    </row>
    <row r="128" spans="1:42">
      <c r="A128" s="47" t="str">
        <f>'【2】运营中心填-基本信息&amp;审核标准'!$E$2</f>
        <v>福围广生7-16、17栋</v>
      </c>
      <c r="B128" s="13"/>
      <c r="C128" s="13"/>
      <c r="D128" s="13"/>
      <c r="E128" s="13"/>
      <c r="F128" s="13"/>
      <c r="G128" s="13"/>
      <c r="H128" s="48">
        <v>1101</v>
      </c>
      <c r="I128" s="49" t="s">
        <v>491</v>
      </c>
      <c r="J128" s="49" t="s">
        <v>43</v>
      </c>
      <c r="K128" s="13"/>
      <c r="L128" s="50">
        <f>VLOOKUP(J128,'【3】大区填-楼栋基准格局定价'!B:H,7,0)</f>
        <v>2472.1725</v>
      </c>
      <c r="M128" s="51" t="s">
        <v>65</v>
      </c>
      <c r="N128" s="51">
        <v>22.14</v>
      </c>
      <c r="O128" s="52"/>
      <c r="P128" s="52" t="str">
        <f>IF(COUNTIFS(户型资产表!E:E,I128,户型资产表!H:H,"阳台门")&gt;0,"有","无")</f>
        <v>无</v>
      </c>
      <c r="Q128" s="52"/>
      <c r="R128" s="52" t="str">
        <f>IF('【2】运营中心填-基本信息&amp;审核标准'!$D$4="是","无",IF(INT(H128/100)&gt;9,"9F",INT(H128/100)&amp;"F"))</f>
        <v>无</v>
      </c>
      <c r="S128" s="52">
        <f>VLOOKUP(R128,【1】定价因子!D:F,3,0)</f>
        <v>1</v>
      </c>
      <c r="T128" s="52" t="str">
        <f>IF('【2】运营中心填-基本信息&amp;审核标准'!$D$4="否","无",IF(INT(H128/100)=1,"1F",IF(AND(INT(H128/100)&gt;=2,INT(H128/100)&lt;=3),"2-3F",IF(INT(H128/100)=4,"4F",IF(AND(INT(H128/100)&gt;=5,INT(H128/100)&lt;=6),"5-6F",IF(AND(INT(H128/100)&gt;=7,INT(H128/100)&lt;=8),"7-8F",IF(AND(INT(H128/100)&gt;=9,INT(H128/100)&lt;=10),"9-10F",IF(AND(INT(H128/100)&gt;=11,INT(H128/100)&lt;=12),"11-12F",IF(INT(H128/100)&gt;=13,"13以上F","")))))))))</f>
        <v>11-12F</v>
      </c>
      <c r="U128" s="52">
        <f>VLOOKUP($T$1&amp;T128,【1】定价因子!E:F,2,0)</f>
        <v>1.04</v>
      </c>
      <c r="V128" s="52" t="str">
        <f>IF(COUNTIFS(户型资产表!E:E,I128,户型资产表!H:H,"操作台")&gt;0,"有","无")</f>
        <v>有</v>
      </c>
      <c r="W128" s="52" t="str">
        <f>IF(COUNTIFS(户型资产表!E:E,I128,户型资产表!H:H,"书桌")&gt;0,"有","无")</f>
        <v>无</v>
      </c>
      <c r="X128" s="52" t="str" cm="1">
        <f t="array" ref="X128">IF(SUMPRODUCT((户型资产表!E:E=I128)*((户型资产表!I:I="沙发01单人")+(户型资产表!I:I="单人沙发02")))&gt;0,"有","无")</f>
        <v>无</v>
      </c>
      <c r="Y128" s="52" t="str" cm="1">
        <f t="array" ref="Y128">IF(SUMPRODUCT((户型资产表!E:E=I128)*((户型资产表!I:I="沙发02两人")+(户型资产表!I:I="双人沙发01")))&gt;0,"有","无")</f>
        <v>有</v>
      </c>
      <c r="Z128" s="52" t="str">
        <f>IF(COUNTIFS(户型资产表!E:E,I128,户型资产表!H:H,"餐桌")&gt;0,"有","无")</f>
        <v>有</v>
      </c>
      <c r="AA128" s="52" t="str">
        <f>IF(COUNTIFS(户型资产表!E:E,I128,户型资产表!H:H,"吸油烟机")&gt;0,"有","无")</f>
        <v>无</v>
      </c>
      <c r="AB128" s="52" t="str">
        <f>IF(COUNTIFS(户型资产表!E:E,I128,户型资产表!H:H,"冰箱")&gt;0,"有","无")</f>
        <v>无</v>
      </c>
      <c r="AC128" s="52" t="str">
        <f>IF(COUNTIFS(户型资产表!E:E,I128,户型资产表!H:H,"电视柜")&gt;0,"有","无")</f>
        <v>无</v>
      </c>
      <c r="AD128" s="51" t="str">
        <f t="shared" si="28"/>
        <v>适中</v>
      </c>
      <c r="AE128" s="52">
        <f>VLOOKUP($AD$1&amp;AD128,【1】定价因子!E:F,2,0)</f>
        <v>1</v>
      </c>
      <c r="AF128" s="51" t="str">
        <f t="shared" si="29"/>
        <v>适中</v>
      </c>
      <c r="AG128" s="52">
        <f>VLOOKUP($AF$1&amp;AF128,【1】定价因子!E:F,2,0)</f>
        <v>1</v>
      </c>
      <c r="AH128" s="51" t="str">
        <f t="shared" si="30"/>
        <v>适中</v>
      </c>
      <c r="AI128" s="52">
        <f>VLOOKUP($AH$1&amp;AH128,【1】定价因子!E:F,2,0)</f>
        <v>1</v>
      </c>
      <c r="AJ128" s="52" t="str">
        <f>VLOOKUP(H128,'【3-1】大区填-采光基本要素'!A:H,8,0)</f>
        <v>2</v>
      </c>
      <c r="AK128" s="52">
        <f>VLOOKUP($AJ$1&amp;AJ128,【1】定价因子!E:F,2,0)</f>
        <v>0.96</v>
      </c>
      <c r="AL128" s="53">
        <f t="shared" si="31"/>
        <v>2468.217024</v>
      </c>
      <c r="AM128" s="54">
        <v>2448</v>
      </c>
      <c r="AN128" s="55">
        <f t="shared" si="32"/>
        <v>-0.00819094261299447</v>
      </c>
      <c r="AO128" s="56">
        <f t="shared" si="27"/>
        <v>2458</v>
      </c>
    </row>
    <row r="129" spans="1:42">
      <c r="A129" s="47" t="str">
        <f>'【2】运营中心填-基本信息&amp;审核标准'!$E$2</f>
        <v>福围广生7-16、17栋</v>
      </c>
      <c r="B129" s="13"/>
      <c r="C129" s="13"/>
      <c r="D129" s="13"/>
      <c r="E129" s="13"/>
      <c r="F129" s="13"/>
      <c r="G129" s="13"/>
      <c r="H129" s="48">
        <v>1102</v>
      </c>
      <c r="I129" s="49" t="s">
        <v>492</v>
      </c>
      <c r="J129" s="49" t="s">
        <v>40</v>
      </c>
      <c r="K129" s="13"/>
      <c r="L129" s="50">
        <f>VLOOKUP(J129,'【3】大区填-楼栋基准格局定价'!B:H,7,0)</f>
        <v>1658.8509</v>
      </c>
      <c r="M129" s="51" t="s">
        <v>58</v>
      </c>
      <c r="N129" s="51">
        <v>21.67</v>
      </c>
      <c r="O129" s="52"/>
      <c r="P129" s="52" t="str">
        <f>IF(COUNTIFS(户型资产表!E:E,I129,户型资产表!H:H,"阳台门")&gt;0,"有","无")</f>
        <v>无</v>
      </c>
      <c r="Q129" s="52"/>
      <c r="R129" s="52" t="str">
        <f>IF('【2】运营中心填-基本信息&amp;审核标准'!$D$4="是","无",IF(INT(H129/100)&gt;9,"9F",INT(H129/100)&amp;"F"))</f>
        <v>无</v>
      </c>
      <c r="S129" s="52">
        <f>VLOOKUP(R129,【1】定价因子!D:F,3,0)</f>
        <v>1</v>
      </c>
      <c r="T129" s="52" t="str">
        <f>IF('【2】运营中心填-基本信息&amp;审核标准'!$D$4="否","无",IF(INT(H129/100)=1,"1F",IF(AND(INT(H129/100)&gt;=2,INT(H129/100)&lt;=3),"2-3F",IF(INT(H129/100)=4,"4F",IF(AND(INT(H129/100)&gt;=5,INT(H129/100)&lt;=6),"5-6F",IF(AND(INT(H129/100)&gt;=7,INT(H129/100)&lt;=8),"7-8F",IF(AND(INT(H129/100)&gt;=9,INT(H129/100)&lt;=10),"9-10F",IF(AND(INT(H129/100)&gt;=11,INT(H129/100)&lt;=12),"11-12F",IF(INT(H129/100)&gt;=13,"13以上F","")))))))))</f>
        <v>11-12F</v>
      </c>
      <c r="U129" s="52">
        <f>VLOOKUP($T$1&amp;T129,【1】定价因子!E:F,2,0)</f>
        <v>1.04</v>
      </c>
      <c r="V129" s="52" t="str">
        <f>IF(COUNTIFS(户型资产表!E:E,I129,户型资产表!H:H,"操作台")&gt;0,"有","无")</f>
        <v>有</v>
      </c>
      <c r="W129" s="52" t="str">
        <f>IF(COUNTIFS(户型资产表!E:E,I129,户型资产表!H:H,"书桌")&gt;0,"有","无")</f>
        <v>有</v>
      </c>
      <c r="X129" s="52" t="str" cm="1">
        <f t="array" ref="X129">IF(SUMPRODUCT((户型资产表!E:E=I129)*((户型资产表!I:I="沙发01单人")+(户型资产表!I:I="单人沙发02")))&gt;0,"有","无")</f>
        <v>无</v>
      </c>
      <c r="Y129" s="52" t="str" cm="1">
        <f t="array" ref="Y129">IF(SUMPRODUCT((户型资产表!E:E=I129)*((户型资产表!I:I="沙发02两人")+(户型资产表!I:I="双人沙发01")))&gt;0,"有","无")</f>
        <v>无</v>
      </c>
      <c r="Z129" s="52" t="str">
        <f>IF(COUNTIFS(户型资产表!E:E,I129,户型资产表!H:H,"餐桌")&gt;0,"有","无")</f>
        <v>无</v>
      </c>
      <c r="AA129" s="52" t="str">
        <f>IF(COUNTIFS(户型资产表!E:E,I129,户型资产表!H:H,"吸油烟机")&gt;0,"有","无")</f>
        <v>无</v>
      </c>
      <c r="AB129" s="52" t="str">
        <f>IF(COUNTIFS(户型资产表!E:E,I129,户型资产表!H:H,"冰箱")&gt;0,"有","无")</f>
        <v>无</v>
      </c>
      <c r="AC129" s="52" t="str">
        <f>IF(COUNTIFS(户型资产表!E:E,I129,户型资产表!H:H,"电视柜")&gt;0,"有","无")</f>
        <v>无</v>
      </c>
      <c r="AD129" s="51" t="str">
        <f t="shared" si="28"/>
        <v>适中</v>
      </c>
      <c r="AE129" s="52">
        <f>VLOOKUP($AD$1&amp;AD129,【1】定价因子!E:F,2,0)</f>
        <v>1</v>
      </c>
      <c r="AF129" s="51" t="str">
        <f t="shared" si="29"/>
        <v>适中</v>
      </c>
      <c r="AG129" s="52">
        <f>VLOOKUP($AF$1&amp;AF129,【1】定价因子!E:F,2,0)</f>
        <v>1</v>
      </c>
      <c r="AH129" s="51" t="str">
        <f t="shared" si="30"/>
        <v>适中</v>
      </c>
      <c r="AI129" s="52">
        <f>VLOOKUP($AH$1&amp;AH129,【1】定价因子!E:F,2,0)</f>
        <v>1</v>
      </c>
      <c r="AJ129" s="52" t="str">
        <f>VLOOKUP(H129,'【3-1】大区填-采光基本要素'!A:H,8,0)</f>
        <v>2</v>
      </c>
      <c r="AK129" s="52">
        <f>VLOOKUP($AJ$1&amp;AJ129,【1】定价因子!E:F,2,0)</f>
        <v>0.96</v>
      </c>
      <c r="AL129" s="53">
        <f t="shared" si="31"/>
        <v>1656.19673856</v>
      </c>
      <c r="AM129" s="54">
        <v>1518</v>
      </c>
      <c r="AN129" s="55">
        <f t="shared" si="32"/>
        <v>-0.0834422235851985</v>
      </c>
      <c r="AO129" s="56">
        <f t="shared" si="27"/>
        <v>1528</v>
      </c>
    </row>
    <row r="130" spans="1:42">
      <c r="A130" s="47" t="str">
        <f>'【2】运营中心填-基本信息&amp;审核标准'!$E$2</f>
        <v>福围广生7-16、17栋</v>
      </c>
      <c r="B130" s="13"/>
      <c r="C130" s="13"/>
      <c r="D130" s="13"/>
      <c r="E130" s="13"/>
      <c r="F130" s="13"/>
      <c r="G130" s="13"/>
      <c r="H130" s="48">
        <v>1103</v>
      </c>
      <c r="I130" s="49" t="s">
        <v>492</v>
      </c>
      <c r="J130" s="49" t="s">
        <v>40</v>
      </c>
      <c r="K130" s="13"/>
      <c r="L130" s="50">
        <f>VLOOKUP(J130,'【3】大区填-楼栋基准格局定价'!B:H,7,0)</f>
        <v>1658.8509</v>
      </c>
      <c r="M130" s="51" t="s">
        <v>63</v>
      </c>
      <c r="N130" s="51">
        <v>16.32</v>
      </c>
      <c r="O130" s="52"/>
      <c r="P130" s="52" t="str">
        <f>IF(COUNTIFS(户型资产表!E:E,I130,户型资产表!H:H,"阳台门")&gt;0,"有","无")</f>
        <v>无</v>
      </c>
      <c r="Q130" s="52"/>
      <c r="R130" s="52" t="str">
        <f>IF('【2】运营中心填-基本信息&amp;审核标准'!$D$4="是","无",IF(INT(H130/100)&gt;9,"9F",INT(H130/100)&amp;"F"))</f>
        <v>无</v>
      </c>
      <c r="S130" s="52">
        <f>VLOOKUP(R130,【1】定价因子!D:F,3,0)</f>
        <v>1</v>
      </c>
      <c r="T130" s="52" t="str">
        <f>IF('【2】运营中心填-基本信息&amp;审核标准'!$D$4="否","无",IF(INT(H130/100)=1,"1F",IF(AND(INT(H130/100)&gt;=2,INT(H130/100)&lt;=3),"2-3F",IF(INT(H130/100)=4,"4F",IF(AND(INT(H130/100)&gt;=5,INT(H130/100)&lt;=6),"5-6F",IF(AND(INT(H130/100)&gt;=7,INT(H130/100)&lt;=8),"7-8F",IF(AND(INT(H130/100)&gt;=9,INT(H130/100)&lt;=10),"9-10F",IF(AND(INT(H130/100)&gt;=11,INT(H130/100)&lt;=12),"11-12F",IF(INT(H130/100)&gt;=13,"13以上F","")))))))))</f>
        <v>11-12F</v>
      </c>
      <c r="U130" s="52">
        <f>VLOOKUP($T$1&amp;T130,【1】定价因子!E:F,2,0)</f>
        <v>1.04</v>
      </c>
      <c r="V130" s="52" t="str">
        <f>IF(COUNTIFS(户型资产表!E:E,I130,户型资产表!H:H,"操作台")&gt;0,"有","无")</f>
        <v>有</v>
      </c>
      <c r="W130" s="52" t="str">
        <f>IF(COUNTIFS(户型资产表!E:E,I130,户型资产表!H:H,"书桌")&gt;0,"有","无")</f>
        <v>有</v>
      </c>
      <c r="X130" s="52" t="str" cm="1">
        <f t="array" ref="X130">IF(SUMPRODUCT((户型资产表!E:E=I130)*((户型资产表!I:I="沙发01单人")+(户型资产表!I:I="单人沙发02")))&gt;0,"有","无")</f>
        <v>无</v>
      </c>
      <c r="Y130" s="52" t="str" cm="1">
        <f t="array" ref="Y130">IF(SUMPRODUCT((户型资产表!E:E=I130)*((户型资产表!I:I="沙发02两人")+(户型资产表!I:I="双人沙发01")))&gt;0,"有","无")</f>
        <v>无</v>
      </c>
      <c r="Z130" s="52" t="str">
        <f>IF(COUNTIFS(户型资产表!E:E,I130,户型资产表!H:H,"餐桌")&gt;0,"有","无")</f>
        <v>无</v>
      </c>
      <c r="AA130" s="52" t="str">
        <f>IF(COUNTIFS(户型资产表!E:E,I130,户型资产表!H:H,"吸油烟机")&gt;0,"有","无")</f>
        <v>无</v>
      </c>
      <c r="AB130" s="52" t="str">
        <f>IF(COUNTIFS(户型资产表!E:E,I130,户型资产表!H:H,"冰箱")&gt;0,"有","无")</f>
        <v>无</v>
      </c>
      <c r="AC130" s="52" t="str">
        <f>IF(COUNTIFS(户型资产表!E:E,I130,户型资产表!H:H,"电视柜")&gt;0,"有","无")</f>
        <v>无</v>
      </c>
      <c r="AD130" s="51" t="str">
        <f t="shared" si="28"/>
        <v>适中</v>
      </c>
      <c r="AE130" s="52">
        <f>VLOOKUP($AD$1&amp;AD130,【1】定价因子!E:F,2,0)</f>
        <v>1</v>
      </c>
      <c r="AF130" s="51" t="str">
        <f t="shared" si="29"/>
        <v>适中</v>
      </c>
      <c r="AG130" s="52">
        <f>VLOOKUP($AF$1&amp;AF130,【1】定价因子!E:F,2,0)</f>
        <v>1</v>
      </c>
      <c r="AH130" s="51" t="str">
        <f t="shared" si="30"/>
        <v>适中</v>
      </c>
      <c r="AI130" s="52">
        <f>VLOOKUP($AH$1&amp;AH130,【1】定价因子!E:F,2,0)</f>
        <v>1</v>
      </c>
      <c r="AJ130" s="52" t="str">
        <f>VLOOKUP(H130,'【3-1】大区填-采光基本要素'!A:H,8,0)</f>
        <v>2</v>
      </c>
      <c r="AK130" s="52">
        <f>VLOOKUP($AJ$1&amp;AJ130,【1】定价因子!E:F,2,0)</f>
        <v>0.96</v>
      </c>
      <c r="AL130" s="53">
        <f t="shared" si="31"/>
        <v>1656.19673856</v>
      </c>
      <c r="AM130" s="54">
        <v>1518</v>
      </c>
      <c r="AN130" s="55">
        <f t="shared" si="32"/>
        <v>-0.0834422235851985</v>
      </c>
      <c r="AO130" s="56">
        <f t="shared" si="27"/>
        <v>1528</v>
      </c>
    </row>
    <row r="131" s="34" customFormat="1" spans="1:42">
      <c r="A131" s="57" t="str">
        <f>'【2】运营中心填-基本信息&amp;审核标准'!$E$2</f>
        <v>福围广生7-16、17栋</v>
      </c>
      <c r="B131" s="57"/>
      <c r="C131" s="57"/>
      <c r="D131" s="57"/>
      <c r="E131" s="57"/>
      <c r="F131" s="57"/>
      <c r="G131" s="57"/>
      <c r="H131" s="58">
        <v>1104</v>
      </c>
      <c r="I131" s="59" t="s">
        <v>491</v>
      </c>
      <c r="J131" s="59" t="s">
        <v>43</v>
      </c>
      <c r="K131" s="57"/>
      <c r="L131" s="60">
        <f>VLOOKUP(J131,'【3】大区填-楼栋基准格局定价'!B:H,7,0)</f>
        <v>2472.1725</v>
      </c>
      <c r="M131" s="61" t="s">
        <v>65</v>
      </c>
      <c r="N131" s="61">
        <v>20.73</v>
      </c>
      <c r="O131" s="57"/>
      <c r="P131" s="57" t="str">
        <f>IF(COUNTIFS(户型资产表!E:E,I131,户型资产表!H:H,"阳台门")&gt;0,"有","无")</f>
        <v>无</v>
      </c>
      <c r="Q131" s="57"/>
      <c r="R131" s="57" t="str">
        <f>IF('【2】运营中心填-基本信息&amp;审核标准'!$D$4="是","无",IF(INT(H131/100)&gt;9,"9F",INT(H131/100)&amp;"F"))</f>
        <v>无</v>
      </c>
      <c r="S131" s="57">
        <f>VLOOKUP(R131,【1】定价因子!D:F,3,0)</f>
        <v>1</v>
      </c>
      <c r="T131" s="57" t="str">
        <f>IF('【2】运营中心填-基本信息&amp;审核标准'!$D$4="否","无",IF(INT(H131/100)=1,"1F",IF(AND(INT(H131/100)&gt;=2,INT(H131/100)&lt;=3),"2-3F",IF(INT(H131/100)=4,"4F",IF(AND(INT(H131/100)&gt;=5,INT(H131/100)&lt;=6),"5-6F",IF(AND(INT(H131/100)&gt;=7,INT(H131/100)&lt;=8),"7-8F",IF(AND(INT(H131/100)&gt;=9,INT(H131/100)&lt;=10),"9-10F",IF(AND(INT(H131/100)&gt;=11,INT(H131/100)&lt;=12),"11-12F",IF(INT(H131/100)&gt;=13,"13以上F","")))))))))</f>
        <v>11-12F</v>
      </c>
      <c r="U131" s="57">
        <f>VLOOKUP($T$1&amp;T131,【1】定价因子!E:F,2,0)</f>
        <v>1.04</v>
      </c>
      <c r="V131" s="57" t="str">
        <f>IF(COUNTIFS(户型资产表!E:E,I131,户型资产表!H:H,"操作台")&gt;0,"有","无")</f>
        <v>有</v>
      </c>
      <c r="W131" s="57" t="str">
        <f>IF(COUNTIFS(户型资产表!E:E,I131,户型资产表!H:H,"书桌")&gt;0,"有","无")</f>
        <v>无</v>
      </c>
      <c r="X131" s="57" t="str" cm="1">
        <f t="array" ref="X131">IF(SUMPRODUCT((户型资产表!E:E=I131)*((户型资产表!I:I="沙发01单人")+(户型资产表!I:I="单人沙发02")))&gt;0,"有","无")</f>
        <v>无</v>
      </c>
      <c r="Y131" s="57" t="str" cm="1">
        <f t="array" ref="Y131">IF(SUMPRODUCT((户型资产表!E:E=I131)*((户型资产表!I:I="沙发02两人")+(户型资产表!I:I="双人沙发01")))&gt;0,"有","无")</f>
        <v>有</v>
      </c>
      <c r="Z131" s="57" t="str">
        <f>IF(COUNTIFS(户型资产表!E:E,I131,户型资产表!H:H,"餐桌")&gt;0,"有","无")</f>
        <v>有</v>
      </c>
      <c r="AA131" s="57" t="str">
        <f>IF(COUNTIFS(户型资产表!E:E,I131,户型资产表!H:H,"吸油烟机")&gt;0,"有","无")</f>
        <v>无</v>
      </c>
      <c r="AB131" s="57" t="str">
        <f>IF(COUNTIFS(户型资产表!E:E,I131,户型资产表!H:H,"冰箱")&gt;0,"有","无")</f>
        <v>无</v>
      </c>
      <c r="AC131" s="57" t="str">
        <f>IF(COUNTIFS(户型资产表!E:E,I131,户型资产表!H:H,"电视柜")&gt;0,"有","无")</f>
        <v>无</v>
      </c>
      <c r="AD131" s="61" t="str">
        <f t="shared" si="28"/>
        <v>适中</v>
      </c>
      <c r="AE131" s="57">
        <f>VLOOKUP($AD$1&amp;AD131,【1】定价因子!E:F,2,0)</f>
        <v>1</v>
      </c>
      <c r="AF131" s="61" t="str">
        <f t="shared" si="29"/>
        <v>适中</v>
      </c>
      <c r="AG131" s="57">
        <f>VLOOKUP($AF$1&amp;AF131,【1】定价因子!E:F,2,0)</f>
        <v>1</v>
      </c>
      <c r="AH131" s="61" t="str">
        <f t="shared" si="30"/>
        <v>适中</v>
      </c>
      <c r="AI131" s="57">
        <f>VLOOKUP($AH$1&amp;AH131,【1】定价因子!E:F,2,0)</f>
        <v>1</v>
      </c>
      <c r="AJ131" s="57" t="str">
        <f>VLOOKUP(H131,'【3-1】大区填-采光基本要素'!A:H,8,0)</f>
        <v>2</v>
      </c>
      <c r="AK131" s="57">
        <f>VLOOKUP($AJ$1&amp;AJ131,【1】定价因子!E:F,2,0)</f>
        <v>0.96</v>
      </c>
      <c r="AL131" s="62">
        <f t="shared" si="31"/>
        <v>2468.217024</v>
      </c>
      <c r="AM131" s="63">
        <v>2200</v>
      </c>
      <c r="AN131" s="64">
        <f t="shared" si="32"/>
        <v>-0.108668330779652</v>
      </c>
      <c r="AO131" s="65">
        <f t="shared" ref="AO131:AO166" si="33">AM131+10</f>
        <v>2210</v>
      </c>
      <c r="AP131" s="34">
        <v>2448</v>
      </c>
    </row>
    <row r="132" spans="1:42">
      <c r="A132" s="47" t="str">
        <f>'【2】运营中心填-基本信息&amp;审核标准'!$E$2</f>
        <v>福围广生7-16、17栋</v>
      </c>
      <c r="B132" s="13"/>
      <c r="C132" s="13"/>
      <c r="D132" s="13"/>
      <c r="E132" s="13"/>
      <c r="F132" s="13"/>
      <c r="G132" s="13"/>
      <c r="H132" s="48">
        <v>1105</v>
      </c>
      <c r="I132" s="49" t="s">
        <v>493</v>
      </c>
      <c r="J132" s="49" t="s">
        <v>43</v>
      </c>
      <c r="K132" s="13"/>
      <c r="L132" s="50">
        <f>VLOOKUP(J132,'【3】大区填-楼栋基准格局定价'!B:H,7,0)</f>
        <v>2472.1725</v>
      </c>
      <c r="M132" s="51" t="s">
        <v>65</v>
      </c>
      <c r="N132" s="51">
        <v>21.83</v>
      </c>
      <c r="O132" s="52"/>
      <c r="P132" s="52" t="str">
        <f>IF(COUNTIFS(户型资产表!E:E,I132,户型资产表!H:H,"阳台门")&gt;0,"有","无")</f>
        <v>无</v>
      </c>
      <c r="Q132" s="52"/>
      <c r="R132" s="52" t="str">
        <f>IF('【2】运营中心填-基本信息&amp;审核标准'!$D$4="是","无",IF(INT(H132/100)&gt;9,"9F",INT(H132/100)&amp;"F"))</f>
        <v>无</v>
      </c>
      <c r="S132" s="52">
        <f>VLOOKUP(R132,【1】定价因子!D:F,3,0)</f>
        <v>1</v>
      </c>
      <c r="T132" s="52" t="str">
        <f>IF('【2】运营中心填-基本信息&amp;审核标准'!$D$4="否","无",IF(INT(H132/100)=1,"1F",IF(AND(INT(H132/100)&gt;=2,INT(H132/100)&lt;=3),"2-3F",IF(INT(H132/100)=4,"4F",IF(AND(INT(H132/100)&gt;=5,INT(H132/100)&lt;=6),"5-6F",IF(AND(INT(H132/100)&gt;=7,INT(H132/100)&lt;=8),"7-8F",IF(AND(INT(H132/100)&gt;=9,INT(H132/100)&lt;=10),"9-10F",IF(AND(INT(H132/100)&gt;=11,INT(H132/100)&lt;=12),"11-12F",IF(INT(H132/100)&gt;=13,"13以上F","")))))))))</f>
        <v>11-12F</v>
      </c>
      <c r="U132" s="52">
        <f>VLOOKUP($T$1&amp;T132,【1】定价因子!E:F,2,0)</f>
        <v>1.04</v>
      </c>
      <c r="V132" s="52" t="str">
        <f>IF(COUNTIFS(户型资产表!E:E,I132,户型资产表!H:H,"操作台")&gt;0,"有","无")</f>
        <v>有</v>
      </c>
      <c r="W132" s="52" t="str">
        <f>IF(COUNTIFS(户型资产表!E:E,I132,户型资产表!H:H,"书桌")&gt;0,"有","无")</f>
        <v>无</v>
      </c>
      <c r="X132" s="52" t="str" cm="1">
        <f t="array" ref="X132">IF(SUMPRODUCT((户型资产表!E:E=I132)*((户型资产表!I:I="沙发01单人")+(户型资产表!I:I="单人沙发02")))&gt;0,"有","无")</f>
        <v>无</v>
      </c>
      <c r="Y132" s="52" t="str" cm="1">
        <f t="array" ref="Y132">IF(SUMPRODUCT((户型资产表!E:E=I132)*((户型资产表!I:I="沙发02两人")+(户型资产表!I:I="双人沙发01")))&gt;0,"有","无")</f>
        <v>有</v>
      </c>
      <c r="Z132" s="52" t="str">
        <f>IF(COUNTIFS(户型资产表!E:E,I132,户型资产表!H:H,"餐桌")&gt;0,"有","无")</f>
        <v>有</v>
      </c>
      <c r="AA132" s="52" t="str">
        <f>IF(COUNTIFS(户型资产表!E:E,I132,户型资产表!H:H,"吸油烟机")&gt;0,"有","无")</f>
        <v>无</v>
      </c>
      <c r="AB132" s="52" t="str">
        <f>IF(COUNTIFS(户型资产表!E:E,I132,户型资产表!H:H,"冰箱")&gt;0,"有","无")</f>
        <v>无</v>
      </c>
      <c r="AC132" s="52" t="str">
        <f>IF(COUNTIFS(户型资产表!E:E,I132,户型资产表!H:H,"电视柜")&gt;0,"有","无")</f>
        <v>无</v>
      </c>
      <c r="AD132" s="51" t="str">
        <f t="shared" si="28"/>
        <v>适中</v>
      </c>
      <c r="AE132" s="52">
        <f>VLOOKUP($AD$1&amp;AD132,【1】定价因子!E:F,2,0)</f>
        <v>1</v>
      </c>
      <c r="AF132" s="51" t="str">
        <f t="shared" si="29"/>
        <v>适中</v>
      </c>
      <c r="AG132" s="52">
        <f>VLOOKUP($AF$1&amp;AF132,【1】定价因子!E:F,2,0)</f>
        <v>1</v>
      </c>
      <c r="AH132" s="51" t="str">
        <f t="shared" si="30"/>
        <v>适中</v>
      </c>
      <c r="AI132" s="52">
        <f>VLOOKUP($AH$1&amp;AH132,【1】定价因子!E:F,2,0)</f>
        <v>1</v>
      </c>
      <c r="AJ132" s="52" t="str">
        <f>VLOOKUP(H132,'【3-1】大区填-采光基本要素'!A:H,8,0)</f>
        <v>2</v>
      </c>
      <c r="AK132" s="52">
        <f>VLOOKUP($AJ$1&amp;AJ132,【1】定价因子!E:F,2,0)</f>
        <v>0.96</v>
      </c>
      <c r="AL132" s="53">
        <f t="shared" si="31"/>
        <v>2468.217024</v>
      </c>
      <c r="AM132" s="54">
        <v>2448</v>
      </c>
      <c r="AN132" s="55">
        <f t="shared" si="32"/>
        <v>-0.00819094261299447</v>
      </c>
      <c r="AO132" s="56">
        <f t="shared" si="33"/>
        <v>2458</v>
      </c>
    </row>
    <row r="133" spans="1:42">
      <c r="A133" s="47" t="str">
        <f>'【2】运营中心填-基本信息&amp;审核标准'!$E$2</f>
        <v>福围广生7-16、17栋</v>
      </c>
      <c r="B133" s="13"/>
      <c r="C133" s="13"/>
      <c r="D133" s="13"/>
      <c r="E133" s="13"/>
      <c r="F133" s="13"/>
      <c r="G133" s="13"/>
      <c r="H133" s="48">
        <v>1106</v>
      </c>
      <c r="I133" s="49" t="s">
        <v>494</v>
      </c>
      <c r="J133" s="49" t="s">
        <v>40</v>
      </c>
      <c r="K133" s="13"/>
      <c r="L133" s="50">
        <f>VLOOKUP(J133,'【3】大区填-楼栋基准格局定价'!B:H,7,0)</f>
        <v>1658.8509</v>
      </c>
      <c r="M133" s="51" t="s">
        <v>61</v>
      </c>
      <c r="N133" s="51">
        <v>17.58</v>
      </c>
      <c r="O133" s="52"/>
      <c r="P133" s="52" t="str">
        <f>IF(COUNTIFS(户型资产表!E:E,I133,户型资产表!H:H,"阳台门")&gt;0,"有","无")</f>
        <v>无</v>
      </c>
      <c r="Q133" s="52"/>
      <c r="R133" s="52" t="str">
        <f>IF('【2】运营中心填-基本信息&amp;审核标准'!$D$4="是","无",IF(INT(H133/100)&gt;9,"9F",INT(H133/100)&amp;"F"))</f>
        <v>无</v>
      </c>
      <c r="S133" s="52">
        <f>VLOOKUP(R133,【1】定价因子!D:F,3,0)</f>
        <v>1</v>
      </c>
      <c r="T133" s="52" t="str">
        <f>IF('【2】运营中心填-基本信息&amp;审核标准'!$D$4="否","无",IF(INT(H133/100)=1,"1F",IF(AND(INT(H133/100)&gt;=2,INT(H133/100)&lt;=3),"2-3F",IF(INT(H133/100)=4,"4F",IF(AND(INT(H133/100)&gt;=5,INT(H133/100)&lt;=6),"5-6F",IF(AND(INT(H133/100)&gt;=7,INT(H133/100)&lt;=8),"7-8F",IF(AND(INT(H133/100)&gt;=9,INT(H133/100)&lt;=10),"9-10F",IF(AND(INT(H133/100)&gt;=11,INT(H133/100)&lt;=12),"11-12F",IF(INT(H133/100)&gt;=13,"13以上F","")))))))))</f>
        <v>11-12F</v>
      </c>
      <c r="U133" s="52">
        <f>VLOOKUP($T$1&amp;T133,【1】定价因子!E:F,2,0)</f>
        <v>1.04</v>
      </c>
      <c r="V133" s="52" t="str">
        <f>IF(COUNTIFS(户型资产表!E:E,I133,户型资产表!H:H,"操作台")&gt;0,"有","无")</f>
        <v>有</v>
      </c>
      <c r="W133" s="52" t="str">
        <f>IF(COUNTIFS(户型资产表!E:E,I133,户型资产表!H:H,"书桌")&gt;0,"有","无")</f>
        <v>有</v>
      </c>
      <c r="X133" s="52" t="str" cm="1">
        <f t="array" ref="X133">IF(SUMPRODUCT((户型资产表!E:E=I133)*((户型资产表!I:I="沙发01单人")+(户型资产表!I:I="单人沙发02")))&gt;0,"有","无")</f>
        <v>无</v>
      </c>
      <c r="Y133" s="52" t="str" cm="1">
        <f t="array" ref="Y133">IF(SUMPRODUCT((户型资产表!E:E=I133)*((户型资产表!I:I="沙发02两人")+(户型资产表!I:I="双人沙发01")))&gt;0,"有","无")</f>
        <v>无</v>
      </c>
      <c r="Z133" s="52" t="str">
        <f>IF(COUNTIFS(户型资产表!E:E,I133,户型资产表!H:H,"餐桌")&gt;0,"有","无")</f>
        <v>无</v>
      </c>
      <c r="AA133" s="52" t="str">
        <f>IF(COUNTIFS(户型资产表!E:E,I133,户型资产表!H:H,"吸油烟机")&gt;0,"有","无")</f>
        <v>无</v>
      </c>
      <c r="AB133" s="52" t="str">
        <f>IF(COUNTIFS(户型资产表!E:E,I133,户型资产表!H:H,"冰箱")&gt;0,"有","无")</f>
        <v>无</v>
      </c>
      <c r="AC133" s="52" t="str">
        <f>IF(COUNTIFS(户型资产表!E:E,I133,户型资产表!H:H,"电视柜")&gt;0,"有","无")</f>
        <v>无</v>
      </c>
      <c r="AD133" s="51" t="str">
        <f t="shared" si="28"/>
        <v>适中</v>
      </c>
      <c r="AE133" s="52">
        <f>VLOOKUP($AD$1&amp;AD133,【1】定价因子!E:F,2,0)</f>
        <v>1</v>
      </c>
      <c r="AF133" s="51" t="str">
        <f t="shared" si="29"/>
        <v>适中</v>
      </c>
      <c r="AG133" s="52">
        <f>VLOOKUP($AF$1&amp;AF133,【1】定价因子!E:F,2,0)</f>
        <v>1</v>
      </c>
      <c r="AH133" s="51" t="str">
        <f t="shared" si="30"/>
        <v>适中</v>
      </c>
      <c r="AI133" s="52">
        <f>VLOOKUP($AH$1&amp;AH133,【1】定价因子!E:F,2,0)</f>
        <v>1</v>
      </c>
      <c r="AJ133" s="52" t="str">
        <f>VLOOKUP(H133,'【3-1】大区填-采光基本要素'!A:H,8,0)</f>
        <v>3</v>
      </c>
      <c r="AK133" s="52">
        <f>VLOOKUP($AJ$1&amp;AJ133,【1】定价因子!E:F,2,0)</f>
        <v>1</v>
      </c>
      <c r="AL133" s="53">
        <f t="shared" si="31"/>
        <v>1725.204936</v>
      </c>
      <c r="AM133" s="54">
        <v>1578</v>
      </c>
      <c r="AN133" s="55">
        <f t="shared" si="32"/>
        <v>-0.0853260577501618</v>
      </c>
      <c r="AO133" s="56">
        <f t="shared" si="33"/>
        <v>1588</v>
      </c>
    </row>
    <row r="134" spans="1:42">
      <c r="A134" s="47" t="str">
        <f>'【2】运营中心填-基本信息&amp;审核标准'!$E$2</f>
        <v>福围广生7-16、17栋</v>
      </c>
      <c r="B134" s="13"/>
      <c r="C134" s="13"/>
      <c r="D134" s="13"/>
      <c r="E134" s="13"/>
      <c r="F134" s="13"/>
      <c r="G134" s="13"/>
      <c r="H134" s="48">
        <v>1107</v>
      </c>
      <c r="I134" s="49" t="s">
        <v>492</v>
      </c>
      <c r="J134" s="49" t="s">
        <v>40</v>
      </c>
      <c r="K134" s="13"/>
      <c r="L134" s="50">
        <f>VLOOKUP(J134,'【3】大区填-楼栋基准格局定价'!B:H,7,0)</f>
        <v>1658.8509</v>
      </c>
      <c r="M134" s="51" t="s">
        <v>63</v>
      </c>
      <c r="N134" s="51">
        <v>16.65</v>
      </c>
      <c r="O134" s="52"/>
      <c r="P134" s="52" t="str">
        <f>IF(COUNTIFS(户型资产表!E:E,I134,户型资产表!H:H,"阳台门")&gt;0,"有","无")</f>
        <v>无</v>
      </c>
      <c r="Q134" s="52"/>
      <c r="R134" s="52" t="str">
        <f>IF('【2】运营中心填-基本信息&amp;审核标准'!$D$4="是","无",IF(INT(H134/100)&gt;9,"9F",INT(H134/100)&amp;"F"))</f>
        <v>无</v>
      </c>
      <c r="S134" s="52">
        <f>VLOOKUP(R134,【1】定价因子!D:F,3,0)</f>
        <v>1</v>
      </c>
      <c r="T134" s="52" t="str">
        <f>IF('【2】运营中心填-基本信息&amp;审核标准'!$D$4="否","无",IF(INT(H134/100)=1,"1F",IF(AND(INT(H134/100)&gt;=2,INT(H134/100)&lt;=3),"2-3F",IF(INT(H134/100)=4,"4F",IF(AND(INT(H134/100)&gt;=5,INT(H134/100)&lt;=6),"5-6F",IF(AND(INT(H134/100)&gt;=7,INT(H134/100)&lt;=8),"7-8F",IF(AND(INT(H134/100)&gt;=9,INT(H134/100)&lt;=10),"9-10F",IF(AND(INT(H134/100)&gt;=11,INT(H134/100)&lt;=12),"11-12F",IF(INT(H134/100)&gt;=13,"13以上F","")))))))))</f>
        <v>11-12F</v>
      </c>
      <c r="U134" s="52">
        <f>VLOOKUP($T$1&amp;T134,【1】定价因子!E:F,2,0)</f>
        <v>1.04</v>
      </c>
      <c r="V134" s="52" t="str">
        <f>IF(COUNTIFS(户型资产表!E:E,I134,户型资产表!H:H,"操作台")&gt;0,"有","无")</f>
        <v>有</v>
      </c>
      <c r="W134" s="52" t="str">
        <f>IF(COUNTIFS(户型资产表!E:E,I134,户型资产表!H:H,"书桌")&gt;0,"有","无")</f>
        <v>有</v>
      </c>
      <c r="X134" s="52" t="str" cm="1">
        <f t="array" ref="X134">IF(SUMPRODUCT((户型资产表!E:E=I134)*((户型资产表!I:I="沙发01单人")+(户型资产表!I:I="单人沙发02")))&gt;0,"有","无")</f>
        <v>无</v>
      </c>
      <c r="Y134" s="52" t="str" cm="1">
        <f t="array" ref="Y134">IF(SUMPRODUCT((户型资产表!E:E=I134)*((户型资产表!I:I="沙发02两人")+(户型资产表!I:I="双人沙发01")))&gt;0,"有","无")</f>
        <v>无</v>
      </c>
      <c r="Z134" s="52" t="str">
        <f>IF(COUNTIFS(户型资产表!E:E,I134,户型资产表!H:H,"餐桌")&gt;0,"有","无")</f>
        <v>无</v>
      </c>
      <c r="AA134" s="52" t="str">
        <f>IF(COUNTIFS(户型资产表!E:E,I134,户型资产表!H:H,"吸油烟机")&gt;0,"有","无")</f>
        <v>无</v>
      </c>
      <c r="AB134" s="52" t="str">
        <f>IF(COUNTIFS(户型资产表!E:E,I134,户型资产表!H:H,"冰箱")&gt;0,"有","无")</f>
        <v>无</v>
      </c>
      <c r="AC134" s="52" t="str">
        <f>IF(COUNTIFS(户型资产表!E:E,I134,户型资产表!H:H,"电视柜")&gt;0,"有","无")</f>
        <v>无</v>
      </c>
      <c r="AD134" s="51" t="str">
        <f t="shared" si="28"/>
        <v>适中</v>
      </c>
      <c r="AE134" s="52">
        <f>VLOOKUP($AD$1&amp;AD134,【1】定价因子!E:F,2,0)</f>
        <v>1</v>
      </c>
      <c r="AF134" s="51" t="str">
        <f t="shared" si="29"/>
        <v>适中</v>
      </c>
      <c r="AG134" s="52">
        <f>VLOOKUP($AF$1&amp;AF134,【1】定价因子!E:F,2,0)</f>
        <v>1</v>
      </c>
      <c r="AH134" s="51" t="str">
        <f t="shared" si="30"/>
        <v>适中</v>
      </c>
      <c r="AI134" s="52">
        <f>VLOOKUP($AH$1&amp;AH134,【1】定价因子!E:F,2,0)</f>
        <v>1</v>
      </c>
      <c r="AJ134" s="52" t="str">
        <f>VLOOKUP(H134,'【3-1】大区填-采光基本要素'!A:H,8,0)</f>
        <v>2</v>
      </c>
      <c r="AK134" s="52">
        <f>VLOOKUP($AJ$1&amp;AJ134,【1】定价因子!E:F,2,0)</f>
        <v>0.96</v>
      </c>
      <c r="AL134" s="53">
        <f t="shared" si="31"/>
        <v>1656.19673856</v>
      </c>
      <c r="AM134" s="54">
        <v>1518</v>
      </c>
      <c r="AN134" s="55">
        <f t="shared" si="32"/>
        <v>-0.0834422235851985</v>
      </c>
      <c r="AO134" s="56">
        <f t="shared" si="33"/>
        <v>1528</v>
      </c>
    </row>
    <row r="135" spans="1:42">
      <c r="A135" s="47" t="str">
        <f>'【2】运营中心填-基本信息&amp;审核标准'!$E$2</f>
        <v>福围广生7-16、17栋</v>
      </c>
      <c r="B135" s="13"/>
      <c r="C135" s="13"/>
      <c r="D135" s="13"/>
      <c r="E135" s="13"/>
      <c r="F135" s="13"/>
      <c r="G135" s="13"/>
      <c r="H135" s="48">
        <v>1108</v>
      </c>
      <c r="I135" s="49" t="s">
        <v>492</v>
      </c>
      <c r="J135" s="49" t="s">
        <v>40</v>
      </c>
      <c r="K135" s="13"/>
      <c r="L135" s="50">
        <f>VLOOKUP(J135,'【3】大区填-楼栋基准格局定价'!B:H,7,0)</f>
        <v>1658.8509</v>
      </c>
      <c r="M135" s="51" t="s">
        <v>63</v>
      </c>
      <c r="N135" s="51">
        <v>16.79</v>
      </c>
      <c r="O135" s="52"/>
      <c r="P135" s="52" t="str">
        <f>IF(COUNTIFS(户型资产表!E:E,I135,户型资产表!H:H,"阳台门")&gt;0,"有","无")</f>
        <v>无</v>
      </c>
      <c r="Q135" s="52"/>
      <c r="R135" s="52" t="str">
        <f>IF('【2】运营中心填-基本信息&amp;审核标准'!$D$4="是","无",IF(INT(H135/100)&gt;9,"9F",INT(H135/100)&amp;"F"))</f>
        <v>无</v>
      </c>
      <c r="S135" s="52">
        <f>VLOOKUP(R135,【1】定价因子!D:F,3,0)</f>
        <v>1</v>
      </c>
      <c r="T135" s="52" t="str">
        <f>IF('【2】运营中心填-基本信息&amp;审核标准'!$D$4="否","无",IF(INT(H135/100)=1,"1F",IF(AND(INT(H135/100)&gt;=2,INT(H135/100)&lt;=3),"2-3F",IF(INT(H135/100)=4,"4F",IF(AND(INT(H135/100)&gt;=5,INT(H135/100)&lt;=6),"5-6F",IF(AND(INT(H135/100)&gt;=7,INT(H135/100)&lt;=8),"7-8F",IF(AND(INT(H135/100)&gt;=9,INT(H135/100)&lt;=10),"9-10F",IF(AND(INT(H135/100)&gt;=11,INT(H135/100)&lt;=12),"11-12F",IF(INT(H135/100)&gt;=13,"13以上F","")))))))))</f>
        <v>11-12F</v>
      </c>
      <c r="U135" s="52">
        <f>VLOOKUP($T$1&amp;T135,【1】定价因子!E:F,2,0)</f>
        <v>1.04</v>
      </c>
      <c r="V135" s="52" t="str">
        <f>IF(COUNTIFS(户型资产表!E:E,I135,户型资产表!H:H,"操作台")&gt;0,"有","无")</f>
        <v>有</v>
      </c>
      <c r="W135" s="52" t="str">
        <f>IF(COUNTIFS(户型资产表!E:E,I135,户型资产表!H:H,"书桌")&gt;0,"有","无")</f>
        <v>有</v>
      </c>
      <c r="X135" s="52" t="str" cm="1">
        <f t="array" ref="X135">IF(SUMPRODUCT((户型资产表!E:E=I135)*((户型资产表!I:I="沙发01单人")+(户型资产表!I:I="单人沙发02")))&gt;0,"有","无")</f>
        <v>无</v>
      </c>
      <c r="Y135" s="52" t="str" cm="1">
        <f t="array" ref="Y135">IF(SUMPRODUCT((户型资产表!E:E=I135)*((户型资产表!I:I="沙发02两人")+(户型资产表!I:I="双人沙发01")))&gt;0,"有","无")</f>
        <v>无</v>
      </c>
      <c r="Z135" s="52" t="str">
        <f>IF(COUNTIFS(户型资产表!E:E,I135,户型资产表!H:H,"餐桌")&gt;0,"有","无")</f>
        <v>无</v>
      </c>
      <c r="AA135" s="52" t="str">
        <f>IF(COUNTIFS(户型资产表!E:E,I135,户型资产表!H:H,"吸油烟机")&gt;0,"有","无")</f>
        <v>无</v>
      </c>
      <c r="AB135" s="52" t="str">
        <f>IF(COUNTIFS(户型资产表!E:E,I135,户型资产表!H:H,"冰箱")&gt;0,"有","无")</f>
        <v>无</v>
      </c>
      <c r="AC135" s="52" t="str">
        <f>IF(COUNTIFS(户型资产表!E:E,I135,户型资产表!H:H,"电视柜")&gt;0,"有","无")</f>
        <v>无</v>
      </c>
      <c r="AD135" s="51" t="str">
        <f t="shared" si="28"/>
        <v>适中</v>
      </c>
      <c r="AE135" s="52">
        <f>VLOOKUP($AD$1&amp;AD135,【1】定价因子!E:F,2,0)</f>
        <v>1</v>
      </c>
      <c r="AF135" s="51" t="str">
        <f t="shared" si="29"/>
        <v>适中</v>
      </c>
      <c r="AG135" s="52">
        <f>VLOOKUP($AF$1&amp;AF135,【1】定价因子!E:F,2,0)</f>
        <v>1</v>
      </c>
      <c r="AH135" s="51" t="str">
        <f t="shared" si="30"/>
        <v>适中</v>
      </c>
      <c r="AI135" s="52">
        <f>VLOOKUP($AH$1&amp;AH135,【1】定价因子!E:F,2,0)</f>
        <v>1</v>
      </c>
      <c r="AJ135" s="52" t="str">
        <f>VLOOKUP(H135,'【3-1】大区填-采光基本要素'!A:H,8,0)</f>
        <v>2</v>
      </c>
      <c r="AK135" s="52">
        <f>VLOOKUP($AJ$1&amp;AJ135,【1】定价因子!E:F,2,0)</f>
        <v>0.96</v>
      </c>
      <c r="AL135" s="53">
        <f t="shared" si="31"/>
        <v>1656.19673856</v>
      </c>
      <c r="AM135" s="54">
        <v>1518</v>
      </c>
      <c r="AN135" s="55">
        <f t="shared" si="32"/>
        <v>-0.0834422235851985</v>
      </c>
      <c r="AO135" s="56">
        <f t="shared" si="33"/>
        <v>1528</v>
      </c>
    </row>
    <row r="136" spans="1:42">
      <c r="A136" s="47" t="str">
        <f>'【2】运营中心填-基本信息&amp;审核标准'!$E$2</f>
        <v>福围广生7-16、17栋</v>
      </c>
      <c r="B136" s="13"/>
      <c r="C136" s="13"/>
      <c r="D136" s="13"/>
      <c r="E136" s="13"/>
      <c r="F136" s="13"/>
      <c r="G136" s="13"/>
      <c r="H136" s="48">
        <v>1109</v>
      </c>
      <c r="I136" s="49" t="s">
        <v>495</v>
      </c>
      <c r="J136" s="49" t="s">
        <v>43</v>
      </c>
      <c r="K136" s="13"/>
      <c r="L136" s="50">
        <f>VLOOKUP(J136,'【3】大区填-楼栋基准格局定价'!B:H,7,0)</f>
        <v>2472.1725</v>
      </c>
      <c r="M136" s="51" t="s">
        <v>58</v>
      </c>
      <c r="N136" s="51">
        <v>30.92</v>
      </c>
      <c r="O136" s="52"/>
      <c r="P136" s="52" t="str">
        <f>IF(COUNTIFS(户型资产表!E:E,I136,户型资产表!H:H,"阳台门")&gt;0,"有","无")</f>
        <v>无</v>
      </c>
      <c r="Q136" s="52"/>
      <c r="R136" s="52" t="str">
        <f>IF('【2】运营中心填-基本信息&amp;审核标准'!$D$4="是","无",IF(INT(H136/100)&gt;9,"9F",INT(H136/100)&amp;"F"))</f>
        <v>无</v>
      </c>
      <c r="S136" s="52">
        <f>VLOOKUP(R136,【1】定价因子!D:F,3,0)</f>
        <v>1</v>
      </c>
      <c r="T136" s="52" t="str">
        <f>IF('【2】运营中心填-基本信息&amp;审核标准'!$D$4="否","无",IF(INT(H136/100)=1,"1F",IF(AND(INT(H136/100)&gt;=2,INT(H136/100)&lt;=3),"2-3F",IF(INT(H136/100)=4,"4F",IF(AND(INT(H136/100)&gt;=5,INT(H136/100)&lt;=6),"5-6F",IF(AND(INT(H136/100)&gt;=7,INT(H136/100)&lt;=8),"7-8F",IF(AND(INT(H136/100)&gt;=9,INT(H136/100)&lt;=10),"9-10F",IF(AND(INT(H136/100)&gt;=11,INT(H136/100)&lt;=12),"11-12F",IF(INT(H136/100)&gt;=13,"13以上F","")))))))))</f>
        <v>11-12F</v>
      </c>
      <c r="U136" s="52">
        <f>VLOOKUP($T$1&amp;T136,【1】定价因子!E:F,2,0)</f>
        <v>1.04</v>
      </c>
      <c r="V136" s="52" t="str">
        <f>IF(COUNTIFS(户型资产表!E:E,I136,户型资产表!H:H,"操作台")&gt;0,"有","无")</f>
        <v>有</v>
      </c>
      <c r="W136" s="52" t="str">
        <f>IF(COUNTIFS(户型资产表!E:E,I136,户型资产表!H:H,"书桌")&gt;0,"有","无")</f>
        <v>有</v>
      </c>
      <c r="X136" s="52" t="str" cm="1">
        <f t="array" ref="X136">IF(SUMPRODUCT((户型资产表!E:E=I136)*((户型资产表!I:I="沙发01单人")+(户型资产表!I:I="单人沙发02")))&gt;0,"有","无")</f>
        <v>有</v>
      </c>
      <c r="Y136" s="52" t="str" cm="1">
        <f t="array" ref="Y136">IF(SUMPRODUCT((户型资产表!E:E=I136)*((户型资产表!I:I="沙发02两人")+(户型资产表!I:I="双人沙发01")))&gt;0,"有","无")</f>
        <v>有</v>
      </c>
      <c r="Z136" s="52" t="str">
        <f>IF(COUNTIFS(户型资产表!E:E,I136,户型资产表!H:H,"餐桌")&gt;0,"有","无")</f>
        <v>有</v>
      </c>
      <c r="AA136" s="52" t="str">
        <f>IF(COUNTIFS(户型资产表!E:E,I136,户型资产表!H:H,"吸油烟机")&gt;0,"有","无")</f>
        <v>无</v>
      </c>
      <c r="AB136" s="52" t="str">
        <f>IF(COUNTIFS(户型资产表!E:E,I136,户型资产表!H:H,"冰箱")&gt;0,"有","无")</f>
        <v>无</v>
      </c>
      <c r="AC136" s="52" t="str">
        <f>IF(COUNTIFS(户型资产表!E:E,I136,户型资产表!H:H,"电视柜")&gt;0,"有","无")</f>
        <v>无</v>
      </c>
      <c r="AD136" s="51" t="str">
        <f t="shared" si="28"/>
        <v>适中</v>
      </c>
      <c r="AE136" s="52">
        <f>VLOOKUP($AD$1&amp;AD136,【1】定价因子!E:F,2,0)</f>
        <v>1</v>
      </c>
      <c r="AF136" s="51" t="s">
        <v>63</v>
      </c>
      <c r="AG136" s="52">
        <f>VLOOKUP($AF$1&amp;AF136,【1】定价因子!E:F,2,0)</f>
        <v>1</v>
      </c>
      <c r="AH136" s="51" t="str">
        <f t="shared" si="30"/>
        <v>适中</v>
      </c>
      <c r="AI136" s="52">
        <f>VLOOKUP($AH$1&amp;AH136,【1】定价因子!E:F,2,0)</f>
        <v>1</v>
      </c>
      <c r="AJ136" s="52" t="str">
        <f>VLOOKUP(H136,'【3-1】大区填-采光基本要素'!A:H,8,0)</f>
        <v>2</v>
      </c>
      <c r="AK136" s="52">
        <f>VLOOKUP($AJ$1&amp;AJ136,【1】定价因子!E:F,2,0)</f>
        <v>0.96</v>
      </c>
      <c r="AL136" s="53">
        <f t="shared" si="31"/>
        <v>2468.217024</v>
      </c>
      <c r="AM136" s="54">
        <v>2498</v>
      </c>
      <c r="AN136" s="55">
        <f t="shared" si="32"/>
        <v>0.0120665953238317</v>
      </c>
      <c r="AO136" s="56">
        <f t="shared" si="33"/>
        <v>2508</v>
      </c>
    </row>
    <row r="137" spans="1:42">
      <c r="A137" s="47" t="str">
        <f>'【2】运营中心填-基本信息&amp;审核标准'!$E$2</f>
        <v>福围广生7-16、17栋</v>
      </c>
      <c r="B137" s="13"/>
      <c r="C137" s="13"/>
      <c r="D137" s="13"/>
      <c r="E137" s="13"/>
      <c r="F137" s="13"/>
      <c r="G137" s="13"/>
      <c r="H137" s="48">
        <v>1110</v>
      </c>
      <c r="I137" s="49" t="s">
        <v>492</v>
      </c>
      <c r="J137" s="49" t="s">
        <v>40</v>
      </c>
      <c r="K137" s="13"/>
      <c r="L137" s="50">
        <f>VLOOKUP(J137,'【3】大区填-楼栋基准格局定价'!B:H,7,0)</f>
        <v>1658.8509</v>
      </c>
      <c r="M137" s="51" t="s">
        <v>63</v>
      </c>
      <c r="N137" s="51">
        <v>16.79</v>
      </c>
      <c r="O137" s="52"/>
      <c r="P137" s="52" t="str">
        <f>IF(COUNTIFS(户型资产表!E:E,I137,户型资产表!H:H,"阳台门")&gt;0,"有","无")</f>
        <v>无</v>
      </c>
      <c r="Q137" s="52"/>
      <c r="R137" s="52" t="str">
        <f>IF('【2】运营中心填-基本信息&amp;审核标准'!$D$4="是","无",IF(INT(H137/100)&gt;9,"9F",INT(H137/100)&amp;"F"))</f>
        <v>无</v>
      </c>
      <c r="S137" s="52">
        <f>VLOOKUP(R137,【1】定价因子!D:F,3,0)</f>
        <v>1</v>
      </c>
      <c r="T137" s="52" t="str">
        <f>IF('【2】运营中心填-基本信息&amp;审核标准'!$D$4="否","无",IF(INT(H137/100)=1,"1F",IF(AND(INT(H137/100)&gt;=2,INT(H137/100)&lt;=3),"2-3F",IF(INT(H137/100)=4,"4F",IF(AND(INT(H137/100)&gt;=5,INT(H137/100)&lt;=6),"5-6F",IF(AND(INT(H137/100)&gt;=7,INT(H137/100)&lt;=8),"7-8F",IF(AND(INT(H137/100)&gt;=9,INT(H137/100)&lt;=10),"9-10F",IF(AND(INT(H137/100)&gt;=11,INT(H137/100)&lt;=12),"11-12F",IF(INT(H137/100)&gt;=13,"13以上F","")))))))))</f>
        <v>11-12F</v>
      </c>
      <c r="U137" s="52">
        <f>VLOOKUP($T$1&amp;T137,【1】定价因子!E:F,2,0)</f>
        <v>1.04</v>
      </c>
      <c r="V137" s="52" t="str">
        <f>IF(COUNTIFS(户型资产表!E:E,I137,户型资产表!H:H,"操作台")&gt;0,"有","无")</f>
        <v>有</v>
      </c>
      <c r="W137" s="52" t="str">
        <f>IF(COUNTIFS(户型资产表!E:E,I137,户型资产表!H:H,"书桌")&gt;0,"有","无")</f>
        <v>有</v>
      </c>
      <c r="X137" s="52" t="str" cm="1">
        <f t="array" ref="X137">IF(SUMPRODUCT((户型资产表!E:E=I137)*((户型资产表!I:I="沙发01单人")+(户型资产表!I:I="单人沙发02")))&gt;0,"有","无")</f>
        <v>无</v>
      </c>
      <c r="Y137" s="52" t="str" cm="1">
        <f t="array" ref="Y137">IF(SUMPRODUCT((户型资产表!E:E=I137)*((户型资产表!I:I="沙发02两人")+(户型资产表!I:I="双人沙发01")))&gt;0,"有","无")</f>
        <v>无</v>
      </c>
      <c r="Z137" s="52" t="str">
        <f>IF(COUNTIFS(户型资产表!E:E,I137,户型资产表!H:H,"餐桌")&gt;0,"有","无")</f>
        <v>无</v>
      </c>
      <c r="AA137" s="52" t="str">
        <f>IF(COUNTIFS(户型资产表!E:E,I137,户型资产表!H:H,"吸油烟机")&gt;0,"有","无")</f>
        <v>无</v>
      </c>
      <c r="AB137" s="52" t="str">
        <f>IF(COUNTIFS(户型资产表!E:E,I137,户型资产表!H:H,"冰箱")&gt;0,"有","无")</f>
        <v>无</v>
      </c>
      <c r="AC137" s="52" t="str">
        <f>IF(COUNTIFS(户型资产表!E:E,I137,户型资产表!H:H,"电视柜")&gt;0,"有","无")</f>
        <v>无</v>
      </c>
      <c r="AD137" s="51" t="str">
        <f t="shared" si="28"/>
        <v>适中</v>
      </c>
      <c r="AE137" s="52">
        <f>VLOOKUP($AD$1&amp;AD137,【1】定价因子!E:F,2,0)</f>
        <v>1</v>
      </c>
      <c r="AF137" s="51" t="str">
        <f t="shared" si="29"/>
        <v>适中</v>
      </c>
      <c r="AG137" s="52">
        <f>VLOOKUP($AF$1&amp;AF137,【1】定价因子!E:F,2,0)</f>
        <v>1</v>
      </c>
      <c r="AH137" s="51" t="str">
        <f t="shared" si="30"/>
        <v>适中</v>
      </c>
      <c r="AI137" s="52">
        <f>VLOOKUP($AH$1&amp;AH137,【1】定价因子!E:F,2,0)</f>
        <v>1</v>
      </c>
      <c r="AJ137" s="52" t="str">
        <f>VLOOKUP(H137,'【3-1】大区填-采光基本要素'!A:H,8,0)</f>
        <v>2</v>
      </c>
      <c r="AK137" s="52">
        <f>VLOOKUP($AJ$1&amp;AJ137,【1】定价因子!E:F,2,0)</f>
        <v>0.96</v>
      </c>
      <c r="AL137" s="53">
        <f t="shared" si="31"/>
        <v>1656.19673856</v>
      </c>
      <c r="AM137" s="54">
        <v>1518</v>
      </c>
      <c r="AN137" s="55">
        <f t="shared" si="32"/>
        <v>-0.0834422235851985</v>
      </c>
      <c r="AO137" s="56">
        <f t="shared" si="33"/>
        <v>1528</v>
      </c>
    </row>
    <row r="138" spans="1:42">
      <c r="A138" s="47" t="str">
        <f>'【2】运营中心填-基本信息&amp;审核标准'!$E$2</f>
        <v>福围广生7-16、17栋</v>
      </c>
      <c r="B138" s="13"/>
      <c r="C138" s="13"/>
      <c r="D138" s="13"/>
      <c r="E138" s="13"/>
      <c r="F138" s="13"/>
      <c r="G138" s="13"/>
      <c r="H138" s="48">
        <v>1111</v>
      </c>
      <c r="I138" s="49" t="s">
        <v>492</v>
      </c>
      <c r="J138" s="49" t="s">
        <v>40</v>
      </c>
      <c r="K138" s="13"/>
      <c r="L138" s="50">
        <f>VLOOKUP(J138,'【3】大区填-楼栋基准格局定价'!B:H,7,0)</f>
        <v>1658.8509</v>
      </c>
      <c r="M138" s="51" t="s">
        <v>63</v>
      </c>
      <c r="N138" s="51">
        <v>16.65</v>
      </c>
      <c r="O138" s="52"/>
      <c r="P138" s="52" t="str">
        <f>IF(COUNTIFS(户型资产表!E:E,I138,户型资产表!H:H,"阳台门")&gt;0,"有","无")</f>
        <v>无</v>
      </c>
      <c r="Q138" s="52"/>
      <c r="R138" s="52" t="str">
        <f>IF('【2】运营中心填-基本信息&amp;审核标准'!$D$4="是","无",IF(INT(H138/100)&gt;9,"9F",INT(H138/100)&amp;"F"))</f>
        <v>无</v>
      </c>
      <c r="S138" s="52">
        <f>VLOOKUP(R138,【1】定价因子!D:F,3,0)</f>
        <v>1</v>
      </c>
      <c r="T138" s="52" t="str">
        <f>IF('【2】运营中心填-基本信息&amp;审核标准'!$D$4="否","无",IF(INT(H138/100)=1,"1F",IF(AND(INT(H138/100)&gt;=2,INT(H138/100)&lt;=3),"2-3F",IF(INT(H138/100)=4,"4F",IF(AND(INT(H138/100)&gt;=5,INT(H138/100)&lt;=6),"5-6F",IF(AND(INT(H138/100)&gt;=7,INT(H138/100)&lt;=8),"7-8F",IF(AND(INT(H138/100)&gt;=9,INT(H138/100)&lt;=10),"9-10F",IF(AND(INT(H138/100)&gt;=11,INT(H138/100)&lt;=12),"11-12F",IF(INT(H138/100)&gt;=13,"13以上F","")))))))))</f>
        <v>11-12F</v>
      </c>
      <c r="U138" s="52">
        <f>VLOOKUP($T$1&amp;T138,【1】定价因子!E:F,2,0)</f>
        <v>1.04</v>
      </c>
      <c r="V138" s="52" t="str">
        <f>IF(COUNTIFS(户型资产表!E:E,I138,户型资产表!H:H,"操作台")&gt;0,"有","无")</f>
        <v>有</v>
      </c>
      <c r="W138" s="52" t="str">
        <f>IF(COUNTIFS(户型资产表!E:E,I138,户型资产表!H:H,"书桌")&gt;0,"有","无")</f>
        <v>有</v>
      </c>
      <c r="X138" s="52" t="str" cm="1">
        <f t="array" ref="X138">IF(SUMPRODUCT((户型资产表!E:E=I138)*((户型资产表!I:I="沙发01单人")+(户型资产表!I:I="单人沙发02")))&gt;0,"有","无")</f>
        <v>无</v>
      </c>
      <c r="Y138" s="52" t="str" cm="1">
        <f t="array" ref="Y138">IF(SUMPRODUCT((户型资产表!E:E=I138)*((户型资产表!I:I="沙发02两人")+(户型资产表!I:I="双人沙发01")))&gt;0,"有","无")</f>
        <v>无</v>
      </c>
      <c r="Z138" s="52" t="str">
        <f>IF(COUNTIFS(户型资产表!E:E,I138,户型资产表!H:H,"餐桌")&gt;0,"有","无")</f>
        <v>无</v>
      </c>
      <c r="AA138" s="52" t="str">
        <f>IF(COUNTIFS(户型资产表!E:E,I138,户型资产表!H:H,"吸油烟机")&gt;0,"有","无")</f>
        <v>无</v>
      </c>
      <c r="AB138" s="52" t="str">
        <f>IF(COUNTIFS(户型资产表!E:E,I138,户型资产表!H:H,"冰箱")&gt;0,"有","无")</f>
        <v>无</v>
      </c>
      <c r="AC138" s="52" t="str">
        <f>IF(COUNTIFS(户型资产表!E:E,I138,户型资产表!H:H,"电视柜")&gt;0,"有","无")</f>
        <v>无</v>
      </c>
      <c r="AD138" s="51" t="str">
        <f t="shared" si="28"/>
        <v>适中</v>
      </c>
      <c r="AE138" s="52">
        <f>VLOOKUP($AD$1&amp;AD138,【1】定价因子!E:F,2,0)</f>
        <v>1</v>
      </c>
      <c r="AF138" s="51" t="str">
        <f t="shared" si="29"/>
        <v>适中</v>
      </c>
      <c r="AG138" s="52">
        <f>VLOOKUP($AF$1&amp;AF138,【1】定价因子!E:F,2,0)</f>
        <v>1</v>
      </c>
      <c r="AH138" s="51" t="str">
        <f t="shared" si="30"/>
        <v>适中</v>
      </c>
      <c r="AI138" s="52">
        <f>VLOOKUP($AH$1&amp;AH138,【1】定价因子!E:F,2,0)</f>
        <v>1</v>
      </c>
      <c r="AJ138" s="52" t="str">
        <f>VLOOKUP(H138,'【3-1】大区填-采光基本要素'!A:H,8,0)</f>
        <v>2</v>
      </c>
      <c r="AK138" s="52">
        <f>VLOOKUP($AJ$1&amp;AJ138,【1】定价因子!E:F,2,0)</f>
        <v>0.96</v>
      </c>
      <c r="AL138" s="53">
        <f t="shared" si="31"/>
        <v>1656.19673856</v>
      </c>
      <c r="AM138" s="54">
        <v>1518</v>
      </c>
      <c r="AN138" s="55">
        <f t="shared" si="32"/>
        <v>-0.0834422235851985</v>
      </c>
      <c r="AO138" s="56">
        <f t="shared" si="33"/>
        <v>1528</v>
      </c>
    </row>
    <row r="139" spans="1:42">
      <c r="A139" s="47" t="str">
        <f>'【2】运营中心填-基本信息&amp;审核标准'!$E$2</f>
        <v>福围广生7-16、17栋</v>
      </c>
      <c r="B139" s="13"/>
      <c r="C139" s="13"/>
      <c r="D139" s="13"/>
      <c r="E139" s="13"/>
      <c r="F139" s="13"/>
      <c r="G139" s="13"/>
      <c r="H139" s="48">
        <v>1112</v>
      </c>
      <c r="I139" s="49" t="s">
        <v>494</v>
      </c>
      <c r="J139" s="49" t="s">
        <v>40</v>
      </c>
      <c r="K139" s="13"/>
      <c r="L139" s="50">
        <f>VLOOKUP(J139,'【3】大区填-楼栋基准格局定价'!B:H,7,0)</f>
        <v>1658.8509</v>
      </c>
      <c r="M139" s="51" t="s">
        <v>61</v>
      </c>
      <c r="N139" s="51">
        <v>17.58</v>
      </c>
      <c r="O139" s="52"/>
      <c r="P139" s="52" t="str">
        <f>IF(COUNTIFS(户型资产表!E:E,I139,户型资产表!H:H,"阳台门")&gt;0,"有","无")</f>
        <v>无</v>
      </c>
      <c r="Q139" s="52"/>
      <c r="R139" s="52" t="str">
        <f>IF('【2】运营中心填-基本信息&amp;审核标准'!$D$4="是","无",IF(INT(H139/100)&gt;9,"9F",INT(H139/100)&amp;"F"))</f>
        <v>无</v>
      </c>
      <c r="S139" s="52">
        <f>VLOOKUP(R139,【1】定价因子!D:F,3,0)</f>
        <v>1</v>
      </c>
      <c r="T139" s="52" t="str">
        <f>IF('【2】运营中心填-基本信息&amp;审核标准'!$D$4="否","无",IF(INT(H139/100)=1,"1F",IF(AND(INT(H139/100)&gt;=2,INT(H139/100)&lt;=3),"2-3F",IF(INT(H139/100)=4,"4F",IF(AND(INT(H139/100)&gt;=5,INT(H139/100)&lt;=6),"5-6F",IF(AND(INT(H139/100)&gt;=7,INT(H139/100)&lt;=8),"7-8F",IF(AND(INT(H139/100)&gt;=9,INT(H139/100)&lt;=10),"9-10F",IF(AND(INT(H139/100)&gt;=11,INT(H139/100)&lt;=12),"11-12F",IF(INT(H139/100)&gt;=13,"13以上F","")))))))))</f>
        <v>11-12F</v>
      </c>
      <c r="U139" s="52">
        <f>VLOOKUP($T$1&amp;T139,【1】定价因子!E:F,2,0)</f>
        <v>1.04</v>
      </c>
      <c r="V139" s="52" t="str">
        <f>IF(COUNTIFS(户型资产表!E:E,I139,户型资产表!H:H,"操作台")&gt;0,"有","无")</f>
        <v>有</v>
      </c>
      <c r="W139" s="52" t="str">
        <f>IF(COUNTIFS(户型资产表!E:E,I139,户型资产表!H:H,"书桌")&gt;0,"有","无")</f>
        <v>有</v>
      </c>
      <c r="X139" s="52" t="str" cm="1">
        <f t="array" ref="X139">IF(SUMPRODUCT((户型资产表!E:E=I139)*((户型资产表!I:I="沙发01单人")+(户型资产表!I:I="单人沙发02")))&gt;0,"有","无")</f>
        <v>无</v>
      </c>
      <c r="Y139" s="52" t="str" cm="1">
        <f t="array" ref="Y139">IF(SUMPRODUCT((户型资产表!E:E=I139)*((户型资产表!I:I="沙发02两人")+(户型资产表!I:I="双人沙发01")))&gt;0,"有","无")</f>
        <v>无</v>
      </c>
      <c r="Z139" s="52" t="str">
        <f>IF(COUNTIFS(户型资产表!E:E,I139,户型资产表!H:H,"餐桌")&gt;0,"有","无")</f>
        <v>无</v>
      </c>
      <c r="AA139" s="52" t="str">
        <f>IF(COUNTIFS(户型资产表!E:E,I139,户型资产表!H:H,"吸油烟机")&gt;0,"有","无")</f>
        <v>无</v>
      </c>
      <c r="AB139" s="52" t="str">
        <f>IF(COUNTIFS(户型资产表!E:E,I139,户型资产表!H:H,"冰箱")&gt;0,"有","无")</f>
        <v>无</v>
      </c>
      <c r="AC139" s="52" t="str">
        <f>IF(COUNTIFS(户型资产表!E:E,I139,户型资产表!H:H,"电视柜")&gt;0,"有","无")</f>
        <v>无</v>
      </c>
      <c r="AD139" s="51" t="str">
        <f t="shared" si="28"/>
        <v>适中</v>
      </c>
      <c r="AE139" s="52">
        <f>VLOOKUP($AD$1&amp;AD139,【1】定价因子!E:F,2,0)</f>
        <v>1</v>
      </c>
      <c r="AF139" s="51" t="str">
        <f t="shared" si="29"/>
        <v>适中</v>
      </c>
      <c r="AG139" s="52">
        <f>VLOOKUP($AF$1&amp;AF139,【1】定价因子!E:F,2,0)</f>
        <v>1</v>
      </c>
      <c r="AH139" s="51" t="str">
        <f t="shared" si="30"/>
        <v>适中</v>
      </c>
      <c r="AI139" s="52">
        <f>VLOOKUP($AH$1&amp;AH139,【1】定价因子!E:F,2,0)</f>
        <v>1</v>
      </c>
      <c r="AJ139" s="52" t="str">
        <f>VLOOKUP(H139,'【3-1】大区填-采光基本要素'!A:H,8,0)</f>
        <v>3</v>
      </c>
      <c r="AK139" s="52">
        <f>VLOOKUP($AJ$1&amp;AJ139,【1】定价因子!E:F,2,0)</f>
        <v>1</v>
      </c>
      <c r="AL139" s="53">
        <f t="shared" si="31"/>
        <v>1725.204936</v>
      </c>
      <c r="AM139" s="54">
        <v>1578</v>
      </c>
      <c r="AN139" s="55">
        <f t="shared" si="32"/>
        <v>-0.0853260577501618</v>
      </c>
      <c r="AO139" s="56">
        <f t="shared" si="33"/>
        <v>1588</v>
      </c>
    </row>
    <row r="140" spans="1:42">
      <c r="A140" s="47" t="str">
        <f>'【2】运营中心填-基本信息&amp;审核标准'!$E$2</f>
        <v>福围广生7-16、17栋</v>
      </c>
      <c r="B140" s="13"/>
      <c r="C140" s="13"/>
      <c r="D140" s="13"/>
      <c r="E140" s="13"/>
      <c r="F140" s="13"/>
      <c r="G140" s="13"/>
      <c r="H140" s="48">
        <v>1113</v>
      </c>
      <c r="I140" s="49" t="s">
        <v>493</v>
      </c>
      <c r="J140" s="49" t="s">
        <v>43</v>
      </c>
      <c r="K140" s="13"/>
      <c r="L140" s="50">
        <f>VLOOKUP(J140,'【3】大区填-楼栋基准格局定价'!B:H,7,0)</f>
        <v>2472.1725</v>
      </c>
      <c r="M140" s="51" t="s">
        <v>65</v>
      </c>
      <c r="N140" s="51">
        <v>20.18</v>
      </c>
      <c r="O140" s="52"/>
      <c r="P140" s="52" t="str">
        <f>IF(COUNTIFS(户型资产表!E:E,I140,户型资产表!H:H,"阳台门")&gt;0,"有","无")</f>
        <v>无</v>
      </c>
      <c r="Q140" s="52"/>
      <c r="R140" s="52" t="str">
        <f>IF('【2】运营中心填-基本信息&amp;审核标准'!$D$4="是","无",IF(INT(H140/100)&gt;9,"9F",INT(H140/100)&amp;"F"))</f>
        <v>无</v>
      </c>
      <c r="S140" s="52">
        <f>VLOOKUP(R140,【1】定价因子!D:F,3,0)</f>
        <v>1</v>
      </c>
      <c r="T140" s="52" t="str">
        <f>IF('【2】运营中心填-基本信息&amp;审核标准'!$D$4="否","无",IF(INT(H140/100)=1,"1F",IF(AND(INT(H140/100)&gt;=2,INT(H140/100)&lt;=3),"2-3F",IF(INT(H140/100)=4,"4F",IF(AND(INT(H140/100)&gt;=5,INT(H140/100)&lt;=6),"5-6F",IF(AND(INT(H140/100)&gt;=7,INT(H140/100)&lt;=8),"7-8F",IF(AND(INT(H140/100)&gt;=9,INT(H140/100)&lt;=10),"9-10F",IF(AND(INT(H140/100)&gt;=11,INT(H140/100)&lt;=12),"11-12F",IF(INT(H140/100)&gt;=13,"13以上F","")))))))))</f>
        <v>11-12F</v>
      </c>
      <c r="U140" s="52">
        <f>VLOOKUP($T$1&amp;T140,【1】定价因子!E:F,2,0)</f>
        <v>1.04</v>
      </c>
      <c r="V140" s="52" t="str">
        <f>IF(COUNTIFS(户型资产表!E:E,I140,户型资产表!H:H,"操作台")&gt;0,"有","无")</f>
        <v>有</v>
      </c>
      <c r="W140" s="52" t="str">
        <f>IF(COUNTIFS(户型资产表!E:E,I140,户型资产表!H:H,"书桌")&gt;0,"有","无")</f>
        <v>无</v>
      </c>
      <c r="X140" s="52" t="str" cm="1">
        <f t="array" ref="X140">IF(SUMPRODUCT((户型资产表!E:E=I140)*((户型资产表!I:I="沙发01单人")+(户型资产表!I:I="单人沙发02")))&gt;0,"有","无")</f>
        <v>无</v>
      </c>
      <c r="Y140" s="52" t="str" cm="1">
        <f t="array" ref="Y140">IF(SUMPRODUCT((户型资产表!E:E=I140)*((户型资产表!I:I="沙发02两人")+(户型资产表!I:I="双人沙发01")))&gt;0,"有","无")</f>
        <v>有</v>
      </c>
      <c r="Z140" s="52" t="str">
        <f>IF(COUNTIFS(户型资产表!E:E,I140,户型资产表!H:H,"餐桌")&gt;0,"有","无")</f>
        <v>有</v>
      </c>
      <c r="AA140" s="52" t="str">
        <f>IF(COUNTIFS(户型资产表!E:E,I140,户型资产表!H:H,"吸油烟机")&gt;0,"有","无")</f>
        <v>无</v>
      </c>
      <c r="AB140" s="52" t="str">
        <f>IF(COUNTIFS(户型资产表!E:E,I140,户型资产表!H:H,"冰箱")&gt;0,"有","无")</f>
        <v>无</v>
      </c>
      <c r="AC140" s="52" t="str">
        <f>IF(COUNTIFS(户型资产表!E:E,I140,户型资产表!H:H,"电视柜")&gt;0,"有","无")</f>
        <v>无</v>
      </c>
      <c r="AD140" s="51" t="str">
        <f t="shared" si="28"/>
        <v>适中</v>
      </c>
      <c r="AE140" s="52">
        <f>VLOOKUP($AD$1&amp;AD140,【1】定价因子!E:F,2,0)</f>
        <v>1</v>
      </c>
      <c r="AF140" s="51" t="str">
        <f t="shared" si="29"/>
        <v>适中</v>
      </c>
      <c r="AG140" s="52">
        <f>VLOOKUP($AF$1&amp;AF140,【1】定价因子!E:F,2,0)</f>
        <v>1</v>
      </c>
      <c r="AH140" s="51" t="str">
        <f t="shared" si="30"/>
        <v>适中</v>
      </c>
      <c r="AI140" s="52">
        <f>VLOOKUP($AH$1&amp;AH140,【1】定价因子!E:F,2,0)</f>
        <v>1</v>
      </c>
      <c r="AJ140" s="52" t="str">
        <f>VLOOKUP(H140,'【3-1】大区填-采光基本要素'!A:H,8,0)</f>
        <v>2</v>
      </c>
      <c r="AK140" s="52">
        <f>VLOOKUP($AJ$1&amp;AJ140,【1】定价因子!E:F,2,0)</f>
        <v>0.96</v>
      </c>
      <c r="AL140" s="53">
        <f t="shared" si="31"/>
        <v>2468.217024</v>
      </c>
      <c r="AM140" s="54">
        <v>2448</v>
      </c>
      <c r="AN140" s="55">
        <f t="shared" si="32"/>
        <v>-0.00819094261299447</v>
      </c>
      <c r="AO140" s="56">
        <f t="shared" si="33"/>
        <v>2458</v>
      </c>
    </row>
    <row r="141" spans="1:42">
      <c r="A141" s="47" t="str">
        <f>'【2】运营中心填-基本信息&amp;审核标准'!$E$2</f>
        <v>福围广生7-16、17栋</v>
      </c>
      <c r="B141" s="13"/>
      <c r="C141" s="13"/>
      <c r="D141" s="13"/>
      <c r="E141" s="13"/>
      <c r="F141" s="13"/>
      <c r="G141" s="13"/>
      <c r="H141" s="48">
        <v>1114</v>
      </c>
      <c r="I141" s="49" t="s">
        <v>491</v>
      </c>
      <c r="J141" s="49" t="s">
        <v>43</v>
      </c>
      <c r="K141" s="13"/>
      <c r="L141" s="50">
        <f>VLOOKUP(J141,'【3】大区填-楼栋基准格局定价'!B:H,7,0)</f>
        <v>2472.1725</v>
      </c>
      <c r="M141" s="51" t="s">
        <v>63</v>
      </c>
      <c r="N141" s="51">
        <v>23.39</v>
      </c>
      <c r="O141" s="52"/>
      <c r="P141" s="52" t="str">
        <f>IF(COUNTIFS(户型资产表!E:E,I141,户型资产表!H:H,"阳台门")&gt;0,"有","无")</f>
        <v>无</v>
      </c>
      <c r="Q141" s="52"/>
      <c r="R141" s="52" t="str">
        <f>IF('【2】运营中心填-基本信息&amp;审核标准'!$D$4="是","无",IF(INT(H141/100)&gt;9,"9F",INT(H141/100)&amp;"F"))</f>
        <v>无</v>
      </c>
      <c r="S141" s="52">
        <f>VLOOKUP(R141,【1】定价因子!D:F,3,0)</f>
        <v>1</v>
      </c>
      <c r="T141" s="52" t="str">
        <f>IF('【2】运营中心填-基本信息&amp;审核标准'!$D$4="否","无",IF(INT(H141/100)=1,"1F",IF(AND(INT(H141/100)&gt;=2,INT(H141/100)&lt;=3),"2-3F",IF(INT(H141/100)=4,"4F",IF(AND(INT(H141/100)&gt;=5,INT(H141/100)&lt;=6),"5-6F",IF(AND(INT(H141/100)&gt;=7,INT(H141/100)&lt;=8),"7-8F",IF(AND(INT(H141/100)&gt;=9,INT(H141/100)&lt;=10),"9-10F",IF(AND(INT(H141/100)&gt;=11,INT(H141/100)&lt;=12),"11-12F",IF(INT(H141/100)&gt;=13,"13以上F","")))))))))</f>
        <v>11-12F</v>
      </c>
      <c r="U141" s="52">
        <f>VLOOKUP($T$1&amp;T141,【1】定价因子!E:F,2,0)</f>
        <v>1.04</v>
      </c>
      <c r="V141" s="52" t="str">
        <f>IF(COUNTIFS(户型资产表!E:E,I141,户型资产表!H:H,"操作台")&gt;0,"有","无")</f>
        <v>有</v>
      </c>
      <c r="W141" s="52" t="str">
        <f>IF(COUNTIFS(户型资产表!E:E,I141,户型资产表!H:H,"书桌")&gt;0,"有","无")</f>
        <v>无</v>
      </c>
      <c r="X141" s="52" t="str" cm="1">
        <f t="array" ref="X141">IF(SUMPRODUCT((户型资产表!E:E=I141)*((户型资产表!I:I="沙发01单人")+(户型资产表!I:I="单人沙发02")))&gt;0,"有","无")</f>
        <v>无</v>
      </c>
      <c r="Y141" s="52" t="str" cm="1">
        <f t="array" ref="Y141">IF(SUMPRODUCT((户型资产表!E:E=I141)*((户型资产表!I:I="沙发02两人")+(户型资产表!I:I="双人沙发01")))&gt;0,"有","无")</f>
        <v>有</v>
      </c>
      <c r="Z141" s="52" t="str">
        <f>IF(COUNTIFS(户型资产表!E:E,I141,户型资产表!H:H,"餐桌")&gt;0,"有","无")</f>
        <v>有</v>
      </c>
      <c r="AA141" s="52" t="str">
        <f>IF(COUNTIFS(户型资产表!E:E,I141,户型资产表!H:H,"吸油烟机")&gt;0,"有","无")</f>
        <v>无</v>
      </c>
      <c r="AB141" s="52" t="str">
        <f>IF(COUNTIFS(户型资产表!E:E,I141,户型资产表!H:H,"冰箱")&gt;0,"有","无")</f>
        <v>无</v>
      </c>
      <c r="AC141" s="52" t="str">
        <f>IF(COUNTIFS(户型资产表!E:E,I141,户型资产表!H:H,"电视柜")&gt;0,"有","无")</f>
        <v>无</v>
      </c>
      <c r="AD141" s="51" t="str">
        <f t="shared" si="28"/>
        <v>适中</v>
      </c>
      <c r="AE141" s="52">
        <f>VLOOKUP($AD$1&amp;AD141,【1】定价因子!E:F,2,0)</f>
        <v>1</v>
      </c>
      <c r="AF141" s="51" t="str">
        <f t="shared" si="29"/>
        <v>适中</v>
      </c>
      <c r="AG141" s="52">
        <f>VLOOKUP($AF$1&amp;AF141,【1】定价因子!E:F,2,0)</f>
        <v>1</v>
      </c>
      <c r="AH141" s="51" t="str">
        <f t="shared" si="30"/>
        <v>适中</v>
      </c>
      <c r="AI141" s="52">
        <f>VLOOKUP($AH$1&amp;AH141,【1】定价因子!E:F,2,0)</f>
        <v>1</v>
      </c>
      <c r="AJ141" s="52" t="str">
        <f>VLOOKUP(H141,'【3-1】大区填-采光基本要素'!A:H,8,0)</f>
        <v>2</v>
      </c>
      <c r="AK141" s="52">
        <f>VLOOKUP($AJ$1&amp;AJ141,【1】定价因子!E:F,2,0)</f>
        <v>0.96</v>
      </c>
      <c r="AL141" s="53">
        <f t="shared" si="31"/>
        <v>2468.217024</v>
      </c>
      <c r="AM141" s="54">
        <v>2448</v>
      </c>
      <c r="AN141" s="55">
        <f t="shared" si="32"/>
        <v>-0.00819094261299447</v>
      </c>
      <c r="AO141" s="56">
        <f t="shared" si="33"/>
        <v>2458</v>
      </c>
    </row>
    <row r="142" spans="1:42">
      <c r="A142" s="47" t="str">
        <f>'【2】运营中心填-基本信息&amp;审核标准'!$E$2</f>
        <v>福围广生7-16、17栋</v>
      </c>
      <c r="B142" s="13"/>
      <c r="C142" s="13"/>
      <c r="D142" s="13"/>
      <c r="E142" s="13"/>
      <c r="F142" s="13"/>
      <c r="G142" s="13"/>
      <c r="H142" s="48">
        <v>1201</v>
      </c>
      <c r="I142" s="49" t="s">
        <v>492</v>
      </c>
      <c r="J142" s="49" t="s">
        <v>40</v>
      </c>
      <c r="K142" s="13"/>
      <c r="L142" s="50">
        <f>VLOOKUP(J142,'【3】大区填-楼栋基准格局定价'!B:H,7,0)</f>
        <v>1658.8509</v>
      </c>
      <c r="M142" s="51" t="s">
        <v>63</v>
      </c>
      <c r="N142" s="51">
        <v>14.4</v>
      </c>
      <c r="O142" s="52"/>
      <c r="P142" s="52" t="str">
        <f>IF(COUNTIFS(户型资产表!E:E,I142,户型资产表!H:H,"阳台门")&gt;0,"有","无")</f>
        <v>无</v>
      </c>
      <c r="Q142" s="52"/>
      <c r="R142" s="52" t="str">
        <f>IF('【2】运营中心填-基本信息&amp;审核标准'!$D$4="是","无",IF(INT(H142/100)&gt;9,"9F",INT(H142/100)&amp;"F"))</f>
        <v>无</v>
      </c>
      <c r="S142" s="52">
        <f>VLOOKUP(R142,【1】定价因子!D:F,3,0)</f>
        <v>1</v>
      </c>
      <c r="T142" s="52" t="str">
        <f>IF('【2】运营中心填-基本信息&amp;审核标准'!$D$4="否","无",IF(INT(H142/100)=1,"1F",IF(AND(INT(H142/100)&gt;=2,INT(H142/100)&lt;=3),"2-3F",IF(INT(H142/100)=4,"4F",IF(AND(INT(H142/100)&gt;=5,INT(H142/100)&lt;=6),"5-6F",IF(AND(INT(H142/100)&gt;=7,INT(H142/100)&lt;=8),"7-8F",IF(AND(INT(H142/100)&gt;=9,INT(H142/100)&lt;=10),"9-10F",IF(AND(INT(H142/100)&gt;=11,INT(H142/100)&lt;=12),"11-12F",IF(INT(H142/100)&gt;=13,"13以上F","")))))))))</f>
        <v>11-12F</v>
      </c>
      <c r="U142" s="52">
        <f>VLOOKUP($T$1&amp;T142,【1】定价因子!E:F,2,0)</f>
        <v>1.04</v>
      </c>
      <c r="V142" s="52" t="str">
        <f>IF(COUNTIFS(户型资产表!E:E,I142,户型资产表!H:H,"操作台")&gt;0,"有","无")</f>
        <v>有</v>
      </c>
      <c r="W142" s="52" t="str">
        <f>IF(COUNTIFS(户型资产表!E:E,I142,户型资产表!H:H,"书桌")&gt;0,"有","无")</f>
        <v>有</v>
      </c>
      <c r="X142" s="52" t="str" cm="1">
        <f t="array" ref="X142">IF(SUMPRODUCT((户型资产表!E:E=I142)*((户型资产表!I:I="沙发01单人")+(户型资产表!I:I="单人沙发02")))&gt;0,"有","无")</f>
        <v>无</v>
      </c>
      <c r="Y142" s="52" t="str" cm="1">
        <f t="array" ref="Y142">IF(SUMPRODUCT((户型资产表!E:E=I142)*((户型资产表!I:I="沙发02两人")+(户型资产表!I:I="双人沙发01")))&gt;0,"有","无")</f>
        <v>无</v>
      </c>
      <c r="Z142" s="52" t="str">
        <f>IF(COUNTIFS(户型资产表!E:E,I142,户型资产表!H:H,"餐桌")&gt;0,"有","无")</f>
        <v>无</v>
      </c>
      <c r="AA142" s="52" t="str">
        <f>IF(COUNTIFS(户型资产表!E:E,I142,户型资产表!H:H,"吸油烟机")&gt;0,"有","无")</f>
        <v>无</v>
      </c>
      <c r="AB142" s="52" t="str">
        <f>IF(COUNTIFS(户型资产表!E:E,I142,户型资产表!H:H,"冰箱")&gt;0,"有","无")</f>
        <v>无</v>
      </c>
      <c r="AC142" s="52" t="str">
        <f>IF(COUNTIFS(户型资产表!E:E,I142,户型资产表!H:H,"电视柜")&gt;0,"有","无")</f>
        <v>无</v>
      </c>
      <c r="AD142" s="51" t="str">
        <f t="shared" si="28"/>
        <v>适中</v>
      </c>
      <c r="AE142" s="52">
        <f>VLOOKUP($AD$1&amp;AD142,【1】定价因子!E:F,2,0)</f>
        <v>1</v>
      </c>
      <c r="AF142" s="51" t="str">
        <f t="shared" si="29"/>
        <v>适中</v>
      </c>
      <c r="AG142" s="52">
        <f>VLOOKUP($AF$1&amp;AF142,【1】定价因子!E:F,2,0)</f>
        <v>1</v>
      </c>
      <c r="AH142" s="51" t="str">
        <f t="shared" si="30"/>
        <v>适中</v>
      </c>
      <c r="AI142" s="52">
        <f>VLOOKUP($AH$1&amp;AH142,【1】定价因子!E:F,2,0)</f>
        <v>1</v>
      </c>
      <c r="AJ142" s="52" t="str">
        <f>VLOOKUP(H142,'【3-1】大区填-采光基本要素'!A:H,8,0)</f>
        <v>3</v>
      </c>
      <c r="AK142" s="52">
        <f>VLOOKUP($AJ$1&amp;AJ142,【1】定价因子!E:F,2,0)</f>
        <v>1</v>
      </c>
      <c r="AL142" s="53">
        <f t="shared" si="31"/>
        <v>1725.204936</v>
      </c>
      <c r="AM142" s="54">
        <v>1578</v>
      </c>
      <c r="AN142" s="55">
        <f t="shared" si="32"/>
        <v>-0.0853260577501618</v>
      </c>
      <c r="AO142" s="56">
        <f t="shared" si="33"/>
        <v>1588</v>
      </c>
    </row>
    <row r="143" spans="1:42">
      <c r="A143" s="47" t="str">
        <f>'【2】运营中心填-基本信息&amp;审核标准'!$E$2</f>
        <v>福围广生7-16、17栋</v>
      </c>
      <c r="B143" s="13"/>
      <c r="C143" s="13"/>
      <c r="D143" s="13"/>
      <c r="E143" s="13"/>
      <c r="F143" s="13"/>
      <c r="G143" s="13"/>
      <c r="H143" s="48">
        <v>1202</v>
      </c>
      <c r="I143" s="49" t="s">
        <v>496</v>
      </c>
      <c r="J143" s="49" t="s">
        <v>40</v>
      </c>
      <c r="K143" s="13"/>
      <c r="L143" s="50">
        <f>VLOOKUP(J143,'【3】大区填-楼栋基准格局定价'!B:H,7,0)</f>
        <v>1658.8509</v>
      </c>
      <c r="M143" s="51" t="s">
        <v>63</v>
      </c>
      <c r="N143" s="51">
        <v>15.19</v>
      </c>
      <c r="O143" s="52"/>
      <c r="P143" s="52" t="str">
        <f>IF(COUNTIFS(户型资产表!E:E,I143,户型资产表!H:H,"阳台门")&gt;0,"有","无")</f>
        <v>无</v>
      </c>
      <c r="Q143" s="52"/>
      <c r="R143" s="52" t="str">
        <f>IF('【2】运营中心填-基本信息&amp;审核标准'!$D$4="是","无",IF(INT(H143/100)&gt;9,"9F",INT(H143/100)&amp;"F"))</f>
        <v>无</v>
      </c>
      <c r="S143" s="52">
        <f>VLOOKUP(R143,【1】定价因子!D:F,3,0)</f>
        <v>1</v>
      </c>
      <c r="T143" s="52" t="str">
        <f>IF('【2】运营中心填-基本信息&amp;审核标准'!$D$4="否","无",IF(INT(H143/100)=1,"1F",IF(AND(INT(H143/100)&gt;=2,INT(H143/100)&lt;=3),"2-3F",IF(INT(H143/100)=4,"4F",IF(AND(INT(H143/100)&gt;=5,INT(H143/100)&lt;=6),"5-6F",IF(AND(INT(H143/100)&gt;=7,INT(H143/100)&lt;=8),"7-8F",IF(AND(INT(H143/100)&gt;=9,INT(H143/100)&lt;=10),"9-10F",IF(AND(INT(H143/100)&gt;=11,INT(H143/100)&lt;=12),"11-12F",IF(INT(H143/100)&gt;=13,"13以上F","")))))))))</f>
        <v>11-12F</v>
      </c>
      <c r="U143" s="52">
        <f>VLOOKUP($T$1&amp;T143,【1】定价因子!E:F,2,0)</f>
        <v>1.04</v>
      </c>
      <c r="V143" s="52" t="str">
        <f>IF(COUNTIFS(户型资产表!E:E,I143,户型资产表!H:H,"操作台")&gt;0,"有","无")</f>
        <v>有</v>
      </c>
      <c r="W143" s="52" t="str">
        <f>IF(COUNTIFS(户型资产表!E:E,I143,户型资产表!H:H,"书桌")&gt;0,"有","无")</f>
        <v>有</v>
      </c>
      <c r="X143" s="52" t="str" cm="1">
        <f t="array" ref="X143">IF(SUMPRODUCT((户型资产表!E:E=I143)*((户型资产表!I:I="沙发01单人")+(户型资产表!I:I="单人沙发02")))&gt;0,"有","无")</f>
        <v>无</v>
      </c>
      <c r="Y143" s="52" t="str" cm="1">
        <f t="array" ref="Y143">IF(SUMPRODUCT((户型资产表!E:E=I143)*((户型资产表!I:I="沙发02两人")+(户型资产表!I:I="双人沙发01")))&gt;0,"有","无")</f>
        <v>无</v>
      </c>
      <c r="Z143" s="52" t="str">
        <f>IF(COUNTIFS(户型资产表!E:E,I143,户型资产表!H:H,"餐桌")&gt;0,"有","无")</f>
        <v>无</v>
      </c>
      <c r="AA143" s="52" t="str">
        <f>IF(COUNTIFS(户型资产表!E:E,I143,户型资产表!H:H,"吸油烟机")&gt;0,"有","无")</f>
        <v>无</v>
      </c>
      <c r="AB143" s="52" t="str">
        <f>IF(COUNTIFS(户型资产表!E:E,I143,户型资产表!H:H,"冰箱")&gt;0,"有","无")</f>
        <v>无</v>
      </c>
      <c r="AC143" s="52" t="str">
        <f>IF(COUNTIFS(户型资产表!E:E,I143,户型资产表!H:H,"电视柜")&gt;0,"有","无")</f>
        <v>无</v>
      </c>
      <c r="AD143" s="51" t="str">
        <f t="shared" si="28"/>
        <v>适中</v>
      </c>
      <c r="AE143" s="52">
        <f>VLOOKUP($AD$1&amp;AD143,【1】定价因子!E:F,2,0)</f>
        <v>1</v>
      </c>
      <c r="AF143" s="51" t="str">
        <f t="shared" si="29"/>
        <v>适中</v>
      </c>
      <c r="AG143" s="52">
        <f>VLOOKUP($AF$1&amp;AF143,【1】定价因子!E:F,2,0)</f>
        <v>1</v>
      </c>
      <c r="AH143" s="51" t="str">
        <f t="shared" si="30"/>
        <v>适中</v>
      </c>
      <c r="AI143" s="52">
        <f>VLOOKUP($AH$1&amp;AH143,【1】定价因子!E:F,2,0)</f>
        <v>1</v>
      </c>
      <c r="AJ143" s="52" t="str">
        <f>VLOOKUP(H143,'【3-1】大区填-采光基本要素'!A:H,8,0)</f>
        <v>2</v>
      </c>
      <c r="AK143" s="52">
        <f>VLOOKUP($AJ$1&amp;AJ143,【1】定价因子!E:F,2,0)</f>
        <v>0.96</v>
      </c>
      <c r="AL143" s="53">
        <f t="shared" si="31"/>
        <v>1656.19673856</v>
      </c>
      <c r="AM143" s="54">
        <v>1518</v>
      </c>
      <c r="AN143" s="55">
        <f t="shared" si="32"/>
        <v>-0.0834422235851985</v>
      </c>
      <c r="AO143" s="56">
        <f t="shared" si="33"/>
        <v>1528</v>
      </c>
    </row>
    <row r="144" spans="1:42">
      <c r="A144" s="47" t="str">
        <f>'【2】运营中心填-基本信息&amp;审核标准'!$E$2</f>
        <v>福围广生7-16、17栋</v>
      </c>
      <c r="B144" s="13"/>
      <c r="C144" s="13"/>
      <c r="D144" s="13"/>
      <c r="E144" s="13"/>
      <c r="F144" s="13"/>
      <c r="G144" s="13"/>
      <c r="H144" s="48">
        <v>1203</v>
      </c>
      <c r="I144" s="49" t="s">
        <v>492</v>
      </c>
      <c r="J144" s="49" t="s">
        <v>40</v>
      </c>
      <c r="K144" s="13"/>
      <c r="L144" s="50">
        <f>VLOOKUP(J144,'【3】大区填-楼栋基准格局定价'!B:H,7,0)</f>
        <v>1658.8509</v>
      </c>
      <c r="M144" s="51" t="s">
        <v>63</v>
      </c>
      <c r="N144" s="51">
        <v>16.55</v>
      </c>
      <c r="O144" s="52"/>
      <c r="P144" s="52" t="str">
        <f>IF(COUNTIFS(户型资产表!E:E,I144,户型资产表!H:H,"阳台门")&gt;0,"有","无")</f>
        <v>无</v>
      </c>
      <c r="Q144" s="52"/>
      <c r="R144" s="52" t="str">
        <f>IF('【2】运营中心填-基本信息&amp;审核标准'!$D$4="是","无",IF(INT(H144/100)&gt;9,"9F",INT(H144/100)&amp;"F"))</f>
        <v>无</v>
      </c>
      <c r="S144" s="52">
        <f>VLOOKUP(R144,【1】定价因子!D:F,3,0)</f>
        <v>1</v>
      </c>
      <c r="T144" s="52" t="str">
        <f>IF('【2】运营中心填-基本信息&amp;审核标准'!$D$4="否","无",IF(INT(H144/100)=1,"1F",IF(AND(INT(H144/100)&gt;=2,INT(H144/100)&lt;=3),"2-3F",IF(INT(H144/100)=4,"4F",IF(AND(INT(H144/100)&gt;=5,INT(H144/100)&lt;=6),"5-6F",IF(AND(INT(H144/100)&gt;=7,INT(H144/100)&lt;=8),"7-8F",IF(AND(INT(H144/100)&gt;=9,INT(H144/100)&lt;=10),"9-10F",IF(AND(INT(H144/100)&gt;=11,INT(H144/100)&lt;=12),"11-12F",IF(INT(H144/100)&gt;=13,"13以上F","")))))))))</f>
        <v>11-12F</v>
      </c>
      <c r="U144" s="52">
        <f>VLOOKUP($T$1&amp;T144,【1】定价因子!E:F,2,0)</f>
        <v>1.04</v>
      </c>
      <c r="V144" s="52" t="str">
        <f>IF(COUNTIFS(户型资产表!E:E,I144,户型资产表!H:H,"操作台")&gt;0,"有","无")</f>
        <v>有</v>
      </c>
      <c r="W144" s="52" t="str">
        <f>IF(COUNTIFS(户型资产表!E:E,I144,户型资产表!H:H,"书桌")&gt;0,"有","无")</f>
        <v>有</v>
      </c>
      <c r="X144" s="52" t="str" cm="1">
        <f t="array" ref="X144">IF(SUMPRODUCT((户型资产表!E:E=I144)*((户型资产表!I:I="沙发01单人")+(户型资产表!I:I="单人沙发02")))&gt;0,"有","无")</f>
        <v>无</v>
      </c>
      <c r="Y144" s="52" t="str" cm="1">
        <f t="array" ref="Y144">IF(SUMPRODUCT((户型资产表!E:E=I144)*((户型资产表!I:I="沙发02两人")+(户型资产表!I:I="双人沙发01")))&gt;0,"有","无")</f>
        <v>无</v>
      </c>
      <c r="Z144" s="52" t="str">
        <f>IF(COUNTIFS(户型资产表!E:E,I144,户型资产表!H:H,"餐桌")&gt;0,"有","无")</f>
        <v>无</v>
      </c>
      <c r="AA144" s="52" t="str">
        <f>IF(COUNTIFS(户型资产表!E:E,I144,户型资产表!H:H,"吸油烟机")&gt;0,"有","无")</f>
        <v>无</v>
      </c>
      <c r="AB144" s="52" t="str">
        <f>IF(COUNTIFS(户型资产表!E:E,I144,户型资产表!H:H,"冰箱")&gt;0,"有","无")</f>
        <v>无</v>
      </c>
      <c r="AC144" s="52" t="str">
        <f>IF(COUNTIFS(户型资产表!E:E,I144,户型资产表!H:H,"电视柜")&gt;0,"有","无")</f>
        <v>无</v>
      </c>
      <c r="AD144" s="51" t="str">
        <f t="shared" si="28"/>
        <v>适中</v>
      </c>
      <c r="AE144" s="52">
        <f>VLOOKUP($AD$1&amp;AD144,【1】定价因子!E:F,2,0)</f>
        <v>1</v>
      </c>
      <c r="AF144" s="51" t="str">
        <f t="shared" si="29"/>
        <v>适中</v>
      </c>
      <c r="AG144" s="52">
        <f>VLOOKUP($AF$1&amp;AF144,【1】定价因子!E:F,2,0)</f>
        <v>1</v>
      </c>
      <c r="AH144" s="51" t="str">
        <f t="shared" si="30"/>
        <v>适中</v>
      </c>
      <c r="AI144" s="52">
        <f>VLOOKUP($AH$1&amp;AH144,【1】定价因子!E:F,2,0)</f>
        <v>1</v>
      </c>
      <c r="AJ144" s="52" t="str">
        <f>VLOOKUP(H144,'【3-1】大区填-采光基本要素'!A:H,8,0)</f>
        <v>2</v>
      </c>
      <c r="AK144" s="52">
        <f>VLOOKUP($AJ$1&amp;AJ144,【1】定价因子!E:F,2,0)</f>
        <v>0.96</v>
      </c>
      <c r="AL144" s="53">
        <f t="shared" si="31"/>
        <v>1656.19673856</v>
      </c>
      <c r="AM144" s="54">
        <v>1518</v>
      </c>
      <c r="AN144" s="55">
        <f t="shared" si="32"/>
        <v>-0.0834422235851985</v>
      </c>
      <c r="AO144" s="56">
        <f t="shared" si="33"/>
        <v>1528</v>
      </c>
    </row>
    <row r="145" spans="1:42">
      <c r="A145" s="47" t="str">
        <f>'【2】运营中心填-基本信息&amp;审核标准'!$E$2</f>
        <v>福围广生7-16、17栋</v>
      </c>
      <c r="B145" s="13"/>
      <c r="C145" s="13"/>
      <c r="D145" s="13"/>
      <c r="E145" s="13"/>
      <c r="F145" s="13"/>
      <c r="G145" s="13"/>
      <c r="H145" s="48">
        <v>1204</v>
      </c>
      <c r="I145" s="49" t="s">
        <v>497</v>
      </c>
      <c r="J145" s="49" t="s">
        <v>43</v>
      </c>
      <c r="K145" s="13"/>
      <c r="L145" s="50">
        <f>VLOOKUP(J145,'【3】大区填-楼栋基准格局定价'!B:H,7,0)</f>
        <v>2472.1725</v>
      </c>
      <c r="M145" s="51" t="s">
        <v>65</v>
      </c>
      <c r="N145" s="51">
        <v>20.73</v>
      </c>
      <c r="O145" s="52"/>
      <c r="P145" s="52" t="str">
        <f>IF(COUNTIFS(户型资产表!E:E,I145,户型资产表!H:H,"阳台门")&gt;0,"有","无")</f>
        <v>无</v>
      </c>
      <c r="Q145" s="52"/>
      <c r="R145" s="52" t="str">
        <f>IF('【2】运营中心填-基本信息&amp;审核标准'!$D$4="是","无",IF(INT(H145/100)&gt;9,"9F",INT(H145/100)&amp;"F"))</f>
        <v>无</v>
      </c>
      <c r="S145" s="52">
        <f>VLOOKUP(R145,【1】定价因子!D:F,3,0)</f>
        <v>1</v>
      </c>
      <c r="T145" s="52" t="str">
        <f>IF('【2】运营中心填-基本信息&amp;审核标准'!$D$4="否","无",IF(INT(H145/100)=1,"1F",IF(AND(INT(H145/100)&gt;=2,INT(H145/100)&lt;=3),"2-3F",IF(INT(H145/100)=4,"4F",IF(AND(INT(H145/100)&gt;=5,INT(H145/100)&lt;=6),"5-6F",IF(AND(INT(H145/100)&gt;=7,INT(H145/100)&lt;=8),"7-8F",IF(AND(INT(H145/100)&gt;=9,INT(H145/100)&lt;=10),"9-10F",IF(AND(INT(H145/100)&gt;=11,INT(H145/100)&lt;=12),"11-12F",IF(INT(H145/100)&gt;=13,"13以上F","")))))))))</f>
        <v>11-12F</v>
      </c>
      <c r="U145" s="52">
        <f>VLOOKUP($T$1&amp;T145,【1】定价因子!E:F,2,0)</f>
        <v>1.04</v>
      </c>
      <c r="V145" s="52" t="str">
        <f>IF(COUNTIFS(户型资产表!E:E,I145,户型资产表!H:H,"操作台")&gt;0,"有","无")</f>
        <v>有</v>
      </c>
      <c r="W145" s="52" t="str">
        <f>IF(COUNTIFS(户型资产表!E:E,I145,户型资产表!H:H,"书桌")&gt;0,"有","无")</f>
        <v>无</v>
      </c>
      <c r="X145" s="52" t="str" cm="1">
        <f t="array" ref="X145">IF(SUMPRODUCT((户型资产表!E:E=I145)*((户型资产表!I:I="沙发01单人")+(户型资产表!I:I="单人沙发02")))&gt;0,"有","无")</f>
        <v>无</v>
      </c>
      <c r="Y145" s="52" t="str" cm="1">
        <f t="array" ref="Y145">IF(SUMPRODUCT((户型资产表!E:E=I145)*((户型资产表!I:I="沙发02两人")+(户型资产表!I:I="双人沙发01")))&gt;0,"有","无")</f>
        <v>有</v>
      </c>
      <c r="Z145" s="52" t="str">
        <f>IF(COUNTIFS(户型资产表!E:E,I145,户型资产表!H:H,"餐桌")&gt;0,"有","无")</f>
        <v>有</v>
      </c>
      <c r="AA145" s="52" t="str">
        <f>IF(COUNTIFS(户型资产表!E:E,I145,户型资产表!H:H,"吸油烟机")&gt;0,"有","无")</f>
        <v>无</v>
      </c>
      <c r="AB145" s="52" t="str">
        <f>IF(COUNTIFS(户型资产表!E:E,I145,户型资产表!H:H,"冰箱")&gt;0,"有","无")</f>
        <v>无</v>
      </c>
      <c r="AC145" s="52" t="str">
        <f>IF(COUNTIFS(户型资产表!E:E,I145,户型资产表!H:H,"电视柜")&gt;0,"有","无")</f>
        <v>无</v>
      </c>
      <c r="AD145" s="51" t="str">
        <f t="shared" si="28"/>
        <v>适中</v>
      </c>
      <c r="AE145" s="52">
        <f>VLOOKUP($AD$1&amp;AD145,【1】定价因子!E:F,2,0)</f>
        <v>1</v>
      </c>
      <c r="AF145" s="51" t="str">
        <f t="shared" si="29"/>
        <v>适中</v>
      </c>
      <c r="AG145" s="52">
        <f>VLOOKUP($AF$1&amp;AF145,【1】定价因子!E:F,2,0)</f>
        <v>1</v>
      </c>
      <c r="AH145" s="51" t="str">
        <f t="shared" si="30"/>
        <v>适中</v>
      </c>
      <c r="AI145" s="52">
        <f>VLOOKUP($AH$1&amp;AH145,【1】定价因子!E:F,2,0)</f>
        <v>1</v>
      </c>
      <c r="AJ145" s="52" t="str">
        <f>VLOOKUP(H145,'【3-1】大区填-采光基本要素'!A:H,8,0)</f>
        <v>2</v>
      </c>
      <c r="AK145" s="52">
        <f>VLOOKUP($AJ$1&amp;AJ145,【1】定价因子!E:F,2,0)</f>
        <v>0.96</v>
      </c>
      <c r="AL145" s="53">
        <f t="shared" si="31"/>
        <v>2468.217024</v>
      </c>
      <c r="AM145" s="54">
        <v>2448</v>
      </c>
      <c r="AN145" s="55">
        <f t="shared" si="32"/>
        <v>-0.00819094261299447</v>
      </c>
      <c r="AO145" s="56">
        <f t="shared" si="33"/>
        <v>2458</v>
      </c>
    </row>
    <row r="146" spans="1:42">
      <c r="A146" s="47" t="str">
        <f>'【2】运营中心填-基本信息&amp;审核标准'!$E$2</f>
        <v>福围广生7-16、17栋</v>
      </c>
      <c r="B146" s="13"/>
      <c r="C146" s="13"/>
      <c r="D146" s="13"/>
      <c r="E146" s="13"/>
      <c r="F146" s="13"/>
      <c r="G146" s="13"/>
      <c r="H146" s="48">
        <v>1205</v>
      </c>
      <c r="I146" s="49" t="s">
        <v>498</v>
      </c>
      <c r="J146" s="49" t="s">
        <v>43</v>
      </c>
      <c r="K146" s="13"/>
      <c r="L146" s="50">
        <f>VLOOKUP(J146,'【3】大区填-楼栋基准格局定价'!B:H,7,0)</f>
        <v>2472.1725</v>
      </c>
      <c r="M146" s="51" t="s">
        <v>63</v>
      </c>
      <c r="N146" s="51">
        <v>24.37</v>
      </c>
      <c r="O146" s="52"/>
      <c r="P146" s="52" t="str">
        <f>IF(COUNTIFS(户型资产表!E:E,I146,户型资产表!H:H,"阳台门")&gt;0,"有","无")</f>
        <v>无</v>
      </c>
      <c r="Q146" s="52"/>
      <c r="R146" s="52" t="str">
        <f>IF('【2】运营中心填-基本信息&amp;审核标准'!$D$4="是","无",IF(INT(H146/100)&gt;9,"9F",INT(H146/100)&amp;"F"))</f>
        <v>无</v>
      </c>
      <c r="S146" s="52">
        <f>VLOOKUP(R146,【1】定价因子!D:F,3,0)</f>
        <v>1</v>
      </c>
      <c r="T146" s="52" t="str">
        <f>IF('【2】运营中心填-基本信息&amp;审核标准'!$D$4="否","无",IF(INT(H146/100)=1,"1F",IF(AND(INT(H146/100)&gt;=2,INT(H146/100)&lt;=3),"2-3F",IF(INT(H146/100)=4,"4F",IF(AND(INT(H146/100)&gt;=5,INT(H146/100)&lt;=6),"5-6F",IF(AND(INT(H146/100)&gt;=7,INT(H146/100)&lt;=8),"7-8F",IF(AND(INT(H146/100)&gt;=9,INT(H146/100)&lt;=10),"9-10F",IF(AND(INT(H146/100)&gt;=11,INT(H146/100)&lt;=12),"11-12F",IF(INT(H146/100)&gt;=13,"13以上F","")))))))))</f>
        <v>11-12F</v>
      </c>
      <c r="U146" s="52">
        <f>VLOOKUP($T$1&amp;T146,【1】定价因子!E:F,2,0)</f>
        <v>1.04</v>
      </c>
      <c r="V146" s="52" t="str">
        <f>IF(COUNTIFS(户型资产表!E:E,I146,户型资产表!H:H,"操作台")&gt;0,"有","无")</f>
        <v>有</v>
      </c>
      <c r="W146" s="52" t="str">
        <f>IF(COUNTIFS(户型资产表!E:E,I146,户型资产表!H:H,"书桌")&gt;0,"有","无")</f>
        <v>无</v>
      </c>
      <c r="X146" s="52" t="str" cm="1">
        <f t="array" ref="X146">IF(SUMPRODUCT((户型资产表!E:E=I146)*((户型资产表!I:I="沙发01单人")+(户型资产表!I:I="单人沙发02")))&gt;0,"有","无")</f>
        <v>无</v>
      </c>
      <c r="Y146" s="52" t="str" cm="1">
        <f t="array" ref="Y146">IF(SUMPRODUCT((户型资产表!E:E=I146)*((户型资产表!I:I="沙发02两人")+(户型资产表!I:I="双人沙发01")))&gt;0,"有","无")</f>
        <v>有</v>
      </c>
      <c r="Z146" s="52" t="str">
        <f>IF(COUNTIFS(户型资产表!E:E,I146,户型资产表!H:H,"餐桌")&gt;0,"有","无")</f>
        <v>有</v>
      </c>
      <c r="AA146" s="52" t="str">
        <f>IF(COUNTIFS(户型资产表!E:E,I146,户型资产表!H:H,"吸油烟机")&gt;0,"有","无")</f>
        <v>无</v>
      </c>
      <c r="AB146" s="52" t="str">
        <f>IF(COUNTIFS(户型资产表!E:E,I146,户型资产表!H:H,"冰箱")&gt;0,"有","无")</f>
        <v>无</v>
      </c>
      <c r="AC146" s="52" t="str">
        <f>IF(COUNTIFS(户型资产表!E:E,I146,户型资产表!H:H,"电视柜")&gt;0,"有","无")</f>
        <v>无</v>
      </c>
      <c r="AD146" s="51" t="str">
        <f t="shared" si="28"/>
        <v>适中</v>
      </c>
      <c r="AE146" s="52">
        <f>VLOOKUP($AD$1&amp;AD146,【1】定价因子!E:F,2,0)</f>
        <v>1</v>
      </c>
      <c r="AF146" s="51" t="str">
        <f t="shared" si="29"/>
        <v>适中</v>
      </c>
      <c r="AG146" s="52">
        <f>VLOOKUP($AF$1&amp;AF146,【1】定价因子!E:F,2,0)</f>
        <v>1</v>
      </c>
      <c r="AH146" s="51" t="str">
        <f t="shared" si="30"/>
        <v>适中</v>
      </c>
      <c r="AI146" s="52">
        <f>VLOOKUP($AH$1&amp;AH146,【1】定价因子!E:F,2,0)</f>
        <v>1</v>
      </c>
      <c r="AJ146" s="52" t="str">
        <f>VLOOKUP(H146,'【3-1】大区填-采光基本要素'!A:H,8,0)</f>
        <v>2</v>
      </c>
      <c r="AK146" s="52">
        <f>VLOOKUP($AJ$1&amp;AJ146,【1】定价因子!E:F,2,0)</f>
        <v>0.96</v>
      </c>
      <c r="AL146" s="53">
        <f t="shared" si="31"/>
        <v>2468.217024</v>
      </c>
      <c r="AM146" s="54">
        <v>2448</v>
      </c>
      <c r="AN146" s="55">
        <f t="shared" si="32"/>
        <v>-0.00819094261299447</v>
      </c>
      <c r="AO146" s="56">
        <f t="shared" si="33"/>
        <v>2458</v>
      </c>
    </row>
    <row r="147" spans="1:42">
      <c r="A147" s="47" t="str">
        <f>'【2】运营中心填-基本信息&amp;审核标准'!$E$2</f>
        <v>福围广生7-16、17栋</v>
      </c>
      <c r="B147" s="13"/>
      <c r="C147" s="13"/>
      <c r="D147" s="13"/>
      <c r="E147" s="13"/>
      <c r="F147" s="13"/>
      <c r="G147" s="13"/>
      <c r="H147" s="48">
        <v>1206</v>
      </c>
      <c r="I147" s="49" t="s">
        <v>499</v>
      </c>
      <c r="J147" s="49" t="s">
        <v>43</v>
      </c>
      <c r="K147" s="13"/>
      <c r="L147" s="50">
        <f>VLOOKUP(J147,'【3】大区填-楼栋基准格局定价'!B:H,7,0)</f>
        <v>2472.1725</v>
      </c>
      <c r="M147" s="51" t="s">
        <v>63</v>
      </c>
      <c r="N147" s="51">
        <v>25.47</v>
      </c>
      <c r="O147" s="52"/>
      <c r="P147" s="52" t="str">
        <f>IF(COUNTIFS(户型资产表!E:E,I147,户型资产表!H:H,"阳台门")&gt;0,"有","无")</f>
        <v>无</v>
      </c>
      <c r="Q147" s="52"/>
      <c r="R147" s="52" t="str">
        <f>IF('【2】运营中心填-基本信息&amp;审核标准'!$D$4="是","无",IF(INT(H147/100)&gt;9,"9F",INT(H147/100)&amp;"F"))</f>
        <v>无</v>
      </c>
      <c r="S147" s="52">
        <f>VLOOKUP(R147,【1】定价因子!D:F,3,0)</f>
        <v>1</v>
      </c>
      <c r="T147" s="52" t="str">
        <f>IF('【2】运营中心填-基本信息&amp;审核标准'!$D$4="否","无",IF(INT(H147/100)=1,"1F",IF(AND(INT(H147/100)&gt;=2,INT(H147/100)&lt;=3),"2-3F",IF(INT(H147/100)=4,"4F",IF(AND(INT(H147/100)&gt;=5,INT(H147/100)&lt;=6),"5-6F",IF(AND(INT(H147/100)&gt;=7,INT(H147/100)&lt;=8),"7-8F",IF(AND(INT(H147/100)&gt;=9,INT(H147/100)&lt;=10),"9-10F",IF(AND(INT(H147/100)&gt;=11,INT(H147/100)&lt;=12),"11-12F",IF(INT(H147/100)&gt;=13,"13以上F","")))))))))</f>
        <v>11-12F</v>
      </c>
      <c r="U147" s="52">
        <f>VLOOKUP($T$1&amp;T147,【1】定价因子!E:F,2,0)</f>
        <v>1.04</v>
      </c>
      <c r="V147" s="52" t="str">
        <f>IF(COUNTIFS(户型资产表!E:E,I147,户型资产表!H:H,"操作台")&gt;0,"有","无")</f>
        <v>有</v>
      </c>
      <c r="W147" s="52" t="str">
        <f>IF(COUNTIFS(户型资产表!E:E,I147,户型资产表!H:H,"书桌")&gt;0,"有","无")</f>
        <v>无</v>
      </c>
      <c r="X147" s="52" t="str" cm="1">
        <f t="array" ref="X147">IF(SUMPRODUCT((户型资产表!E:E=I147)*((户型资产表!I:I="沙发01单人")+(户型资产表!I:I="单人沙发02")))&gt;0,"有","无")</f>
        <v>无</v>
      </c>
      <c r="Y147" s="52" t="str" cm="1">
        <f t="array" ref="Y147">IF(SUMPRODUCT((户型资产表!E:E=I147)*((户型资产表!I:I="沙发02两人")+(户型资产表!I:I="双人沙发01")))&gt;0,"有","无")</f>
        <v>有</v>
      </c>
      <c r="Z147" s="52" t="str">
        <f>IF(COUNTIFS(户型资产表!E:E,I147,户型资产表!H:H,"餐桌")&gt;0,"有","无")</f>
        <v>有</v>
      </c>
      <c r="AA147" s="52" t="str">
        <f>IF(COUNTIFS(户型资产表!E:E,I147,户型资产表!H:H,"吸油烟机")&gt;0,"有","无")</f>
        <v>有</v>
      </c>
      <c r="AB147" s="52" t="str">
        <f>IF(COUNTIFS(户型资产表!E:E,I147,户型资产表!H:H,"冰箱")&gt;0,"有","无")</f>
        <v>无</v>
      </c>
      <c r="AC147" s="52" t="str">
        <f>IF(COUNTIFS(户型资产表!E:E,I147,户型资产表!H:H,"电视柜")&gt;0,"有","无")</f>
        <v>无</v>
      </c>
      <c r="AD147" s="51" t="str">
        <f t="shared" si="28"/>
        <v>适中</v>
      </c>
      <c r="AE147" s="52">
        <f>VLOOKUP($AD$1&amp;AD147,【1】定价因子!E:F,2,0)</f>
        <v>1</v>
      </c>
      <c r="AF147" s="51" t="s">
        <v>63</v>
      </c>
      <c r="AG147" s="52">
        <f>VLOOKUP($AF$1&amp;AF147,【1】定价因子!E:F,2,0)</f>
        <v>1</v>
      </c>
      <c r="AH147" s="51" t="str">
        <f t="shared" si="30"/>
        <v>适中</v>
      </c>
      <c r="AI147" s="52">
        <f>VLOOKUP($AH$1&amp;AH147,【1】定价因子!E:F,2,0)</f>
        <v>1</v>
      </c>
      <c r="AJ147" s="52" t="str">
        <f>VLOOKUP(H147,'【3-1】大区填-采光基本要素'!A:H,8,0)</f>
        <v>2</v>
      </c>
      <c r="AK147" s="52">
        <f>VLOOKUP($AJ$1&amp;AJ147,【1】定价因子!E:F,2,0)</f>
        <v>0.96</v>
      </c>
      <c r="AL147" s="53">
        <f t="shared" si="31"/>
        <v>2468.217024</v>
      </c>
      <c r="AM147" s="54">
        <v>2448</v>
      </c>
      <c r="AN147" s="55">
        <f t="shared" si="32"/>
        <v>-0.00819094261299447</v>
      </c>
      <c r="AO147" s="56">
        <f t="shared" si="33"/>
        <v>2458</v>
      </c>
    </row>
    <row r="148" spans="1:42">
      <c r="A148" s="47" t="str">
        <f>'【2】运营中心填-基本信息&amp;审核标准'!$E$2</f>
        <v>福围广生7-16、17栋</v>
      </c>
      <c r="B148" s="13"/>
      <c r="C148" s="13"/>
      <c r="D148" s="13"/>
      <c r="E148" s="13"/>
      <c r="F148" s="13"/>
      <c r="G148" s="13"/>
      <c r="H148" s="48">
        <v>1207</v>
      </c>
      <c r="I148" s="49" t="s">
        <v>500</v>
      </c>
      <c r="J148" s="49" t="s">
        <v>40</v>
      </c>
      <c r="K148" s="13"/>
      <c r="L148" s="50">
        <f>VLOOKUP(J148,'【3】大区填-楼栋基准格局定价'!B:H,7,0)</f>
        <v>1658.8509</v>
      </c>
      <c r="M148" s="51" t="s">
        <v>61</v>
      </c>
      <c r="N148" s="51">
        <v>18.97</v>
      </c>
      <c r="O148" s="52"/>
      <c r="P148" s="52" t="str">
        <f>IF(COUNTIFS(户型资产表!E:E,I148,户型资产表!H:H,"阳台门")&gt;0,"有","无")</f>
        <v>无</v>
      </c>
      <c r="Q148" s="52"/>
      <c r="R148" s="52" t="str">
        <f>IF('【2】运营中心填-基本信息&amp;审核标准'!$D$4="是","无",IF(INT(H148/100)&gt;9,"9F",INT(H148/100)&amp;"F"))</f>
        <v>无</v>
      </c>
      <c r="S148" s="52">
        <f>VLOOKUP(R148,【1】定价因子!D:F,3,0)</f>
        <v>1</v>
      </c>
      <c r="T148" s="52" t="str">
        <f>IF('【2】运营中心填-基本信息&amp;审核标准'!$D$4="否","无",IF(INT(H148/100)=1,"1F",IF(AND(INT(H148/100)&gt;=2,INT(H148/100)&lt;=3),"2-3F",IF(INT(H148/100)=4,"4F",IF(AND(INT(H148/100)&gt;=5,INT(H148/100)&lt;=6),"5-6F",IF(AND(INT(H148/100)&gt;=7,INT(H148/100)&lt;=8),"7-8F",IF(AND(INT(H148/100)&gt;=9,INT(H148/100)&lt;=10),"9-10F",IF(AND(INT(H148/100)&gt;=11,INT(H148/100)&lt;=12),"11-12F",IF(INT(H148/100)&gt;=13,"13以上F","")))))))))</f>
        <v>11-12F</v>
      </c>
      <c r="U148" s="52">
        <f>VLOOKUP($T$1&amp;T148,【1】定价因子!E:F,2,0)</f>
        <v>1.04</v>
      </c>
      <c r="V148" s="52" t="str">
        <f>IF(COUNTIFS(户型资产表!E:E,I148,户型资产表!H:H,"操作台")&gt;0,"有","无")</f>
        <v>有</v>
      </c>
      <c r="W148" s="52" t="str">
        <f>IF(COUNTIFS(户型资产表!E:E,I148,户型资产表!H:H,"书桌")&gt;0,"有","无")</f>
        <v>有</v>
      </c>
      <c r="X148" s="52" t="str" cm="1">
        <f t="array" ref="X148">IF(SUMPRODUCT((户型资产表!E:E=I148)*((户型资产表!I:I="沙发01单人")+(户型资产表!I:I="单人沙发02")))&gt;0,"有","无")</f>
        <v>有</v>
      </c>
      <c r="Y148" s="52" t="str" cm="1">
        <f t="array" ref="Y148">IF(SUMPRODUCT((户型资产表!E:E=I148)*((户型资产表!I:I="沙发02两人")+(户型资产表!I:I="双人沙发01")))&gt;0,"有","无")</f>
        <v>无</v>
      </c>
      <c r="Z148" s="52" t="str">
        <f>IF(COUNTIFS(户型资产表!E:E,I148,户型资产表!H:H,"餐桌")&gt;0,"有","无")</f>
        <v>无</v>
      </c>
      <c r="AA148" s="52" t="str">
        <f>IF(COUNTIFS(户型资产表!E:E,I148,户型资产表!H:H,"吸油烟机")&gt;0,"有","无")</f>
        <v>无</v>
      </c>
      <c r="AB148" s="52" t="str">
        <f>IF(COUNTIFS(户型资产表!E:E,I148,户型资产表!H:H,"冰箱")&gt;0,"有","无")</f>
        <v>无</v>
      </c>
      <c r="AC148" s="52" t="str">
        <f>IF(COUNTIFS(户型资产表!E:E,I148,户型资产表!H:H,"电视柜")&gt;0,"有","无")</f>
        <v>无</v>
      </c>
      <c r="AD148" s="51" t="s">
        <v>63</v>
      </c>
      <c r="AE148" s="52">
        <f>VLOOKUP($AD$1&amp;AD148,【1】定价因子!E:F,2,0)</f>
        <v>1</v>
      </c>
      <c r="AF148" s="51" t="str">
        <f t="shared" si="29"/>
        <v>适中</v>
      </c>
      <c r="AG148" s="52">
        <f>VLOOKUP($AF$1&amp;AF148,【1】定价因子!E:F,2,0)</f>
        <v>1</v>
      </c>
      <c r="AH148" s="51" t="str">
        <f t="shared" si="30"/>
        <v>适中</v>
      </c>
      <c r="AI148" s="52">
        <f>VLOOKUP($AH$1&amp;AH148,【1】定价因子!E:F,2,0)</f>
        <v>1</v>
      </c>
      <c r="AJ148" s="52" t="str">
        <f>VLOOKUP(H148,'【3-1】大区填-采光基本要素'!A:H,8,0)</f>
        <v>2</v>
      </c>
      <c r="AK148" s="52">
        <f>VLOOKUP($AJ$1&amp;AJ148,【1】定价因子!E:F,2,0)</f>
        <v>0.96</v>
      </c>
      <c r="AL148" s="53">
        <f t="shared" si="31"/>
        <v>1656.19673856</v>
      </c>
      <c r="AM148" s="54">
        <v>1518</v>
      </c>
      <c r="AN148" s="55">
        <f t="shared" si="32"/>
        <v>-0.0834422235851985</v>
      </c>
      <c r="AO148" s="56">
        <f t="shared" si="33"/>
        <v>1528</v>
      </c>
    </row>
    <row r="149" s="34" customFormat="1" spans="1:42">
      <c r="A149" s="57" t="str">
        <f>'【2】运营中心填-基本信息&amp;审核标准'!$E$2</f>
        <v>福围广生7-16、17栋</v>
      </c>
      <c r="B149" s="57"/>
      <c r="C149" s="57"/>
      <c r="D149" s="57"/>
      <c r="E149" s="57"/>
      <c r="F149" s="57"/>
      <c r="G149" s="57"/>
      <c r="H149" s="58">
        <v>1208</v>
      </c>
      <c r="I149" s="59" t="s">
        <v>499</v>
      </c>
      <c r="J149" s="59" t="s">
        <v>43</v>
      </c>
      <c r="K149" s="57"/>
      <c r="L149" s="60">
        <f>VLOOKUP(J149,'【3】大区填-楼栋基准格局定价'!B:H,7,0)</f>
        <v>2472.1725</v>
      </c>
      <c r="M149" s="61" t="s">
        <v>61</v>
      </c>
      <c r="N149" s="61">
        <v>27.4</v>
      </c>
      <c r="O149" s="57"/>
      <c r="P149" s="57" t="str">
        <f>IF(COUNTIFS(户型资产表!E:E,I149,户型资产表!H:H,"阳台门")&gt;0,"有","无")</f>
        <v>无</v>
      </c>
      <c r="Q149" s="57"/>
      <c r="R149" s="57" t="str">
        <f>IF('【2】运营中心填-基本信息&amp;审核标准'!$D$4="是","无",IF(INT(H149/100)&gt;9,"9F",INT(H149/100)&amp;"F"))</f>
        <v>无</v>
      </c>
      <c r="S149" s="57">
        <f>VLOOKUP(R149,【1】定价因子!D:F,3,0)</f>
        <v>1</v>
      </c>
      <c r="T149" s="57" t="str">
        <f>IF('【2】运营中心填-基本信息&amp;审核标准'!$D$4="否","无",IF(INT(H149/100)=1,"1F",IF(AND(INT(H149/100)&gt;=2,INT(H149/100)&lt;=3),"2-3F",IF(INT(H149/100)=4,"4F",IF(AND(INT(H149/100)&gt;=5,INT(H149/100)&lt;=6),"5-6F",IF(AND(INT(H149/100)&gt;=7,INT(H149/100)&lt;=8),"7-8F",IF(AND(INT(H149/100)&gt;=9,INT(H149/100)&lt;=10),"9-10F",IF(AND(INT(H149/100)&gt;=11,INT(H149/100)&lt;=12),"11-12F",IF(INT(H149/100)&gt;=13,"13以上F","")))))))))</f>
        <v>11-12F</v>
      </c>
      <c r="U149" s="57">
        <f>VLOOKUP($T$1&amp;T149,【1】定价因子!E:F,2,0)</f>
        <v>1.04</v>
      </c>
      <c r="V149" s="57" t="str">
        <f>IF(COUNTIFS(户型资产表!E:E,I149,户型资产表!H:H,"操作台")&gt;0,"有","无")</f>
        <v>有</v>
      </c>
      <c r="W149" s="57" t="str">
        <f>IF(COUNTIFS(户型资产表!E:E,I149,户型资产表!H:H,"书桌")&gt;0,"有","无")</f>
        <v>无</v>
      </c>
      <c r="X149" s="57" t="str" cm="1">
        <f t="array" ref="X149">IF(SUMPRODUCT((户型资产表!E:E=I149)*((户型资产表!I:I="沙发01单人")+(户型资产表!I:I="单人沙发02")))&gt;0,"有","无")</f>
        <v>无</v>
      </c>
      <c r="Y149" s="57" t="str" cm="1">
        <f t="array" ref="Y149">IF(SUMPRODUCT((户型资产表!E:E=I149)*((户型资产表!I:I="沙发02两人")+(户型资产表!I:I="双人沙发01")))&gt;0,"有","无")</f>
        <v>有</v>
      </c>
      <c r="Z149" s="57" t="str">
        <f>IF(COUNTIFS(户型资产表!E:E,I149,户型资产表!H:H,"餐桌")&gt;0,"有","无")</f>
        <v>有</v>
      </c>
      <c r="AA149" s="57" t="str">
        <f>IF(COUNTIFS(户型资产表!E:E,I149,户型资产表!H:H,"吸油烟机")&gt;0,"有","无")</f>
        <v>有</v>
      </c>
      <c r="AB149" s="57" t="str">
        <f>IF(COUNTIFS(户型资产表!E:E,I149,户型资产表!H:H,"冰箱")&gt;0,"有","无")</f>
        <v>无</v>
      </c>
      <c r="AC149" s="57" t="str">
        <f>IF(COUNTIFS(户型资产表!E:E,I149,户型资产表!H:H,"电视柜")&gt;0,"有","无")</f>
        <v>无</v>
      </c>
      <c r="AD149" s="61" t="str">
        <f t="shared" si="28"/>
        <v>适中</v>
      </c>
      <c r="AE149" s="57">
        <f>VLOOKUP($AD$1&amp;AD149,【1】定价因子!E:F,2,0)</f>
        <v>1</v>
      </c>
      <c r="AF149" s="61" t="s">
        <v>63</v>
      </c>
      <c r="AG149" s="57">
        <f>VLOOKUP($AF$1&amp;AF149,【1】定价因子!E:F,2,0)</f>
        <v>1</v>
      </c>
      <c r="AH149" s="61" t="str">
        <f t="shared" si="30"/>
        <v>适中</v>
      </c>
      <c r="AI149" s="57">
        <f>VLOOKUP($AH$1&amp;AH149,【1】定价因子!E:F,2,0)</f>
        <v>1</v>
      </c>
      <c r="AJ149" s="57" t="str">
        <f>VLOOKUP(H149,'【3-1】大区填-采光基本要素'!A:H,8,0)</f>
        <v>2</v>
      </c>
      <c r="AK149" s="57">
        <f>VLOOKUP($AJ$1&amp;AJ149,【1】定价因子!E:F,2,0)</f>
        <v>0.96</v>
      </c>
      <c r="AL149" s="62">
        <f t="shared" si="31"/>
        <v>2468.217024</v>
      </c>
      <c r="AM149" s="63">
        <v>2300</v>
      </c>
      <c r="AN149" s="64">
        <f t="shared" si="32"/>
        <v>-0.0681532549059998</v>
      </c>
      <c r="AO149" s="65">
        <f t="shared" si="33"/>
        <v>2310</v>
      </c>
      <c r="AP149" s="34">
        <v>2448</v>
      </c>
    </row>
    <row r="150" spans="1:42">
      <c r="A150" s="47" t="str">
        <f>'【2】运营中心填-基本信息&amp;审核标准'!$E$2</f>
        <v>福围广生7-16、17栋</v>
      </c>
      <c r="B150" s="13"/>
      <c r="C150" s="13"/>
      <c r="D150" s="13"/>
      <c r="E150" s="13"/>
      <c r="F150" s="13"/>
      <c r="G150" s="13"/>
      <c r="H150" s="48">
        <v>1209</v>
      </c>
      <c r="I150" s="49" t="s">
        <v>500</v>
      </c>
      <c r="J150" s="49" t="s">
        <v>40</v>
      </c>
      <c r="K150" s="13"/>
      <c r="L150" s="50">
        <f>VLOOKUP(J150,'【3】大区填-楼栋基准格局定价'!B:H,7,0)</f>
        <v>1658.8509</v>
      </c>
      <c r="M150" s="51" t="s">
        <v>61</v>
      </c>
      <c r="N150" s="51">
        <v>18.97</v>
      </c>
      <c r="O150" s="52"/>
      <c r="P150" s="52" t="str">
        <f>IF(COUNTIFS(户型资产表!E:E,I150,户型资产表!H:H,"阳台门")&gt;0,"有","无")</f>
        <v>无</v>
      </c>
      <c r="Q150" s="52"/>
      <c r="R150" s="52" t="str">
        <f>IF('【2】运营中心填-基本信息&amp;审核标准'!$D$4="是","无",IF(INT(H150/100)&gt;9,"9F",INT(H150/100)&amp;"F"))</f>
        <v>无</v>
      </c>
      <c r="S150" s="52">
        <f>VLOOKUP(R150,【1】定价因子!D:F,3,0)</f>
        <v>1</v>
      </c>
      <c r="T150" s="52" t="str">
        <f>IF('【2】运营中心填-基本信息&amp;审核标准'!$D$4="否","无",IF(INT(H150/100)=1,"1F",IF(AND(INT(H150/100)&gt;=2,INT(H150/100)&lt;=3),"2-3F",IF(INT(H150/100)=4,"4F",IF(AND(INT(H150/100)&gt;=5,INT(H150/100)&lt;=6),"5-6F",IF(AND(INT(H150/100)&gt;=7,INT(H150/100)&lt;=8),"7-8F",IF(AND(INT(H150/100)&gt;=9,INT(H150/100)&lt;=10),"9-10F",IF(AND(INT(H150/100)&gt;=11,INT(H150/100)&lt;=12),"11-12F",IF(INT(H150/100)&gt;=13,"13以上F","")))))))))</f>
        <v>11-12F</v>
      </c>
      <c r="U150" s="52">
        <f>VLOOKUP($T$1&amp;T150,【1】定价因子!E:F,2,0)</f>
        <v>1.04</v>
      </c>
      <c r="V150" s="52" t="str">
        <f>IF(COUNTIFS(户型资产表!E:E,I150,户型资产表!H:H,"操作台")&gt;0,"有","无")</f>
        <v>有</v>
      </c>
      <c r="W150" s="52" t="str">
        <f>IF(COUNTIFS(户型资产表!E:E,I150,户型资产表!H:H,"书桌")&gt;0,"有","无")</f>
        <v>有</v>
      </c>
      <c r="X150" s="52" t="str" cm="1">
        <f t="array" ref="X150">IF(SUMPRODUCT((户型资产表!E:E=I150)*((户型资产表!I:I="沙发01单人")+(户型资产表!I:I="单人沙发02")))&gt;0,"有","无")</f>
        <v>有</v>
      </c>
      <c r="Y150" s="52" t="str" cm="1">
        <f t="array" ref="Y150">IF(SUMPRODUCT((户型资产表!E:E=I150)*((户型资产表!I:I="沙发02两人")+(户型资产表!I:I="双人沙发01")))&gt;0,"有","无")</f>
        <v>无</v>
      </c>
      <c r="Z150" s="52" t="str">
        <f>IF(COUNTIFS(户型资产表!E:E,I150,户型资产表!H:H,"餐桌")&gt;0,"有","无")</f>
        <v>无</v>
      </c>
      <c r="AA150" s="52" t="str">
        <f>IF(COUNTIFS(户型资产表!E:E,I150,户型资产表!H:H,"吸油烟机")&gt;0,"有","无")</f>
        <v>无</v>
      </c>
      <c r="AB150" s="52" t="str">
        <f>IF(COUNTIFS(户型资产表!E:E,I150,户型资产表!H:H,"冰箱")&gt;0,"有","无")</f>
        <v>无</v>
      </c>
      <c r="AC150" s="52" t="str">
        <f>IF(COUNTIFS(户型资产表!E:E,I150,户型资产表!H:H,"电视柜")&gt;0,"有","无")</f>
        <v>无</v>
      </c>
      <c r="AD150" s="51" t="s">
        <v>63</v>
      </c>
      <c r="AE150" s="52">
        <f>VLOOKUP($AD$1&amp;AD150,【1】定价因子!E:F,2,0)</f>
        <v>1</v>
      </c>
      <c r="AF150" s="51" t="str">
        <f t="shared" si="29"/>
        <v>适中</v>
      </c>
      <c r="AG150" s="52">
        <f>VLOOKUP($AF$1&amp;AF150,【1】定价因子!E:F,2,0)</f>
        <v>1</v>
      </c>
      <c r="AH150" s="51" t="str">
        <f t="shared" si="30"/>
        <v>适中</v>
      </c>
      <c r="AI150" s="52">
        <f>VLOOKUP($AH$1&amp;AH150,【1】定价因子!E:F,2,0)</f>
        <v>1</v>
      </c>
      <c r="AJ150" s="52" t="str">
        <f>VLOOKUP(H150,'【3-1】大区填-采光基本要素'!A:H,8,0)</f>
        <v>1</v>
      </c>
      <c r="AK150" s="52">
        <f>VLOOKUP($AJ$1&amp;AJ150,【1】定价因子!E:F,2,0)</f>
        <v>0.91</v>
      </c>
      <c r="AL150" s="53">
        <f t="shared" si="31"/>
        <v>1569.93649176</v>
      </c>
      <c r="AM150" s="54">
        <v>1518</v>
      </c>
      <c r="AN150" s="55">
        <f t="shared" si="32"/>
        <v>-0.0330819061997698</v>
      </c>
      <c r="AO150" s="56">
        <f t="shared" si="33"/>
        <v>1528</v>
      </c>
    </row>
    <row r="151" spans="1:42">
      <c r="A151" s="47" t="str">
        <f>'【2】运营中心填-基本信息&amp;审核标准'!$E$2</f>
        <v>福围广生7-16、17栋</v>
      </c>
      <c r="B151" s="13"/>
      <c r="C151" s="13"/>
      <c r="D151" s="13"/>
      <c r="E151" s="13"/>
      <c r="F151" s="13"/>
      <c r="G151" s="13"/>
      <c r="H151" s="48">
        <v>1210</v>
      </c>
      <c r="I151" s="49" t="s">
        <v>499</v>
      </c>
      <c r="J151" s="49" t="s">
        <v>43</v>
      </c>
      <c r="K151" s="13"/>
      <c r="L151" s="50">
        <f>VLOOKUP(J151,'【3】大区填-楼栋基准格局定价'!B:H,7,0)</f>
        <v>2472.1725</v>
      </c>
      <c r="M151" s="51" t="s">
        <v>63</v>
      </c>
      <c r="N151" s="51">
        <v>25.47</v>
      </c>
      <c r="O151" s="52"/>
      <c r="P151" s="52" t="str">
        <f>IF(COUNTIFS(户型资产表!E:E,I151,户型资产表!H:H,"阳台门")&gt;0,"有","无")</f>
        <v>无</v>
      </c>
      <c r="Q151" s="52"/>
      <c r="R151" s="52" t="str">
        <f>IF('【2】运营中心填-基本信息&amp;审核标准'!$D$4="是","无",IF(INT(H151/100)&gt;9,"9F",INT(H151/100)&amp;"F"))</f>
        <v>无</v>
      </c>
      <c r="S151" s="52">
        <f>VLOOKUP(R151,【1】定价因子!D:F,3,0)</f>
        <v>1</v>
      </c>
      <c r="T151" s="52" t="str">
        <f>IF('【2】运营中心填-基本信息&amp;审核标准'!$D$4="否","无",IF(INT(H151/100)=1,"1F",IF(AND(INT(H151/100)&gt;=2,INT(H151/100)&lt;=3),"2-3F",IF(INT(H151/100)=4,"4F",IF(AND(INT(H151/100)&gt;=5,INT(H151/100)&lt;=6),"5-6F",IF(AND(INT(H151/100)&gt;=7,INT(H151/100)&lt;=8),"7-8F",IF(AND(INT(H151/100)&gt;=9,INT(H151/100)&lt;=10),"9-10F",IF(AND(INT(H151/100)&gt;=11,INT(H151/100)&lt;=12),"11-12F",IF(INT(H151/100)&gt;=13,"13以上F","")))))))))</f>
        <v>11-12F</v>
      </c>
      <c r="U151" s="52">
        <f>VLOOKUP($T$1&amp;T151,【1】定价因子!E:F,2,0)</f>
        <v>1.04</v>
      </c>
      <c r="V151" s="52" t="str">
        <f>IF(COUNTIFS(户型资产表!E:E,I151,户型资产表!H:H,"操作台")&gt;0,"有","无")</f>
        <v>有</v>
      </c>
      <c r="W151" s="52" t="str">
        <f>IF(COUNTIFS(户型资产表!E:E,I151,户型资产表!H:H,"书桌")&gt;0,"有","无")</f>
        <v>无</v>
      </c>
      <c r="X151" s="52" t="str" cm="1">
        <f t="array" ref="X151">IF(SUMPRODUCT((户型资产表!E:E=I151)*((户型资产表!I:I="沙发01单人")+(户型资产表!I:I="单人沙发02")))&gt;0,"有","无")</f>
        <v>无</v>
      </c>
      <c r="Y151" s="52" t="str" cm="1">
        <f t="array" ref="Y151">IF(SUMPRODUCT((户型资产表!E:E=I151)*((户型资产表!I:I="沙发02两人")+(户型资产表!I:I="双人沙发01")))&gt;0,"有","无")</f>
        <v>有</v>
      </c>
      <c r="Z151" s="52" t="str">
        <f>IF(COUNTIFS(户型资产表!E:E,I151,户型资产表!H:H,"餐桌")&gt;0,"有","无")</f>
        <v>有</v>
      </c>
      <c r="AA151" s="52" t="str">
        <f>IF(COUNTIFS(户型资产表!E:E,I151,户型资产表!H:H,"吸油烟机")&gt;0,"有","无")</f>
        <v>有</v>
      </c>
      <c r="AB151" s="52" t="str">
        <f>IF(COUNTIFS(户型资产表!E:E,I151,户型资产表!H:H,"冰箱")&gt;0,"有","无")</f>
        <v>无</v>
      </c>
      <c r="AC151" s="52" t="str">
        <f>IF(COUNTIFS(户型资产表!E:E,I151,户型资产表!H:H,"电视柜")&gt;0,"有","无")</f>
        <v>无</v>
      </c>
      <c r="AD151" s="51" t="str">
        <f t="shared" si="28"/>
        <v>适中</v>
      </c>
      <c r="AE151" s="52">
        <f>VLOOKUP($AD$1&amp;AD151,【1】定价因子!E:F,2,0)</f>
        <v>1</v>
      </c>
      <c r="AF151" s="51" t="s">
        <v>63</v>
      </c>
      <c r="AG151" s="52">
        <f>VLOOKUP($AF$1&amp;AF151,【1】定价因子!E:F,2,0)</f>
        <v>1</v>
      </c>
      <c r="AH151" s="51" t="str">
        <f t="shared" si="30"/>
        <v>适中</v>
      </c>
      <c r="AI151" s="52">
        <f>VLOOKUP($AH$1&amp;AH151,【1】定价因子!E:F,2,0)</f>
        <v>1</v>
      </c>
      <c r="AJ151" s="52" t="str">
        <f>VLOOKUP(H151,'【3-1】大区填-采光基本要素'!A:H,8,0)</f>
        <v>2</v>
      </c>
      <c r="AK151" s="52">
        <f>VLOOKUP($AJ$1&amp;AJ151,【1】定价因子!E:F,2,0)</f>
        <v>0.96</v>
      </c>
      <c r="AL151" s="53">
        <f t="shared" si="31"/>
        <v>2468.217024</v>
      </c>
      <c r="AM151" s="54">
        <v>2448</v>
      </c>
      <c r="AN151" s="55">
        <f t="shared" si="32"/>
        <v>-0.00819094261299447</v>
      </c>
      <c r="AO151" s="56">
        <f t="shared" si="33"/>
        <v>2458</v>
      </c>
    </row>
    <row r="152" spans="1:42">
      <c r="A152" s="47" t="str">
        <f>'【2】运营中心填-基本信息&amp;审核标准'!$E$2</f>
        <v>福围广生7-16、17栋</v>
      </c>
      <c r="B152" s="13"/>
      <c r="C152" s="13"/>
      <c r="D152" s="13"/>
      <c r="E152" s="13"/>
      <c r="F152" s="13"/>
      <c r="G152" s="13"/>
      <c r="H152" s="48">
        <v>1211</v>
      </c>
      <c r="I152" s="49" t="s">
        <v>498</v>
      </c>
      <c r="J152" s="49" t="s">
        <v>43</v>
      </c>
      <c r="K152" s="13"/>
      <c r="L152" s="50">
        <f>VLOOKUP(J152,'【3】大区填-楼栋基准格局定价'!B:H,7,0)</f>
        <v>2472.1725</v>
      </c>
      <c r="M152" s="51" t="s">
        <v>63</v>
      </c>
      <c r="N152" s="51">
        <v>23.5</v>
      </c>
      <c r="O152" s="52"/>
      <c r="P152" s="52" t="str">
        <f>IF(COUNTIFS(户型资产表!E:E,I152,户型资产表!H:H,"阳台门")&gt;0,"有","无")</f>
        <v>无</v>
      </c>
      <c r="Q152" s="52"/>
      <c r="R152" s="52" t="str">
        <f>IF('【2】运营中心填-基本信息&amp;审核标准'!$D$4="是","无",IF(INT(H152/100)&gt;9,"9F",INT(H152/100)&amp;"F"))</f>
        <v>无</v>
      </c>
      <c r="S152" s="52">
        <f>VLOOKUP(R152,【1】定价因子!D:F,3,0)</f>
        <v>1</v>
      </c>
      <c r="T152" s="52" t="str">
        <f>IF('【2】运营中心填-基本信息&amp;审核标准'!$D$4="否","无",IF(INT(H152/100)=1,"1F",IF(AND(INT(H152/100)&gt;=2,INT(H152/100)&lt;=3),"2-3F",IF(INT(H152/100)=4,"4F",IF(AND(INT(H152/100)&gt;=5,INT(H152/100)&lt;=6),"5-6F",IF(AND(INT(H152/100)&gt;=7,INT(H152/100)&lt;=8),"7-8F",IF(AND(INT(H152/100)&gt;=9,INT(H152/100)&lt;=10),"9-10F",IF(AND(INT(H152/100)&gt;=11,INT(H152/100)&lt;=12),"11-12F",IF(INT(H152/100)&gt;=13,"13以上F","")))))))))</f>
        <v>11-12F</v>
      </c>
      <c r="U152" s="52">
        <f>VLOOKUP($T$1&amp;T152,【1】定价因子!E:F,2,0)</f>
        <v>1.04</v>
      </c>
      <c r="V152" s="52" t="str">
        <f>IF(COUNTIFS(户型资产表!E:E,I152,户型资产表!H:H,"操作台")&gt;0,"有","无")</f>
        <v>有</v>
      </c>
      <c r="W152" s="52" t="str">
        <f>IF(COUNTIFS(户型资产表!E:E,I152,户型资产表!H:H,"书桌")&gt;0,"有","无")</f>
        <v>无</v>
      </c>
      <c r="X152" s="52" t="str" cm="1">
        <f t="array" ref="X152">IF(SUMPRODUCT((户型资产表!E:E=I152)*((户型资产表!I:I="沙发01单人")+(户型资产表!I:I="单人沙发02")))&gt;0,"有","无")</f>
        <v>无</v>
      </c>
      <c r="Y152" s="52" t="str" cm="1">
        <f t="array" ref="Y152">IF(SUMPRODUCT((户型资产表!E:E=I152)*((户型资产表!I:I="沙发02两人")+(户型资产表!I:I="双人沙发01")))&gt;0,"有","无")</f>
        <v>有</v>
      </c>
      <c r="Z152" s="52" t="str">
        <f>IF(COUNTIFS(户型资产表!E:E,I152,户型资产表!H:H,"餐桌")&gt;0,"有","无")</f>
        <v>有</v>
      </c>
      <c r="AA152" s="52" t="str">
        <f>IF(COUNTIFS(户型资产表!E:E,I152,户型资产表!H:H,"吸油烟机")&gt;0,"有","无")</f>
        <v>无</v>
      </c>
      <c r="AB152" s="52" t="str">
        <f>IF(COUNTIFS(户型资产表!E:E,I152,户型资产表!H:H,"冰箱")&gt;0,"有","无")</f>
        <v>无</v>
      </c>
      <c r="AC152" s="52" t="str">
        <f>IF(COUNTIFS(户型资产表!E:E,I152,户型资产表!H:H,"电视柜")&gt;0,"有","无")</f>
        <v>无</v>
      </c>
      <c r="AD152" s="51" t="str">
        <f t="shared" si="28"/>
        <v>适中</v>
      </c>
      <c r="AE152" s="52">
        <f>VLOOKUP($AD$1&amp;AD152,【1】定价因子!E:F,2,0)</f>
        <v>1</v>
      </c>
      <c r="AF152" s="51" t="str">
        <f t="shared" si="29"/>
        <v>适中</v>
      </c>
      <c r="AG152" s="52">
        <f>VLOOKUP($AF$1&amp;AF152,【1】定价因子!E:F,2,0)</f>
        <v>1</v>
      </c>
      <c r="AH152" s="51" t="str">
        <f t="shared" si="30"/>
        <v>适中</v>
      </c>
      <c r="AI152" s="52">
        <f>VLOOKUP($AH$1&amp;AH152,【1】定价因子!E:F,2,0)</f>
        <v>1</v>
      </c>
      <c r="AJ152" s="52" t="str">
        <f>VLOOKUP(H152,'【3-1】大区填-采光基本要素'!A:H,8,0)</f>
        <v>3</v>
      </c>
      <c r="AK152" s="52">
        <f>VLOOKUP($AJ$1&amp;AJ152,【1】定价因子!E:F,2,0)</f>
        <v>1</v>
      </c>
      <c r="AL152" s="53">
        <f t="shared" si="31"/>
        <v>2571.0594</v>
      </c>
      <c r="AM152" s="54">
        <v>2448</v>
      </c>
      <c r="AN152" s="55">
        <f t="shared" si="32"/>
        <v>-0.0478633049084747</v>
      </c>
      <c r="AO152" s="56">
        <f t="shared" si="33"/>
        <v>2458</v>
      </c>
    </row>
    <row r="153" spans="1:42">
      <c r="A153" s="47" t="str">
        <f>'【2】运营中心填-基本信息&amp;审核标准'!$E$2</f>
        <v>福围广生7-16、17栋</v>
      </c>
      <c r="B153" s="13"/>
      <c r="C153" s="13"/>
      <c r="D153" s="13"/>
      <c r="E153" s="13"/>
      <c r="F153" s="13"/>
      <c r="G153" s="13"/>
      <c r="H153" s="48">
        <v>1212</v>
      </c>
      <c r="I153" s="49" t="s">
        <v>501</v>
      </c>
      <c r="J153" s="49" t="s">
        <v>40</v>
      </c>
      <c r="K153" s="13"/>
      <c r="L153" s="50">
        <f>VLOOKUP(J153,'【3】大区填-楼栋基准格局定价'!B:H,7,0)</f>
        <v>1658.8509</v>
      </c>
      <c r="M153" s="51" t="s">
        <v>61</v>
      </c>
      <c r="N153" s="51">
        <v>18.11</v>
      </c>
      <c r="O153" s="52"/>
      <c r="P153" s="52" t="str">
        <f>IF(COUNTIFS(户型资产表!E:E,I153,户型资产表!H:H,"阳台门")&gt;0,"有","无")</f>
        <v>无</v>
      </c>
      <c r="Q153" s="52"/>
      <c r="R153" s="52" t="str">
        <f>IF('【2】运营中心填-基本信息&amp;审核标准'!$D$4="是","无",IF(INT(H153/100)&gt;9,"9F",INT(H153/100)&amp;"F"))</f>
        <v>无</v>
      </c>
      <c r="S153" s="52">
        <f>VLOOKUP(R153,【1】定价因子!D:F,3,0)</f>
        <v>1</v>
      </c>
      <c r="T153" s="52" t="str">
        <f>IF('【2】运营中心填-基本信息&amp;审核标准'!$D$4="否","无",IF(INT(H153/100)=1,"1F",IF(AND(INT(H153/100)&gt;=2,INT(H153/100)&lt;=3),"2-3F",IF(INT(H153/100)=4,"4F",IF(AND(INT(H153/100)&gt;=5,INT(H153/100)&lt;=6),"5-6F",IF(AND(INT(H153/100)&gt;=7,INT(H153/100)&lt;=8),"7-8F",IF(AND(INT(H153/100)&gt;=9,INT(H153/100)&lt;=10),"9-10F",IF(AND(INT(H153/100)&gt;=11,INT(H153/100)&lt;=12),"11-12F",IF(INT(H153/100)&gt;=13,"13以上F","")))))))))</f>
        <v>11-12F</v>
      </c>
      <c r="U153" s="52">
        <f>VLOOKUP($T$1&amp;T153,【1】定价因子!E:F,2,0)</f>
        <v>1.04</v>
      </c>
      <c r="V153" s="52" t="str">
        <f>IF(COUNTIFS(户型资产表!E:E,I153,户型资产表!H:H,"操作台")&gt;0,"有","无")</f>
        <v>有</v>
      </c>
      <c r="W153" s="52" t="str">
        <f>IF(COUNTIFS(户型资产表!E:E,I153,户型资产表!H:H,"书桌")&gt;0,"有","无")</f>
        <v>有</v>
      </c>
      <c r="X153" s="52" t="str" cm="1">
        <f t="array" ref="X153">IF(SUMPRODUCT((户型资产表!E:E=I153)*((户型资产表!I:I="沙发01单人")+(户型资产表!I:I="单人沙发02")))&gt;0,"有","无")</f>
        <v>有</v>
      </c>
      <c r="Y153" s="52" t="str" cm="1">
        <f t="array" ref="Y153">IF(SUMPRODUCT((户型资产表!E:E=I153)*((户型资产表!I:I="沙发02两人")+(户型资产表!I:I="双人沙发01")))&gt;0,"有","无")</f>
        <v>有</v>
      </c>
      <c r="Z153" s="52" t="str">
        <f>IF(COUNTIFS(户型资产表!E:E,I153,户型资产表!H:H,"餐桌")&gt;0,"有","无")</f>
        <v>有</v>
      </c>
      <c r="AA153" s="52" t="str">
        <f>IF(COUNTIFS(户型资产表!E:E,I153,户型资产表!H:H,"吸油烟机")&gt;0,"有","无")</f>
        <v>无</v>
      </c>
      <c r="AB153" s="52" t="str">
        <f>IF(COUNTIFS(户型资产表!E:E,I153,户型资产表!H:H,"冰箱")&gt;0,"有","无")</f>
        <v>无</v>
      </c>
      <c r="AC153" s="52" t="str">
        <f>IF(COUNTIFS(户型资产表!E:E,I153,户型资产表!H:H,"电视柜")&gt;0,"有","无")</f>
        <v>无</v>
      </c>
      <c r="AD153" s="51" t="s">
        <v>63</v>
      </c>
      <c r="AE153" s="52">
        <f>VLOOKUP($AD$1&amp;AD153,【1】定价因子!E:F,2,0)</f>
        <v>1</v>
      </c>
      <c r="AF153" s="51" t="str">
        <f t="shared" si="29"/>
        <v>适中</v>
      </c>
      <c r="AG153" s="52">
        <f>VLOOKUP($AF$1&amp;AF153,【1】定价因子!E:F,2,0)</f>
        <v>1</v>
      </c>
      <c r="AH153" s="51" t="str">
        <f t="shared" si="30"/>
        <v>适中</v>
      </c>
      <c r="AI153" s="52">
        <f>VLOOKUP($AH$1&amp;AH153,【1】定价因子!E:F,2,0)</f>
        <v>1</v>
      </c>
      <c r="AJ153" s="52" t="str">
        <f>VLOOKUP(H153,'【3-1】大区填-采光基本要素'!A:H,8,0)</f>
        <v>2</v>
      </c>
      <c r="AK153" s="52">
        <f>VLOOKUP($AJ$1&amp;AJ153,【1】定价因子!E:F,2,0)</f>
        <v>0.96</v>
      </c>
      <c r="AL153" s="53">
        <f t="shared" si="31"/>
        <v>1656.19673856</v>
      </c>
      <c r="AM153" s="54">
        <v>1518</v>
      </c>
      <c r="AN153" s="55">
        <f t="shared" si="32"/>
        <v>-0.0834422235851985</v>
      </c>
      <c r="AO153" s="56">
        <f t="shared" si="33"/>
        <v>1528</v>
      </c>
    </row>
    <row r="154" spans="1:42">
      <c r="A154" s="47" t="str">
        <f>'【2】运营中心填-基本信息&amp;审核标准'!$E$2</f>
        <v>福围广生7-16、17栋</v>
      </c>
      <c r="B154" s="13"/>
      <c r="C154" s="13"/>
      <c r="D154" s="13"/>
      <c r="E154" s="13"/>
      <c r="F154" s="13"/>
      <c r="G154" s="13"/>
      <c r="H154" s="48">
        <v>1301</v>
      </c>
      <c r="I154" s="49" t="s">
        <v>492</v>
      </c>
      <c r="J154" s="49" t="s">
        <v>40</v>
      </c>
      <c r="K154" s="13"/>
      <c r="L154" s="50">
        <f>VLOOKUP(J154,'【3】大区填-楼栋基准格局定价'!B:H,7,0)</f>
        <v>1658.8509</v>
      </c>
      <c r="M154" s="51" t="s">
        <v>63</v>
      </c>
      <c r="N154" s="51">
        <v>14.4</v>
      </c>
      <c r="O154" s="52"/>
      <c r="P154" s="52" t="str">
        <f>IF(COUNTIFS(户型资产表!E:E,I154,户型资产表!H:H,"阳台门")&gt;0,"有","无")</f>
        <v>无</v>
      </c>
      <c r="Q154" s="52"/>
      <c r="R154" s="52" t="str">
        <f>IF('【2】运营中心填-基本信息&amp;审核标准'!$D$4="是","无",IF(INT(H154/100)&gt;9,"9F",INT(H154/100)&amp;"F"))</f>
        <v>无</v>
      </c>
      <c r="S154" s="52">
        <f>VLOOKUP(R154,【1】定价因子!D:F,3,0)</f>
        <v>1</v>
      </c>
      <c r="T154" s="52" t="str">
        <f>IF('【2】运营中心填-基本信息&amp;审核标准'!$D$4="否","无",IF(INT(H154/100)=1,"1F",IF(AND(INT(H154/100)&gt;=2,INT(H154/100)&lt;=3),"2-3F",IF(INT(H154/100)=4,"4F",IF(AND(INT(H154/100)&gt;=5,INT(H154/100)&lt;=6),"5-6F",IF(AND(INT(H154/100)&gt;=7,INT(H154/100)&lt;=8),"7-8F",IF(AND(INT(H154/100)&gt;=9,INT(H154/100)&lt;=10),"9-10F",IF(AND(INT(H154/100)&gt;=11,INT(H154/100)&lt;=12),"11-12F",IF(INT(H154/100)&gt;=13,"13以上F","")))))))))</f>
        <v>13以上F</v>
      </c>
      <c r="U154" s="52">
        <f>VLOOKUP($T$1&amp;T154,【1】定价因子!E:F,2,0)</f>
        <v>1.05</v>
      </c>
      <c r="V154" s="52" t="str">
        <f>IF(COUNTIFS(户型资产表!E:E,I154,户型资产表!H:H,"操作台")&gt;0,"有","无")</f>
        <v>有</v>
      </c>
      <c r="W154" s="52" t="str">
        <f>IF(COUNTIFS(户型资产表!E:E,I154,户型资产表!H:H,"书桌")&gt;0,"有","无")</f>
        <v>有</v>
      </c>
      <c r="X154" s="52" t="str" cm="1">
        <f t="array" ref="X154">IF(SUMPRODUCT((户型资产表!E:E=I154)*((户型资产表!I:I="沙发01单人")+(户型资产表!I:I="单人沙发02")))&gt;0,"有","无")</f>
        <v>无</v>
      </c>
      <c r="Y154" s="52" t="str" cm="1">
        <f t="array" ref="Y154">IF(SUMPRODUCT((户型资产表!E:E=I154)*((户型资产表!I:I="沙发02两人")+(户型资产表!I:I="双人沙发01")))&gt;0,"有","无")</f>
        <v>无</v>
      </c>
      <c r="Z154" s="52" t="str">
        <f>IF(COUNTIFS(户型资产表!E:E,I154,户型资产表!H:H,"餐桌")&gt;0,"有","无")</f>
        <v>无</v>
      </c>
      <c r="AA154" s="52" t="str">
        <f>IF(COUNTIFS(户型资产表!E:E,I154,户型资产表!H:H,"吸油烟机")&gt;0,"有","无")</f>
        <v>无</v>
      </c>
      <c r="AB154" s="52" t="str">
        <f>IF(COUNTIFS(户型资产表!E:E,I154,户型资产表!H:H,"冰箱")&gt;0,"有","无")</f>
        <v>无</v>
      </c>
      <c r="AC154" s="52" t="str">
        <f>IF(COUNTIFS(户型资产表!E:E,I154,户型资产表!H:H,"电视柜")&gt;0,"有","无")</f>
        <v>无</v>
      </c>
      <c r="AD154" s="51" t="str">
        <f t="shared" si="28"/>
        <v>适中</v>
      </c>
      <c r="AE154" s="52">
        <f>VLOOKUP($AD$1&amp;AD154,【1】定价因子!E:F,2,0)</f>
        <v>1</v>
      </c>
      <c r="AF154" s="51" t="str">
        <f t="shared" si="29"/>
        <v>适中</v>
      </c>
      <c r="AG154" s="52">
        <f>VLOOKUP($AF$1&amp;AF154,【1】定价因子!E:F,2,0)</f>
        <v>1</v>
      </c>
      <c r="AH154" s="51" t="str">
        <f t="shared" si="30"/>
        <v>适中</v>
      </c>
      <c r="AI154" s="52">
        <f>VLOOKUP($AH$1&amp;AH154,【1】定价因子!E:F,2,0)</f>
        <v>1</v>
      </c>
      <c r="AJ154" s="52" t="str">
        <f>VLOOKUP(H154,'【3-1】大区填-采光基本要素'!A:H,8,0)</f>
        <v>2</v>
      </c>
      <c r="AK154" s="52">
        <f>VLOOKUP($AJ$1&amp;AJ154,【1】定价因子!E:F,2,0)</f>
        <v>0.96</v>
      </c>
      <c r="AL154" s="53">
        <f t="shared" si="31"/>
        <v>1672.1217072</v>
      </c>
      <c r="AM154" s="54">
        <v>1528</v>
      </c>
      <c r="AN154" s="55">
        <f t="shared" si="32"/>
        <v>-0.0861909193448213</v>
      </c>
      <c r="AO154" s="56">
        <f t="shared" si="33"/>
        <v>1538</v>
      </c>
    </row>
    <row r="155" spans="1:42">
      <c r="A155" s="47" t="str">
        <f>'【2】运营中心填-基本信息&amp;审核标准'!$E$2</f>
        <v>福围广生7-16、17栋</v>
      </c>
      <c r="B155" s="13"/>
      <c r="C155" s="13"/>
      <c r="D155" s="13"/>
      <c r="E155" s="13"/>
      <c r="F155" s="13"/>
      <c r="G155" s="13"/>
      <c r="H155" s="48">
        <v>1302</v>
      </c>
      <c r="I155" s="49" t="s">
        <v>496</v>
      </c>
      <c r="J155" s="49" t="s">
        <v>40</v>
      </c>
      <c r="K155" s="13"/>
      <c r="L155" s="50">
        <f>VLOOKUP(J155,'【3】大区填-楼栋基准格局定价'!B:H,7,0)</f>
        <v>1658.8509</v>
      </c>
      <c r="M155" s="51" t="s">
        <v>63</v>
      </c>
      <c r="N155" s="51">
        <v>15.19</v>
      </c>
      <c r="O155" s="52"/>
      <c r="P155" s="52" t="str">
        <f>IF(COUNTIFS(户型资产表!E:E,I155,户型资产表!H:H,"阳台门")&gt;0,"有","无")</f>
        <v>无</v>
      </c>
      <c r="Q155" s="52"/>
      <c r="R155" s="52" t="str">
        <f>IF('【2】运营中心填-基本信息&amp;审核标准'!$D$4="是","无",IF(INT(H155/100)&gt;9,"9F",INT(H155/100)&amp;"F"))</f>
        <v>无</v>
      </c>
      <c r="S155" s="52">
        <f>VLOOKUP(R155,【1】定价因子!D:F,3,0)</f>
        <v>1</v>
      </c>
      <c r="T155" s="52" t="str">
        <f>IF('【2】运营中心填-基本信息&amp;审核标准'!$D$4="否","无",IF(INT(H155/100)=1,"1F",IF(AND(INT(H155/100)&gt;=2,INT(H155/100)&lt;=3),"2-3F",IF(INT(H155/100)=4,"4F",IF(AND(INT(H155/100)&gt;=5,INT(H155/100)&lt;=6),"5-6F",IF(AND(INT(H155/100)&gt;=7,INT(H155/100)&lt;=8),"7-8F",IF(AND(INT(H155/100)&gt;=9,INT(H155/100)&lt;=10),"9-10F",IF(AND(INT(H155/100)&gt;=11,INT(H155/100)&lt;=12),"11-12F",IF(INT(H155/100)&gt;=13,"13以上F","")))))))))</f>
        <v>13以上F</v>
      </c>
      <c r="U155" s="52">
        <f>VLOOKUP($T$1&amp;T155,【1】定价因子!E:F,2,0)</f>
        <v>1.05</v>
      </c>
      <c r="V155" s="52" t="str">
        <f>IF(COUNTIFS(户型资产表!E:E,I155,户型资产表!H:H,"操作台")&gt;0,"有","无")</f>
        <v>有</v>
      </c>
      <c r="W155" s="52" t="str">
        <f>IF(COUNTIFS(户型资产表!E:E,I155,户型资产表!H:H,"书桌")&gt;0,"有","无")</f>
        <v>有</v>
      </c>
      <c r="X155" s="52" t="str" cm="1">
        <f t="array" ref="X155">IF(SUMPRODUCT((户型资产表!E:E=I155)*((户型资产表!I:I="沙发01单人")+(户型资产表!I:I="单人沙发02")))&gt;0,"有","无")</f>
        <v>无</v>
      </c>
      <c r="Y155" s="52" t="str" cm="1">
        <f t="array" ref="Y155">IF(SUMPRODUCT((户型资产表!E:E=I155)*((户型资产表!I:I="沙发02两人")+(户型资产表!I:I="双人沙发01")))&gt;0,"有","无")</f>
        <v>无</v>
      </c>
      <c r="Z155" s="52" t="str">
        <f>IF(COUNTIFS(户型资产表!E:E,I155,户型资产表!H:H,"餐桌")&gt;0,"有","无")</f>
        <v>无</v>
      </c>
      <c r="AA155" s="52" t="str">
        <f>IF(COUNTIFS(户型资产表!E:E,I155,户型资产表!H:H,"吸油烟机")&gt;0,"有","无")</f>
        <v>无</v>
      </c>
      <c r="AB155" s="52" t="str">
        <f>IF(COUNTIFS(户型资产表!E:E,I155,户型资产表!H:H,"冰箱")&gt;0,"有","无")</f>
        <v>无</v>
      </c>
      <c r="AC155" s="52" t="str">
        <f>IF(COUNTIFS(户型资产表!E:E,I155,户型资产表!H:H,"电视柜")&gt;0,"有","无")</f>
        <v>无</v>
      </c>
      <c r="AD155" s="51" t="str">
        <f t="shared" si="28"/>
        <v>适中</v>
      </c>
      <c r="AE155" s="52">
        <f>VLOOKUP($AD$1&amp;AD155,【1】定价因子!E:F,2,0)</f>
        <v>1</v>
      </c>
      <c r="AF155" s="51" t="str">
        <f t="shared" si="29"/>
        <v>适中</v>
      </c>
      <c r="AG155" s="52">
        <f>VLOOKUP($AF$1&amp;AF155,【1】定价因子!E:F,2,0)</f>
        <v>1</v>
      </c>
      <c r="AH155" s="51" t="str">
        <f t="shared" si="30"/>
        <v>适中</v>
      </c>
      <c r="AI155" s="52">
        <f>VLOOKUP($AH$1&amp;AH155,【1】定价因子!E:F,2,0)</f>
        <v>1</v>
      </c>
      <c r="AJ155" s="52" t="str">
        <f>VLOOKUP(H155,'【3-1】大区填-采光基本要素'!A:H,8,0)</f>
        <v>2</v>
      </c>
      <c r="AK155" s="52">
        <f>VLOOKUP($AJ$1&amp;AJ155,【1】定价因子!E:F,2,0)</f>
        <v>0.96</v>
      </c>
      <c r="AL155" s="53">
        <f t="shared" si="31"/>
        <v>1672.1217072</v>
      </c>
      <c r="AM155" s="54">
        <v>1528</v>
      </c>
      <c r="AN155" s="55">
        <f t="shared" si="32"/>
        <v>-0.0861909193448213</v>
      </c>
      <c r="AO155" s="56">
        <f t="shared" si="33"/>
        <v>1538</v>
      </c>
    </row>
    <row r="156" spans="1:42">
      <c r="A156" s="47" t="str">
        <f>'【2】运营中心填-基本信息&amp;审核标准'!$E$2</f>
        <v>福围广生7-16、17栋</v>
      </c>
      <c r="B156" s="13"/>
      <c r="C156" s="13"/>
      <c r="D156" s="13"/>
      <c r="E156" s="13"/>
      <c r="F156" s="13"/>
      <c r="G156" s="13"/>
      <c r="H156" s="48">
        <v>1303</v>
      </c>
      <c r="I156" s="49" t="s">
        <v>492</v>
      </c>
      <c r="J156" s="49" t="s">
        <v>40</v>
      </c>
      <c r="K156" s="13"/>
      <c r="L156" s="50">
        <f>VLOOKUP(J156,'【3】大区填-楼栋基准格局定价'!B:H,7,0)</f>
        <v>1658.8509</v>
      </c>
      <c r="M156" s="51" t="s">
        <v>63</v>
      </c>
      <c r="N156" s="51">
        <v>16.55</v>
      </c>
      <c r="O156" s="52"/>
      <c r="P156" s="52" t="str">
        <f>IF(COUNTIFS(户型资产表!E:E,I156,户型资产表!H:H,"阳台门")&gt;0,"有","无")</f>
        <v>无</v>
      </c>
      <c r="Q156" s="52"/>
      <c r="R156" s="52" t="str">
        <f>IF('【2】运营中心填-基本信息&amp;审核标准'!$D$4="是","无",IF(INT(H156/100)&gt;9,"9F",INT(H156/100)&amp;"F"))</f>
        <v>无</v>
      </c>
      <c r="S156" s="52">
        <f>VLOOKUP(R156,【1】定价因子!D:F,3,0)</f>
        <v>1</v>
      </c>
      <c r="T156" s="52" t="str">
        <f>IF('【2】运营中心填-基本信息&amp;审核标准'!$D$4="否","无",IF(INT(H156/100)=1,"1F",IF(AND(INT(H156/100)&gt;=2,INT(H156/100)&lt;=3),"2-3F",IF(INT(H156/100)=4,"4F",IF(AND(INT(H156/100)&gt;=5,INT(H156/100)&lt;=6),"5-6F",IF(AND(INT(H156/100)&gt;=7,INT(H156/100)&lt;=8),"7-8F",IF(AND(INT(H156/100)&gt;=9,INT(H156/100)&lt;=10),"9-10F",IF(AND(INT(H156/100)&gt;=11,INT(H156/100)&lt;=12),"11-12F",IF(INT(H156/100)&gt;=13,"13以上F","")))))))))</f>
        <v>13以上F</v>
      </c>
      <c r="U156" s="52">
        <f>VLOOKUP($T$1&amp;T156,【1】定价因子!E:F,2,0)</f>
        <v>1.05</v>
      </c>
      <c r="V156" s="52" t="str">
        <f>IF(COUNTIFS(户型资产表!E:E,I156,户型资产表!H:H,"操作台")&gt;0,"有","无")</f>
        <v>有</v>
      </c>
      <c r="W156" s="52" t="str">
        <f>IF(COUNTIFS(户型资产表!E:E,I156,户型资产表!H:H,"书桌")&gt;0,"有","无")</f>
        <v>有</v>
      </c>
      <c r="X156" s="52" t="str" cm="1">
        <f t="array" ref="X156">IF(SUMPRODUCT((户型资产表!E:E=I156)*((户型资产表!I:I="沙发01单人")+(户型资产表!I:I="单人沙发02")))&gt;0,"有","无")</f>
        <v>无</v>
      </c>
      <c r="Y156" s="52" t="str" cm="1">
        <f t="array" ref="Y156">IF(SUMPRODUCT((户型资产表!E:E=I156)*((户型资产表!I:I="沙发02两人")+(户型资产表!I:I="双人沙发01")))&gt;0,"有","无")</f>
        <v>无</v>
      </c>
      <c r="Z156" s="52" t="str">
        <f>IF(COUNTIFS(户型资产表!E:E,I156,户型资产表!H:H,"餐桌")&gt;0,"有","无")</f>
        <v>无</v>
      </c>
      <c r="AA156" s="52" t="str">
        <f>IF(COUNTIFS(户型资产表!E:E,I156,户型资产表!H:H,"吸油烟机")&gt;0,"有","无")</f>
        <v>无</v>
      </c>
      <c r="AB156" s="52" t="str">
        <f>IF(COUNTIFS(户型资产表!E:E,I156,户型资产表!H:H,"冰箱")&gt;0,"有","无")</f>
        <v>无</v>
      </c>
      <c r="AC156" s="52" t="str">
        <f>IF(COUNTIFS(户型资产表!E:E,I156,户型资产表!H:H,"电视柜")&gt;0,"有","无")</f>
        <v>无</v>
      </c>
      <c r="AD156" s="51" t="str">
        <f t="shared" si="28"/>
        <v>适中</v>
      </c>
      <c r="AE156" s="52">
        <f>VLOOKUP($AD$1&amp;AD156,【1】定价因子!E:F,2,0)</f>
        <v>1</v>
      </c>
      <c r="AF156" s="51" t="str">
        <f t="shared" si="29"/>
        <v>适中</v>
      </c>
      <c r="AG156" s="52">
        <f>VLOOKUP($AF$1&amp;AF156,【1】定价因子!E:F,2,0)</f>
        <v>1</v>
      </c>
      <c r="AH156" s="51" t="str">
        <f t="shared" si="30"/>
        <v>适中</v>
      </c>
      <c r="AI156" s="52">
        <f>VLOOKUP($AH$1&amp;AH156,【1】定价因子!E:F,2,0)</f>
        <v>1</v>
      </c>
      <c r="AJ156" s="52" t="str">
        <f>VLOOKUP(H156,'【3-1】大区填-采光基本要素'!A:H,8,0)</f>
        <v>2</v>
      </c>
      <c r="AK156" s="52">
        <f>VLOOKUP($AJ$1&amp;AJ156,【1】定价因子!E:F,2,0)</f>
        <v>0.96</v>
      </c>
      <c r="AL156" s="53">
        <f t="shared" si="31"/>
        <v>1672.1217072</v>
      </c>
      <c r="AM156" s="54">
        <v>1528</v>
      </c>
      <c r="AN156" s="55">
        <f t="shared" si="32"/>
        <v>-0.0861909193448213</v>
      </c>
      <c r="AO156" s="56">
        <f t="shared" si="33"/>
        <v>1538</v>
      </c>
    </row>
    <row r="157" spans="1:42">
      <c r="A157" s="47" t="str">
        <f>'【2】运营中心填-基本信息&amp;审核标准'!$E$2</f>
        <v>福围广生7-16、17栋</v>
      </c>
      <c r="B157" s="13"/>
      <c r="C157" s="13"/>
      <c r="D157" s="13"/>
      <c r="E157" s="13"/>
      <c r="F157" s="13"/>
      <c r="G157" s="13"/>
      <c r="H157" s="48">
        <v>1304</v>
      </c>
      <c r="I157" s="49" t="s">
        <v>497</v>
      </c>
      <c r="J157" s="49" t="s">
        <v>43</v>
      </c>
      <c r="K157" s="13"/>
      <c r="L157" s="50">
        <f>VLOOKUP(J157,'【3】大区填-楼栋基准格局定价'!B:H,7,0)</f>
        <v>2472.1725</v>
      </c>
      <c r="M157" s="51" t="s">
        <v>65</v>
      </c>
      <c r="N157" s="51">
        <v>20.73</v>
      </c>
      <c r="O157" s="52"/>
      <c r="P157" s="52" t="str">
        <f>IF(COUNTIFS(户型资产表!E:E,I157,户型资产表!H:H,"阳台门")&gt;0,"有","无")</f>
        <v>无</v>
      </c>
      <c r="Q157" s="52"/>
      <c r="R157" s="52" t="str">
        <f>IF('【2】运营中心填-基本信息&amp;审核标准'!$D$4="是","无",IF(INT(H157/100)&gt;9,"9F",INT(H157/100)&amp;"F"))</f>
        <v>无</v>
      </c>
      <c r="S157" s="52">
        <f>VLOOKUP(R157,【1】定价因子!D:F,3,0)</f>
        <v>1</v>
      </c>
      <c r="T157" s="52" t="str">
        <f>IF('【2】运营中心填-基本信息&amp;审核标准'!$D$4="否","无",IF(INT(H157/100)=1,"1F",IF(AND(INT(H157/100)&gt;=2,INT(H157/100)&lt;=3),"2-3F",IF(INT(H157/100)=4,"4F",IF(AND(INT(H157/100)&gt;=5,INT(H157/100)&lt;=6),"5-6F",IF(AND(INT(H157/100)&gt;=7,INT(H157/100)&lt;=8),"7-8F",IF(AND(INT(H157/100)&gt;=9,INT(H157/100)&lt;=10),"9-10F",IF(AND(INT(H157/100)&gt;=11,INT(H157/100)&lt;=12),"11-12F",IF(INT(H157/100)&gt;=13,"13以上F","")))))))))</f>
        <v>13以上F</v>
      </c>
      <c r="U157" s="52">
        <f>VLOOKUP($T$1&amp;T157,【1】定价因子!E:F,2,0)</f>
        <v>1.05</v>
      </c>
      <c r="V157" s="52" t="str">
        <f>IF(COUNTIFS(户型资产表!E:E,I157,户型资产表!H:H,"操作台")&gt;0,"有","无")</f>
        <v>有</v>
      </c>
      <c r="W157" s="52" t="str">
        <f>IF(COUNTIFS(户型资产表!E:E,I157,户型资产表!H:H,"书桌")&gt;0,"有","无")</f>
        <v>无</v>
      </c>
      <c r="X157" s="52" t="str" cm="1">
        <f t="array" ref="X157">IF(SUMPRODUCT((户型资产表!E:E=I157)*((户型资产表!I:I="沙发01单人")+(户型资产表!I:I="单人沙发02")))&gt;0,"有","无")</f>
        <v>无</v>
      </c>
      <c r="Y157" s="52" t="str" cm="1">
        <f t="array" ref="Y157">IF(SUMPRODUCT((户型资产表!E:E=I157)*((户型资产表!I:I="沙发02两人")+(户型资产表!I:I="双人沙发01")))&gt;0,"有","无")</f>
        <v>有</v>
      </c>
      <c r="Z157" s="52" t="str">
        <f>IF(COUNTIFS(户型资产表!E:E,I157,户型资产表!H:H,"餐桌")&gt;0,"有","无")</f>
        <v>有</v>
      </c>
      <c r="AA157" s="52" t="str">
        <f>IF(COUNTIFS(户型资产表!E:E,I157,户型资产表!H:H,"吸油烟机")&gt;0,"有","无")</f>
        <v>无</v>
      </c>
      <c r="AB157" s="52" t="str">
        <f>IF(COUNTIFS(户型资产表!E:E,I157,户型资产表!H:H,"冰箱")&gt;0,"有","无")</f>
        <v>无</v>
      </c>
      <c r="AC157" s="52" t="str">
        <f>IF(COUNTIFS(户型资产表!E:E,I157,户型资产表!H:H,"电视柜")&gt;0,"有","无")</f>
        <v>无</v>
      </c>
      <c r="AD157" s="51" t="str">
        <f t="shared" si="28"/>
        <v>适中</v>
      </c>
      <c r="AE157" s="52">
        <f>VLOOKUP($AD$1&amp;AD157,【1】定价因子!E:F,2,0)</f>
        <v>1</v>
      </c>
      <c r="AF157" s="51" t="str">
        <f t="shared" si="29"/>
        <v>适中</v>
      </c>
      <c r="AG157" s="52">
        <f>VLOOKUP($AF$1&amp;AF157,【1】定价因子!E:F,2,0)</f>
        <v>1</v>
      </c>
      <c r="AH157" s="51" t="str">
        <f t="shared" si="30"/>
        <v>适中</v>
      </c>
      <c r="AI157" s="52">
        <f>VLOOKUP($AH$1&amp;AH157,【1】定价因子!E:F,2,0)</f>
        <v>1</v>
      </c>
      <c r="AJ157" s="52" t="str">
        <f>VLOOKUP(H157,'【3-1】大区填-采光基本要素'!A:H,8,0)</f>
        <v>2</v>
      </c>
      <c r="AK157" s="52">
        <f>VLOOKUP($AJ$1&amp;AJ157,【1】定价因子!E:F,2,0)</f>
        <v>0.96</v>
      </c>
      <c r="AL157" s="53">
        <f t="shared" si="31"/>
        <v>2491.94988</v>
      </c>
      <c r="AM157" s="54">
        <v>2338</v>
      </c>
      <c r="AN157" s="55">
        <f t="shared" si="32"/>
        <v>-0.0617788829685452</v>
      </c>
      <c r="AO157" s="56">
        <f t="shared" si="33"/>
        <v>2348</v>
      </c>
    </row>
    <row r="158" spans="1:42">
      <c r="A158" s="47" t="str">
        <f>'【2】运营中心填-基本信息&amp;审核标准'!$E$2</f>
        <v>福围广生7-16、17栋</v>
      </c>
      <c r="B158" s="13"/>
      <c r="C158" s="13"/>
      <c r="D158" s="13"/>
      <c r="E158" s="13"/>
      <c r="F158" s="13"/>
      <c r="G158" s="13"/>
      <c r="H158" s="48">
        <v>1305</v>
      </c>
      <c r="I158" s="49" t="s">
        <v>498</v>
      </c>
      <c r="J158" s="49" t="s">
        <v>43</v>
      </c>
      <c r="K158" s="13"/>
      <c r="L158" s="50">
        <f>VLOOKUP(J158,'【3】大区填-楼栋基准格局定价'!B:H,7,0)</f>
        <v>2472.1725</v>
      </c>
      <c r="M158" s="51" t="s">
        <v>63</v>
      </c>
      <c r="N158" s="51">
        <v>24.37</v>
      </c>
      <c r="O158" s="52"/>
      <c r="P158" s="52" t="str">
        <f>IF(COUNTIFS(户型资产表!E:E,I158,户型资产表!H:H,"阳台门")&gt;0,"有","无")</f>
        <v>无</v>
      </c>
      <c r="Q158" s="52"/>
      <c r="R158" s="52" t="str">
        <f>IF('【2】运营中心填-基本信息&amp;审核标准'!$D$4="是","无",IF(INT(H158/100)&gt;9,"9F",INT(H158/100)&amp;"F"))</f>
        <v>无</v>
      </c>
      <c r="S158" s="52">
        <f>VLOOKUP(R158,【1】定价因子!D:F,3,0)</f>
        <v>1</v>
      </c>
      <c r="T158" s="52" t="str">
        <f>IF('【2】运营中心填-基本信息&amp;审核标准'!$D$4="否","无",IF(INT(H158/100)=1,"1F",IF(AND(INT(H158/100)&gt;=2,INT(H158/100)&lt;=3),"2-3F",IF(INT(H158/100)=4,"4F",IF(AND(INT(H158/100)&gt;=5,INT(H158/100)&lt;=6),"5-6F",IF(AND(INT(H158/100)&gt;=7,INT(H158/100)&lt;=8),"7-8F",IF(AND(INT(H158/100)&gt;=9,INT(H158/100)&lt;=10),"9-10F",IF(AND(INT(H158/100)&gt;=11,INT(H158/100)&lt;=12),"11-12F",IF(INT(H158/100)&gt;=13,"13以上F","")))))))))</f>
        <v>13以上F</v>
      </c>
      <c r="U158" s="52">
        <f>VLOOKUP($T$1&amp;T158,【1】定价因子!E:F,2,0)</f>
        <v>1.05</v>
      </c>
      <c r="V158" s="52" t="str">
        <f>IF(COUNTIFS(户型资产表!E:E,I158,户型资产表!H:H,"操作台")&gt;0,"有","无")</f>
        <v>有</v>
      </c>
      <c r="W158" s="52" t="str">
        <f>IF(COUNTIFS(户型资产表!E:E,I158,户型资产表!H:H,"书桌")&gt;0,"有","无")</f>
        <v>无</v>
      </c>
      <c r="X158" s="52" t="str" cm="1">
        <f t="array" ref="X158">IF(SUMPRODUCT((户型资产表!E:E=I158)*((户型资产表!I:I="沙发01单人")+(户型资产表!I:I="单人沙发02")))&gt;0,"有","无")</f>
        <v>无</v>
      </c>
      <c r="Y158" s="52" t="str" cm="1">
        <f t="array" ref="Y158">IF(SUMPRODUCT((户型资产表!E:E=I158)*((户型资产表!I:I="沙发02两人")+(户型资产表!I:I="双人沙发01")))&gt;0,"有","无")</f>
        <v>有</v>
      </c>
      <c r="Z158" s="52" t="str">
        <f>IF(COUNTIFS(户型资产表!E:E,I158,户型资产表!H:H,"餐桌")&gt;0,"有","无")</f>
        <v>有</v>
      </c>
      <c r="AA158" s="52" t="str">
        <f>IF(COUNTIFS(户型资产表!E:E,I158,户型资产表!H:H,"吸油烟机")&gt;0,"有","无")</f>
        <v>无</v>
      </c>
      <c r="AB158" s="52" t="str">
        <f>IF(COUNTIFS(户型资产表!E:E,I158,户型资产表!H:H,"冰箱")&gt;0,"有","无")</f>
        <v>无</v>
      </c>
      <c r="AC158" s="52" t="str">
        <f>IF(COUNTIFS(户型资产表!E:E,I158,户型资产表!H:H,"电视柜")&gt;0,"有","无")</f>
        <v>无</v>
      </c>
      <c r="AD158" s="51" t="str">
        <f t="shared" si="28"/>
        <v>适中</v>
      </c>
      <c r="AE158" s="52">
        <f>VLOOKUP($AD$1&amp;AD158,【1】定价因子!E:F,2,0)</f>
        <v>1</v>
      </c>
      <c r="AF158" s="51" t="str">
        <f t="shared" si="29"/>
        <v>适中</v>
      </c>
      <c r="AG158" s="52">
        <f>VLOOKUP($AF$1&amp;AF158,【1】定价因子!E:F,2,0)</f>
        <v>1</v>
      </c>
      <c r="AH158" s="51" t="str">
        <f t="shared" si="30"/>
        <v>适中</v>
      </c>
      <c r="AI158" s="52">
        <f>VLOOKUP($AH$1&amp;AH158,【1】定价因子!E:F,2,0)</f>
        <v>1</v>
      </c>
      <c r="AJ158" s="52" t="str">
        <f>VLOOKUP(H158,'【3-1】大区填-采光基本要素'!A:H,8,0)</f>
        <v>2</v>
      </c>
      <c r="AK158" s="52">
        <f>VLOOKUP($AJ$1&amp;AJ158,【1】定价因子!E:F,2,0)</f>
        <v>0.96</v>
      </c>
      <c r="AL158" s="53">
        <f t="shared" si="31"/>
        <v>2491.94988</v>
      </c>
      <c r="AM158" s="54">
        <v>2338</v>
      </c>
      <c r="AN158" s="55">
        <f t="shared" si="32"/>
        <v>-0.0617788829685452</v>
      </c>
      <c r="AO158" s="56">
        <f t="shared" si="33"/>
        <v>2348</v>
      </c>
    </row>
    <row r="159" spans="1:42">
      <c r="A159" s="47" t="str">
        <f>'【2】运营中心填-基本信息&amp;审核标准'!$E$2</f>
        <v>福围广生7-16、17栋</v>
      </c>
      <c r="B159" s="13"/>
      <c r="C159" s="13"/>
      <c r="D159" s="13"/>
      <c r="E159" s="13"/>
      <c r="F159" s="13"/>
      <c r="G159" s="13"/>
      <c r="H159" s="48">
        <v>1306</v>
      </c>
      <c r="I159" s="49" t="s">
        <v>499</v>
      </c>
      <c r="J159" s="49" t="s">
        <v>43</v>
      </c>
      <c r="K159" s="13"/>
      <c r="L159" s="50">
        <f>VLOOKUP(J159,'【3】大区填-楼栋基准格局定价'!B:H,7,0)</f>
        <v>2472.1725</v>
      </c>
      <c r="M159" s="51" t="s">
        <v>63</v>
      </c>
      <c r="N159" s="51">
        <v>25.47</v>
      </c>
      <c r="O159" s="52"/>
      <c r="P159" s="52" t="str">
        <f>IF(COUNTIFS(户型资产表!E:E,I159,户型资产表!H:H,"阳台门")&gt;0,"有","无")</f>
        <v>无</v>
      </c>
      <c r="Q159" s="52"/>
      <c r="R159" s="52" t="str">
        <f>IF('【2】运营中心填-基本信息&amp;审核标准'!$D$4="是","无",IF(INT(H159/100)&gt;9,"9F",INT(H159/100)&amp;"F"))</f>
        <v>无</v>
      </c>
      <c r="S159" s="52">
        <f>VLOOKUP(R159,【1】定价因子!D:F,3,0)</f>
        <v>1</v>
      </c>
      <c r="T159" s="52" t="str">
        <f>IF('【2】运营中心填-基本信息&amp;审核标准'!$D$4="否","无",IF(INT(H159/100)=1,"1F",IF(AND(INT(H159/100)&gt;=2,INT(H159/100)&lt;=3),"2-3F",IF(INT(H159/100)=4,"4F",IF(AND(INT(H159/100)&gt;=5,INT(H159/100)&lt;=6),"5-6F",IF(AND(INT(H159/100)&gt;=7,INT(H159/100)&lt;=8),"7-8F",IF(AND(INT(H159/100)&gt;=9,INT(H159/100)&lt;=10),"9-10F",IF(AND(INT(H159/100)&gt;=11,INT(H159/100)&lt;=12),"11-12F",IF(INT(H159/100)&gt;=13,"13以上F","")))))))))</f>
        <v>13以上F</v>
      </c>
      <c r="U159" s="52">
        <f>VLOOKUP($T$1&amp;T159,【1】定价因子!E:F,2,0)</f>
        <v>1.05</v>
      </c>
      <c r="V159" s="52" t="str">
        <f>IF(COUNTIFS(户型资产表!E:E,I159,户型资产表!H:H,"操作台")&gt;0,"有","无")</f>
        <v>有</v>
      </c>
      <c r="W159" s="52" t="str">
        <f>IF(COUNTIFS(户型资产表!E:E,I159,户型资产表!H:H,"书桌")&gt;0,"有","无")</f>
        <v>无</v>
      </c>
      <c r="X159" s="52" t="str" cm="1">
        <f t="array" ref="X159">IF(SUMPRODUCT((户型资产表!E:E=I159)*((户型资产表!I:I="沙发01单人")+(户型资产表!I:I="单人沙发02")))&gt;0,"有","无")</f>
        <v>无</v>
      </c>
      <c r="Y159" s="52" t="str" cm="1">
        <f t="array" ref="Y159">IF(SUMPRODUCT((户型资产表!E:E=I159)*((户型资产表!I:I="沙发02两人")+(户型资产表!I:I="双人沙发01")))&gt;0,"有","无")</f>
        <v>有</v>
      </c>
      <c r="Z159" s="52" t="str">
        <f>IF(COUNTIFS(户型资产表!E:E,I159,户型资产表!H:H,"餐桌")&gt;0,"有","无")</f>
        <v>有</v>
      </c>
      <c r="AA159" s="52" t="str">
        <f>IF(COUNTIFS(户型资产表!E:E,I159,户型资产表!H:H,"吸油烟机")&gt;0,"有","无")</f>
        <v>有</v>
      </c>
      <c r="AB159" s="52" t="str">
        <f>IF(COUNTIFS(户型资产表!E:E,I159,户型资产表!H:H,"冰箱")&gt;0,"有","无")</f>
        <v>无</v>
      </c>
      <c r="AC159" s="52" t="str">
        <f>IF(COUNTIFS(户型资产表!E:E,I159,户型资产表!H:H,"电视柜")&gt;0,"有","无")</f>
        <v>无</v>
      </c>
      <c r="AD159" s="51" t="str">
        <f t="shared" si="28"/>
        <v>适中</v>
      </c>
      <c r="AE159" s="52">
        <f>VLOOKUP($AD$1&amp;AD159,【1】定价因子!E:F,2,0)</f>
        <v>1</v>
      </c>
      <c r="AF159" s="51" t="s">
        <v>63</v>
      </c>
      <c r="AG159" s="52">
        <f>VLOOKUP($AF$1&amp;AF159,【1】定价因子!E:F,2,0)</f>
        <v>1</v>
      </c>
      <c r="AH159" s="51" t="str">
        <f t="shared" si="30"/>
        <v>适中</v>
      </c>
      <c r="AI159" s="52">
        <f>VLOOKUP($AH$1&amp;AH159,【1】定价因子!E:F,2,0)</f>
        <v>1</v>
      </c>
      <c r="AJ159" s="52" t="str">
        <f>VLOOKUP(H159,'【3-1】大区填-采光基本要素'!A:H,8,0)</f>
        <v>2</v>
      </c>
      <c r="AK159" s="52">
        <f>VLOOKUP($AJ$1&amp;AJ159,【1】定价因子!E:F,2,0)</f>
        <v>0.96</v>
      </c>
      <c r="AL159" s="53">
        <f t="shared" si="31"/>
        <v>2491.94988</v>
      </c>
      <c r="AM159" s="54">
        <v>2338</v>
      </c>
      <c r="AN159" s="55">
        <f t="shared" si="32"/>
        <v>-0.0617788829685452</v>
      </c>
      <c r="AO159" s="56">
        <f t="shared" si="33"/>
        <v>2348</v>
      </c>
    </row>
    <row r="160" spans="1:42">
      <c r="A160" s="47" t="str">
        <f>'【2】运营中心填-基本信息&amp;审核标准'!$E$2</f>
        <v>福围广生7-16、17栋</v>
      </c>
      <c r="B160" s="13"/>
      <c r="C160" s="13"/>
      <c r="D160" s="13"/>
      <c r="E160" s="13"/>
      <c r="F160" s="13"/>
      <c r="G160" s="13"/>
      <c r="H160" s="48">
        <v>1307</v>
      </c>
      <c r="I160" s="49" t="s">
        <v>500</v>
      </c>
      <c r="J160" s="49" t="s">
        <v>40</v>
      </c>
      <c r="K160" s="13"/>
      <c r="L160" s="50">
        <f>VLOOKUP(J160,'【3】大区填-楼栋基准格局定价'!B:H,7,0)</f>
        <v>1658.8509</v>
      </c>
      <c r="M160" s="51" t="s">
        <v>61</v>
      </c>
      <c r="N160" s="51">
        <v>18.97</v>
      </c>
      <c r="O160" s="52"/>
      <c r="P160" s="52" t="str">
        <f>IF(COUNTIFS(户型资产表!E:E,I160,户型资产表!H:H,"阳台门")&gt;0,"有","无")</f>
        <v>无</v>
      </c>
      <c r="Q160" s="52"/>
      <c r="R160" s="52" t="str">
        <f>IF('【2】运营中心填-基本信息&amp;审核标准'!$D$4="是","无",IF(INT(H160/100)&gt;9,"9F",INT(H160/100)&amp;"F"))</f>
        <v>无</v>
      </c>
      <c r="S160" s="52">
        <f>VLOOKUP(R160,【1】定价因子!D:F,3,0)</f>
        <v>1</v>
      </c>
      <c r="T160" s="52" t="str">
        <f>IF('【2】运营中心填-基本信息&amp;审核标准'!$D$4="否","无",IF(INT(H160/100)=1,"1F",IF(AND(INT(H160/100)&gt;=2,INT(H160/100)&lt;=3),"2-3F",IF(INT(H160/100)=4,"4F",IF(AND(INT(H160/100)&gt;=5,INT(H160/100)&lt;=6),"5-6F",IF(AND(INT(H160/100)&gt;=7,INT(H160/100)&lt;=8),"7-8F",IF(AND(INT(H160/100)&gt;=9,INT(H160/100)&lt;=10),"9-10F",IF(AND(INT(H160/100)&gt;=11,INT(H160/100)&lt;=12),"11-12F",IF(INT(H160/100)&gt;=13,"13以上F","")))))))))</f>
        <v>13以上F</v>
      </c>
      <c r="U160" s="52">
        <f>VLOOKUP($T$1&amp;T160,【1】定价因子!E:F,2,0)</f>
        <v>1.05</v>
      </c>
      <c r="V160" s="52" t="str">
        <f>IF(COUNTIFS(户型资产表!E:E,I160,户型资产表!H:H,"操作台")&gt;0,"有","无")</f>
        <v>有</v>
      </c>
      <c r="W160" s="52" t="str">
        <f>IF(COUNTIFS(户型资产表!E:E,I160,户型资产表!H:H,"书桌")&gt;0,"有","无")</f>
        <v>有</v>
      </c>
      <c r="X160" s="52" t="str" cm="1">
        <f t="array" ref="X160">IF(SUMPRODUCT((户型资产表!E:E=I160)*((户型资产表!I:I="沙发01单人")+(户型资产表!I:I="单人沙发02")))&gt;0,"有","无")</f>
        <v>有</v>
      </c>
      <c r="Y160" s="52" t="str" cm="1">
        <f t="array" ref="Y160">IF(SUMPRODUCT((户型资产表!E:E=I160)*((户型资产表!I:I="沙发02两人")+(户型资产表!I:I="双人沙发01")))&gt;0,"有","无")</f>
        <v>无</v>
      </c>
      <c r="Z160" s="52" t="str">
        <f>IF(COUNTIFS(户型资产表!E:E,I160,户型资产表!H:H,"餐桌")&gt;0,"有","无")</f>
        <v>无</v>
      </c>
      <c r="AA160" s="52" t="str">
        <f>IF(COUNTIFS(户型资产表!E:E,I160,户型资产表!H:H,"吸油烟机")&gt;0,"有","无")</f>
        <v>无</v>
      </c>
      <c r="AB160" s="52" t="str">
        <f>IF(COUNTIFS(户型资产表!E:E,I160,户型资产表!H:H,"冰箱")&gt;0,"有","无")</f>
        <v>无</v>
      </c>
      <c r="AC160" s="52" t="str">
        <f>IF(COUNTIFS(户型资产表!E:E,I160,户型资产表!H:H,"电视柜")&gt;0,"有","无")</f>
        <v>无</v>
      </c>
      <c r="AD160" s="51" t="s">
        <v>63</v>
      </c>
      <c r="AE160" s="52">
        <f>VLOOKUP($AD$1&amp;AD160,【1】定价因子!E:F,2,0)</f>
        <v>1</v>
      </c>
      <c r="AF160" s="51" t="str">
        <f t="shared" si="29"/>
        <v>适中</v>
      </c>
      <c r="AG160" s="52">
        <f>VLOOKUP($AF$1&amp;AF160,【1】定价因子!E:F,2,0)</f>
        <v>1</v>
      </c>
      <c r="AH160" s="51" t="str">
        <f t="shared" si="30"/>
        <v>适中</v>
      </c>
      <c r="AI160" s="52">
        <f>VLOOKUP($AH$1&amp;AH160,【1】定价因子!E:F,2,0)</f>
        <v>1</v>
      </c>
      <c r="AJ160" s="52" t="str">
        <f>VLOOKUP(H160,'【3-1】大区填-采光基本要素'!A:H,8,0)</f>
        <v>2</v>
      </c>
      <c r="AK160" s="52">
        <f>VLOOKUP($AJ$1&amp;AJ160,【1】定价因子!E:F,2,0)</f>
        <v>0.96</v>
      </c>
      <c r="AL160" s="53">
        <f t="shared" si="31"/>
        <v>1672.1217072</v>
      </c>
      <c r="AM160" s="54">
        <v>1528</v>
      </c>
      <c r="AN160" s="55">
        <f t="shared" si="32"/>
        <v>-0.0861909193448213</v>
      </c>
      <c r="AO160" s="56">
        <f t="shared" si="33"/>
        <v>1538</v>
      </c>
    </row>
    <row r="161" spans="1:41">
      <c r="A161" s="47" t="str">
        <f>'【2】运营中心填-基本信息&amp;审核标准'!$E$2</f>
        <v>福围广生7-16、17栋</v>
      </c>
      <c r="B161" s="13"/>
      <c r="C161" s="13"/>
      <c r="D161" s="13"/>
      <c r="E161" s="13"/>
      <c r="F161" s="13"/>
      <c r="G161" s="13"/>
      <c r="H161" s="48">
        <v>1308</v>
      </c>
      <c r="I161" s="49" t="s">
        <v>499</v>
      </c>
      <c r="J161" s="49" t="s">
        <v>43</v>
      </c>
      <c r="K161" s="13"/>
      <c r="L161" s="50">
        <f>VLOOKUP(J161,'【3】大区填-楼栋基准格局定价'!B:H,7,0)</f>
        <v>2472.1725</v>
      </c>
      <c r="M161" s="51" t="s">
        <v>61</v>
      </c>
      <c r="N161" s="51">
        <v>27.4</v>
      </c>
      <c r="O161" s="52"/>
      <c r="P161" s="52" t="str">
        <f>IF(COUNTIFS(户型资产表!E:E,I161,户型资产表!H:H,"阳台门")&gt;0,"有","无")</f>
        <v>无</v>
      </c>
      <c r="Q161" s="52"/>
      <c r="R161" s="52" t="str">
        <f>IF('【2】运营中心填-基本信息&amp;审核标准'!$D$4="是","无",IF(INT(H161/100)&gt;9,"9F",INT(H161/100)&amp;"F"))</f>
        <v>无</v>
      </c>
      <c r="S161" s="52">
        <f>VLOOKUP(R161,【1】定价因子!D:F,3,0)</f>
        <v>1</v>
      </c>
      <c r="T161" s="52" t="str">
        <f>IF('【2】运营中心填-基本信息&amp;审核标准'!$D$4="否","无",IF(INT(H161/100)=1,"1F",IF(AND(INT(H161/100)&gt;=2,INT(H161/100)&lt;=3),"2-3F",IF(INT(H161/100)=4,"4F",IF(AND(INT(H161/100)&gt;=5,INT(H161/100)&lt;=6),"5-6F",IF(AND(INT(H161/100)&gt;=7,INT(H161/100)&lt;=8),"7-8F",IF(AND(INT(H161/100)&gt;=9,INT(H161/100)&lt;=10),"9-10F",IF(AND(INT(H161/100)&gt;=11,INT(H161/100)&lt;=12),"11-12F",IF(INT(H161/100)&gt;=13,"13以上F","")))))))))</f>
        <v>13以上F</v>
      </c>
      <c r="U161" s="52">
        <f>VLOOKUP($T$1&amp;T161,【1】定价因子!E:F,2,0)</f>
        <v>1.05</v>
      </c>
      <c r="V161" s="52" t="str">
        <f>IF(COUNTIFS(户型资产表!E:E,I161,户型资产表!H:H,"操作台")&gt;0,"有","无")</f>
        <v>有</v>
      </c>
      <c r="W161" s="52" t="str">
        <f>IF(COUNTIFS(户型资产表!E:E,I161,户型资产表!H:H,"书桌")&gt;0,"有","无")</f>
        <v>无</v>
      </c>
      <c r="X161" s="52" t="str" cm="1">
        <f t="array" ref="X161">IF(SUMPRODUCT((户型资产表!E:E=I161)*((户型资产表!I:I="沙发01单人")+(户型资产表!I:I="单人沙发02")))&gt;0,"有","无")</f>
        <v>无</v>
      </c>
      <c r="Y161" s="52" t="str" cm="1">
        <f t="array" ref="Y161">IF(SUMPRODUCT((户型资产表!E:E=I161)*((户型资产表!I:I="沙发02两人")+(户型资产表!I:I="双人沙发01")))&gt;0,"有","无")</f>
        <v>有</v>
      </c>
      <c r="Z161" s="52" t="str">
        <f>IF(COUNTIFS(户型资产表!E:E,I161,户型资产表!H:H,"餐桌")&gt;0,"有","无")</f>
        <v>有</v>
      </c>
      <c r="AA161" s="52" t="str">
        <f>IF(COUNTIFS(户型资产表!E:E,I161,户型资产表!H:H,"吸油烟机")&gt;0,"有","无")</f>
        <v>有</v>
      </c>
      <c r="AB161" s="52" t="str">
        <f>IF(COUNTIFS(户型资产表!E:E,I161,户型资产表!H:H,"冰箱")&gt;0,"有","无")</f>
        <v>无</v>
      </c>
      <c r="AC161" s="52" t="str">
        <f>IF(COUNTIFS(户型资产表!E:E,I161,户型资产表!H:H,"电视柜")&gt;0,"有","无")</f>
        <v>无</v>
      </c>
      <c r="AD161" s="51" t="str">
        <f t="shared" si="28"/>
        <v>适中</v>
      </c>
      <c r="AE161" s="52">
        <f>VLOOKUP($AD$1&amp;AD161,【1】定价因子!E:F,2,0)</f>
        <v>1</v>
      </c>
      <c r="AF161" s="51" t="s">
        <v>63</v>
      </c>
      <c r="AG161" s="52">
        <f>VLOOKUP($AF$1&amp;AF161,【1】定价因子!E:F,2,0)</f>
        <v>1</v>
      </c>
      <c r="AH161" s="51" t="str">
        <f t="shared" si="30"/>
        <v>适中</v>
      </c>
      <c r="AI161" s="52">
        <f>VLOOKUP($AH$1&amp;AH161,【1】定价因子!E:F,2,0)</f>
        <v>1</v>
      </c>
      <c r="AJ161" s="52" t="str">
        <f>VLOOKUP(H161,'【3-1】大区填-采光基本要素'!A:H,8,0)</f>
        <v>2</v>
      </c>
      <c r="AK161" s="52">
        <f>VLOOKUP($AJ$1&amp;AJ161,【1】定价因子!E:F,2,0)</f>
        <v>0.96</v>
      </c>
      <c r="AL161" s="53">
        <f t="shared" si="31"/>
        <v>2491.94988</v>
      </c>
      <c r="AM161" s="54">
        <v>2338</v>
      </c>
      <c r="AN161" s="55">
        <f t="shared" si="32"/>
        <v>-0.0617788829685452</v>
      </c>
      <c r="AO161" s="56">
        <f t="shared" si="33"/>
        <v>2348</v>
      </c>
    </row>
    <row r="162" spans="1:41">
      <c r="A162" s="47" t="str">
        <f>'【2】运营中心填-基本信息&amp;审核标准'!$E$2</f>
        <v>福围广生7-16、17栋</v>
      </c>
      <c r="B162" s="13"/>
      <c r="C162" s="13"/>
      <c r="D162" s="13"/>
      <c r="E162" s="13"/>
      <c r="F162" s="13"/>
      <c r="G162" s="13"/>
      <c r="H162" s="48">
        <v>1309</v>
      </c>
      <c r="I162" s="49" t="s">
        <v>500</v>
      </c>
      <c r="J162" s="49" t="s">
        <v>40</v>
      </c>
      <c r="K162" s="13"/>
      <c r="L162" s="50">
        <f>VLOOKUP(J162,'【3】大区填-楼栋基准格局定价'!B:H,7,0)</f>
        <v>1658.8509</v>
      </c>
      <c r="M162" s="51" t="s">
        <v>61</v>
      </c>
      <c r="N162" s="51">
        <v>18.97</v>
      </c>
      <c r="O162" s="52"/>
      <c r="P162" s="52" t="str">
        <f>IF(COUNTIFS(户型资产表!E:E,I162,户型资产表!H:H,"阳台门")&gt;0,"有","无")</f>
        <v>无</v>
      </c>
      <c r="Q162" s="52"/>
      <c r="R162" s="52" t="str">
        <f>IF('【2】运营中心填-基本信息&amp;审核标准'!$D$4="是","无",IF(INT(H162/100)&gt;9,"9F",INT(H162/100)&amp;"F"))</f>
        <v>无</v>
      </c>
      <c r="S162" s="52">
        <f>VLOOKUP(R162,【1】定价因子!D:F,3,0)</f>
        <v>1</v>
      </c>
      <c r="T162" s="52" t="str">
        <f>IF('【2】运营中心填-基本信息&amp;审核标准'!$D$4="否","无",IF(INT(H162/100)=1,"1F",IF(AND(INT(H162/100)&gt;=2,INT(H162/100)&lt;=3),"2-3F",IF(INT(H162/100)=4,"4F",IF(AND(INT(H162/100)&gt;=5,INT(H162/100)&lt;=6),"5-6F",IF(AND(INT(H162/100)&gt;=7,INT(H162/100)&lt;=8),"7-8F",IF(AND(INT(H162/100)&gt;=9,INT(H162/100)&lt;=10),"9-10F",IF(AND(INT(H162/100)&gt;=11,INT(H162/100)&lt;=12),"11-12F",IF(INT(H162/100)&gt;=13,"13以上F","")))))))))</f>
        <v>13以上F</v>
      </c>
      <c r="U162" s="52">
        <f>VLOOKUP($T$1&amp;T162,【1】定价因子!E:F,2,0)</f>
        <v>1.05</v>
      </c>
      <c r="V162" s="52" t="str">
        <f>IF(COUNTIFS(户型资产表!E:E,I162,户型资产表!H:H,"操作台")&gt;0,"有","无")</f>
        <v>有</v>
      </c>
      <c r="W162" s="52" t="str">
        <f>IF(COUNTIFS(户型资产表!E:E,I162,户型资产表!H:H,"书桌")&gt;0,"有","无")</f>
        <v>有</v>
      </c>
      <c r="X162" s="52" t="str" cm="1">
        <f t="array" ref="X162">IF(SUMPRODUCT((户型资产表!E:E=I162)*((户型资产表!I:I="沙发01单人")+(户型资产表!I:I="单人沙发02")))&gt;0,"有","无")</f>
        <v>有</v>
      </c>
      <c r="Y162" s="52" t="str" cm="1">
        <f t="array" ref="Y162">IF(SUMPRODUCT((户型资产表!E:E=I162)*((户型资产表!I:I="沙发02两人")+(户型资产表!I:I="双人沙发01")))&gt;0,"有","无")</f>
        <v>无</v>
      </c>
      <c r="Z162" s="52" t="str">
        <f>IF(COUNTIFS(户型资产表!E:E,I162,户型资产表!H:H,"餐桌")&gt;0,"有","无")</f>
        <v>无</v>
      </c>
      <c r="AA162" s="52" t="str">
        <f>IF(COUNTIFS(户型资产表!E:E,I162,户型资产表!H:H,"吸油烟机")&gt;0,"有","无")</f>
        <v>无</v>
      </c>
      <c r="AB162" s="52" t="str">
        <f>IF(COUNTIFS(户型资产表!E:E,I162,户型资产表!H:H,"冰箱")&gt;0,"有","无")</f>
        <v>无</v>
      </c>
      <c r="AC162" s="52" t="str">
        <f>IF(COUNTIFS(户型资产表!E:E,I162,户型资产表!H:H,"电视柜")&gt;0,"有","无")</f>
        <v>无</v>
      </c>
      <c r="AD162" s="51" t="s">
        <v>63</v>
      </c>
      <c r="AE162" s="52">
        <f>VLOOKUP($AD$1&amp;AD162,【1】定价因子!E:F,2,0)</f>
        <v>1</v>
      </c>
      <c r="AF162" s="51" t="str">
        <f t="shared" si="29"/>
        <v>适中</v>
      </c>
      <c r="AG162" s="52">
        <f>VLOOKUP($AF$1&amp;AF162,【1】定价因子!E:F,2,0)</f>
        <v>1</v>
      </c>
      <c r="AH162" s="51" t="str">
        <f t="shared" si="30"/>
        <v>适中</v>
      </c>
      <c r="AI162" s="52">
        <f>VLOOKUP($AH$1&amp;AH162,【1】定价因子!E:F,2,0)</f>
        <v>1</v>
      </c>
      <c r="AJ162" s="52" t="str">
        <f>VLOOKUP(H162,'【3-1】大区填-采光基本要素'!A:H,8,0)</f>
        <v>2</v>
      </c>
      <c r="AK162" s="52">
        <f>VLOOKUP($AJ$1&amp;AJ162,【1】定价因子!E:F,2,0)</f>
        <v>0.96</v>
      </c>
      <c r="AL162" s="53">
        <f t="shared" si="31"/>
        <v>1672.1217072</v>
      </c>
      <c r="AM162" s="54">
        <v>1528</v>
      </c>
      <c r="AN162" s="55">
        <f t="shared" si="32"/>
        <v>-0.0861909193448213</v>
      </c>
      <c r="AO162" s="56">
        <f t="shared" si="33"/>
        <v>1538</v>
      </c>
    </row>
    <row r="163" spans="1:41">
      <c r="A163" s="47" t="str">
        <f>'【2】运营中心填-基本信息&amp;审核标准'!$E$2</f>
        <v>福围广生7-16、17栋</v>
      </c>
      <c r="B163" s="13"/>
      <c r="C163" s="13"/>
      <c r="D163" s="13"/>
      <c r="E163" s="13"/>
      <c r="F163" s="13"/>
      <c r="G163" s="13"/>
      <c r="H163" s="48">
        <v>1310</v>
      </c>
      <c r="I163" s="49" t="s">
        <v>499</v>
      </c>
      <c r="J163" s="49" t="s">
        <v>43</v>
      </c>
      <c r="K163" s="13"/>
      <c r="L163" s="50">
        <f>VLOOKUP(J163,'【3】大区填-楼栋基准格局定价'!B:H,7,0)</f>
        <v>2472.1725</v>
      </c>
      <c r="M163" s="51" t="s">
        <v>63</v>
      </c>
      <c r="N163" s="51">
        <v>25.47</v>
      </c>
      <c r="O163" s="52"/>
      <c r="P163" s="52" t="str">
        <f>IF(COUNTIFS(户型资产表!E:E,I163,户型资产表!H:H,"阳台门")&gt;0,"有","无")</f>
        <v>无</v>
      </c>
      <c r="Q163" s="52"/>
      <c r="R163" s="52" t="str">
        <f>IF('【2】运营中心填-基本信息&amp;审核标准'!$D$4="是","无",IF(INT(H163/100)&gt;9,"9F",INT(H163/100)&amp;"F"))</f>
        <v>无</v>
      </c>
      <c r="S163" s="52">
        <f>VLOOKUP(R163,【1】定价因子!D:F,3,0)</f>
        <v>1</v>
      </c>
      <c r="T163" s="52" t="str">
        <f>IF('【2】运营中心填-基本信息&amp;审核标准'!$D$4="否","无",IF(INT(H163/100)=1,"1F",IF(AND(INT(H163/100)&gt;=2,INT(H163/100)&lt;=3),"2-3F",IF(INT(H163/100)=4,"4F",IF(AND(INT(H163/100)&gt;=5,INT(H163/100)&lt;=6),"5-6F",IF(AND(INT(H163/100)&gt;=7,INT(H163/100)&lt;=8),"7-8F",IF(AND(INT(H163/100)&gt;=9,INT(H163/100)&lt;=10),"9-10F",IF(AND(INT(H163/100)&gt;=11,INT(H163/100)&lt;=12),"11-12F",IF(INT(H163/100)&gt;=13,"13以上F","")))))))))</f>
        <v>13以上F</v>
      </c>
      <c r="U163" s="52">
        <f>VLOOKUP($T$1&amp;T163,【1】定价因子!E:F,2,0)</f>
        <v>1.05</v>
      </c>
      <c r="V163" s="52" t="str">
        <f>IF(COUNTIFS(户型资产表!E:E,I163,户型资产表!H:H,"操作台")&gt;0,"有","无")</f>
        <v>有</v>
      </c>
      <c r="W163" s="52" t="str">
        <f>IF(COUNTIFS(户型资产表!E:E,I163,户型资产表!H:H,"书桌")&gt;0,"有","无")</f>
        <v>无</v>
      </c>
      <c r="X163" s="52" t="str" cm="1">
        <f t="array" ref="X163">IF(SUMPRODUCT((户型资产表!E:E=I163)*((户型资产表!I:I="沙发01单人")+(户型资产表!I:I="单人沙发02")))&gt;0,"有","无")</f>
        <v>无</v>
      </c>
      <c r="Y163" s="52" t="str" cm="1">
        <f t="array" ref="Y163">IF(SUMPRODUCT((户型资产表!E:E=I163)*((户型资产表!I:I="沙发02两人")+(户型资产表!I:I="双人沙发01")))&gt;0,"有","无")</f>
        <v>有</v>
      </c>
      <c r="Z163" s="52" t="str">
        <f>IF(COUNTIFS(户型资产表!E:E,I163,户型资产表!H:H,"餐桌")&gt;0,"有","无")</f>
        <v>有</v>
      </c>
      <c r="AA163" s="52" t="str">
        <f>IF(COUNTIFS(户型资产表!E:E,I163,户型资产表!H:H,"吸油烟机")&gt;0,"有","无")</f>
        <v>有</v>
      </c>
      <c r="AB163" s="52" t="str">
        <f>IF(COUNTIFS(户型资产表!E:E,I163,户型资产表!H:H,"冰箱")&gt;0,"有","无")</f>
        <v>无</v>
      </c>
      <c r="AC163" s="52" t="str">
        <f>IF(COUNTIFS(户型资产表!E:E,I163,户型资产表!H:H,"电视柜")&gt;0,"有","无")</f>
        <v>无</v>
      </c>
      <c r="AD163" s="51" t="str">
        <f t="shared" si="28"/>
        <v>适中</v>
      </c>
      <c r="AE163" s="52">
        <f>VLOOKUP($AD$1&amp;AD163,【1】定价因子!E:F,2,0)</f>
        <v>1</v>
      </c>
      <c r="AF163" s="51" t="s">
        <v>63</v>
      </c>
      <c r="AG163" s="52">
        <f>VLOOKUP($AF$1&amp;AF163,【1】定价因子!E:F,2,0)</f>
        <v>1</v>
      </c>
      <c r="AH163" s="51" t="str">
        <f t="shared" si="30"/>
        <v>适中</v>
      </c>
      <c r="AI163" s="52">
        <f>VLOOKUP($AH$1&amp;AH163,【1】定价因子!E:F,2,0)</f>
        <v>1</v>
      </c>
      <c r="AJ163" s="52" t="str">
        <f>VLOOKUP(H163,'【3-1】大区填-采光基本要素'!A:H,8,0)</f>
        <v>2</v>
      </c>
      <c r="AK163" s="52">
        <f>VLOOKUP($AJ$1&amp;AJ163,【1】定价因子!E:F,2,0)</f>
        <v>0.96</v>
      </c>
      <c r="AL163" s="53">
        <f t="shared" si="31"/>
        <v>2491.94988</v>
      </c>
      <c r="AM163" s="54">
        <v>2338</v>
      </c>
      <c r="AN163" s="55">
        <f t="shared" si="32"/>
        <v>-0.0617788829685452</v>
      </c>
      <c r="AO163" s="56">
        <f t="shared" si="33"/>
        <v>2348</v>
      </c>
    </row>
    <row r="164" spans="1:41">
      <c r="A164" s="47" t="str">
        <f>'【2】运营中心填-基本信息&amp;审核标准'!$E$2</f>
        <v>福围广生7-16、17栋</v>
      </c>
      <c r="B164" s="13"/>
      <c r="C164" s="13"/>
      <c r="D164" s="13"/>
      <c r="E164" s="13"/>
      <c r="F164" s="13"/>
      <c r="G164" s="13"/>
      <c r="H164" s="48">
        <v>1311</v>
      </c>
      <c r="I164" s="49" t="s">
        <v>502</v>
      </c>
      <c r="J164" s="49" t="s">
        <v>40</v>
      </c>
      <c r="K164" s="13"/>
      <c r="L164" s="50">
        <f>VLOOKUP(J164,'【3】大区填-楼栋基准格局定价'!B:H,7,0)</f>
        <v>1658.8509</v>
      </c>
      <c r="M164" s="51" t="s">
        <v>61</v>
      </c>
      <c r="N164" s="51">
        <v>19.19</v>
      </c>
      <c r="O164" s="52"/>
      <c r="P164" s="52" t="str">
        <f>IF(COUNTIFS(户型资产表!E:E,I164,户型资产表!H:H,"阳台门")&gt;0,"有","无")</f>
        <v>无</v>
      </c>
      <c r="Q164" s="52"/>
      <c r="R164" s="52" t="str">
        <f>IF('【2】运营中心填-基本信息&amp;审核标准'!$D$4="是","无",IF(INT(H164/100)&gt;9,"9F",INT(H164/100)&amp;"F"))</f>
        <v>无</v>
      </c>
      <c r="S164" s="52">
        <f>VLOOKUP(R164,【1】定价因子!D:F,3,0)</f>
        <v>1</v>
      </c>
      <c r="T164" s="52" t="str">
        <f>IF('【2】运营中心填-基本信息&amp;审核标准'!$D$4="否","无",IF(INT(H164/100)=1,"1F",IF(AND(INT(H164/100)&gt;=2,INT(H164/100)&lt;=3),"2-3F",IF(INT(H164/100)=4,"4F",IF(AND(INT(H164/100)&gt;=5,INT(H164/100)&lt;=6),"5-6F",IF(AND(INT(H164/100)&gt;=7,INT(H164/100)&lt;=8),"7-8F",IF(AND(INT(H164/100)&gt;=9,INT(H164/100)&lt;=10),"9-10F",IF(AND(INT(H164/100)&gt;=11,INT(H164/100)&lt;=12),"11-12F",IF(INT(H164/100)&gt;=13,"13以上F","")))))))))</f>
        <v>13以上F</v>
      </c>
      <c r="U164" s="52">
        <f>VLOOKUP($T$1&amp;T164,【1】定价因子!E:F,2,0)</f>
        <v>1.05</v>
      </c>
      <c r="V164" s="52" t="str">
        <f>IF(COUNTIFS(户型资产表!E:E,I164,户型资产表!H:H,"操作台")&gt;0,"有","无")</f>
        <v>有</v>
      </c>
      <c r="W164" s="52" t="str">
        <f>IF(COUNTIFS(户型资产表!E:E,I164,户型资产表!H:H,"书桌")&gt;0,"有","无")</f>
        <v>有</v>
      </c>
      <c r="X164" s="52" t="str" cm="1">
        <f t="array" ref="X164">IF(SUMPRODUCT((户型资产表!E:E=I164)*((户型资产表!I:I="沙发01单人")+(户型资产表!I:I="单人沙发02")))&gt;0,"有","无")</f>
        <v>有</v>
      </c>
      <c r="Y164" s="52" t="str" cm="1">
        <f t="array" ref="Y164">IF(SUMPRODUCT((户型资产表!E:E=I164)*((户型资产表!I:I="沙发02两人")+(户型资产表!I:I="双人沙发01")))&gt;0,"有","无")</f>
        <v>无</v>
      </c>
      <c r="Z164" s="52" t="str">
        <f>IF(COUNTIFS(户型资产表!E:E,I164,户型资产表!H:H,"餐桌")&gt;0,"有","无")</f>
        <v>无</v>
      </c>
      <c r="AA164" s="52" t="str">
        <f>IF(COUNTIFS(户型资产表!E:E,I164,户型资产表!H:H,"吸油烟机")&gt;0,"有","无")</f>
        <v>无</v>
      </c>
      <c r="AB164" s="52" t="str">
        <f>IF(COUNTIFS(户型资产表!E:E,I164,户型资产表!H:H,"冰箱")&gt;0,"有","无")</f>
        <v>无</v>
      </c>
      <c r="AC164" s="52" t="str">
        <f>IF(COUNTIFS(户型资产表!E:E,I164,户型资产表!H:H,"电视柜")&gt;0,"有","无")</f>
        <v>无</v>
      </c>
      <c r="AD164" s="51" t="s">
        <v>63</v>
      </c>
      <c r="AE164" s="52">
        <f>VLOOKUP($AD$1&amp;AD164,【1】定价因子!E:F,2,0)</f>
        <v>1</v>
      </c>
      <c r="AF164" s="51" t="str">
        <f t="shared" si="29"/>
        <v>适中</v>
      </c>
      <c r="AG164" s="52">
        <f>VLOOKUP($AF$1&amp;AF164,【1】定价因子!E:F,2,0)</f>
        <v>1</v>
      </c>
      <c r="AH164" s="51" t="str">
        <f t="shared" si="30"/>
        <v>适中</v>
      </c>
      <c r="AI164" s="52">
        <f>VLOOKUP($AH$1&amp;AH164,【1】定价因子!E:F,2,0)</f>
        <v>1</v>
      </c>
      <c r="AJ164" s="52" t="str">
        <f>VLOOKUP(H164,'【3-1】大区填-采光基本要素'!A:H,8,0)</f>
        <v>4</v>
      </c>
      <c r="AK164" s="52">
        <f>VLOOKUP($AJ$1&amp;AJ164,【1】定价因子!E:F,2,0)</f>
        <v>1.03</v>
      </c>
      <c r="AL164" s="53">
        <f t="shared" si="31"/>
        <v>1794.04724835</v>
      </c>
      <c r="AM164" s="54">
        <v>1638</v>
      </c>
      <c r="AN164" s="55">
        <f t="shared" si="32"/>
        <v>-0.0869805678158799</v>
      </c>
      <c r="AO164" s="56">
        <f t="shared" si="33"/>
        <v>1648</v>
      </c>
    </row>
    <row r="165" spans="1:41">
      <c r="A165" s="47" t="str">
        <f>'【2】运营中心填-基本信息&amp;审核标准'!$E$2</f>
        <v>福围广生7-16、17栋</v>
      </c>
      <c r="B165" s="13"/>
      <c r="C165" s="13"/>
      <c r="D165" s="13"/>
      <c r="E165" s="13"/>
      <c r="F165" s="13"/>
      <c r="G165" s="13"/>
      <c r="H165" s="48">
        <v>1312</v>
      </c>
      <c r="I165" s="49" t="s">
        <v>501</v>
      </c>
      <c r="J165" s="49" t="s">
        <v>40</v>
      </c>
      <c r="K165" s="13"/>
      <c r="L165" s="50">
        <f>VLOOKUP(J165,'【3】大区填-楼栋基准格局定价'!B:H,7,0)</f>
        <v>1658.8509</v>
      </c>
      <c r="M165" s="51" t="s">
        <v>63</v>
      </c>
      <c r="N165" s="51">
        <v>15.8</v>
      </c>
      <c r="O165" s="52"/>
      <c r="P165" s="52" t="str">
        <f>IF(COUNTIFS(户型资产表!E:E,I165,户型资产表!H:H,"阳台门")&gt;0,"有","无")</f>
        <v>无</v>
      </c>
      <c r="Q165" s="52"/>
      <c r="R165" s="52" t="str">
        <f>IF('【2】运营中心填-基本信息&amp;审核标准'!$D$4="是","无",IF(INT(H165/100)&gt;9,"9F",INT(H165/100)&amp;"F"))</f>
        <v>无</v>
      </c>
      <c r="S165" s="52">
        <f>VLOOKUP(R165,【1】定价因子!D:F,3,0)</f>
        <v>1</v>
      </c>
      <c r="T165" s="52" t="str">
        <f>IF('【2】运营中心填-基本信息&amp;审核标准'!$D$4="否","无",IF(INT(H165/100)=1,"1F",IF(AND(INT(H165/100)&gt;=2,INT(H165/100)&lt;=3),"2-3F",IF(INT(H165/100)=4,"4F",IF(AND(INT(H165/100)&gt;=5,INT(H165/100)&lt;=6),"5-6F",IF(AND(INT(H165/100)&gt;=7,INT(H165/100)&lt;=8),"7-8F",IF(AND(INT(H165/100)&gt;=9,INT(H165/100)&lt;=10),"9-10F",IF(AND(INT(H165/100)&gt;=11,INT(H165/100)&lt;=12),"11-12F",IF(INT(H165/100)&gt;=13,"13以上F","")))))))))</f>
        <v>13以上F</v>
      </c>
      <c r="U165" s="52">
        <f>VLOOKUP($T$1&amp;T165,【1】定价因子!E:F,2,0)</f>
        <v>1.05</v>
      </c>
      <c r="V165" s="52" t="str">
        <f>IF(COUNTIFS(户型资产表!E:E,I165,户型资产表!H:H,"操作台")&gt;0,"有","无")</f>
        <v>有</v>
      </c>
      <c r="W165" s="52" t="str">
        <f>IF(COUNTIFS(户型资产表!E:E,I165,户型资产表!H:H,"书桌")&gt;0,"有","无")</f>
        <v>有</v>
      </c>
      <c r="X165" s="52" t="str" cm="1">
        <f t="array" ref="X165">IF(SUMPRODUCT((户型资产表!E:E=I165)*((户型资产表!I:I="沙发01单人")+(户型资产表!I:I="单人沙发02")))&gt;0,"有","无")</f>
        <v>有</v>
      </c>
      <c r="Y165" s="52" t="str" cm="1">
        <f t="array" ref="Y165">IF(SUMPRODUCT((户型资产表!E:E=I165)*((户型资产表!I:I="沙发02两人")+(户型资产表!I:I="双人沙发01")))&gt;0,"有","无")</f>
        <v>有</v>
      </c>
      <c r="Z165" s="52" t="str">
        <f>IF(COUNTIFS(户型资产表!E:E,I165,户型资产表!H:H,"餐桌")&gt;0,"有","无")</f>
        <v>有</v>
      </c>
      <c r="AA165" s="52" t="str">
        <f>IF(COUNTIFS(户型资产表!E:E,I165,户型资产表!H:H,"吸油烟机")&gt;0,"有","无")</f>
        <v>无</v>
      </c>
      <c r="AB165" s="52" t="str">
        <f>IF(COUNTIFS(户型资产表!E:E,I165,户型资产表!H:H,"冰箱")&gt;0,"有","无")</f>
        <v>无</v>
      </c>
      <c r="AC165" s="52" t="str">
        <f>IF(COUNTIFS(户型资产表!E:E,I165,户型资产表!H:H,"电视柜")&gt;0,"有","无")</f>
        <v>无</v>
      </c>
      <c r="AD165" s="51" t="s">
        <v>63</v>
      </c>
      <c r="AE165" s="52">
        <f>VLOOKUP($AD$1&amp;AD165,【1】定价因子!E:F,2,0)</f>
        <v>1</v>
      </c>
      <c r="AF165" s="51" t="str">
        <f t="shared" si="29"/>
        <v>适中</v>
      </c>
      <c r="AG165" s="52">
        <f>VLOOKUP($AF$1&amp;AF165,【1】定价因子!E:F,2,0)</f>
        <v>1</v>
      </c>
      <c r="AH165" s="51" t="str">
        <f t="shared" si="30"/>
        <v>适中</v>
      </c>
      <c r="AI165" s="52">
        <f>VLOOKUP($AH$1&amp;AH165,【1】定价因子!E:F,2,0)</f>
        <v>1</v>
      </c>
      <c r="AJ165" s="52" t="str">
        <f>VLOOKUP(H165,'【3-1】大区填-采光基本要素'!A:H,8,0)</f>
        <v>2</v>
      </c>
      <c r="AK165" s="52">
        <f>VLOOKUP($AJ$1&amp;AJ165,【1】定价因子!E:F,2,0)</f>
        <v>0.96</v>
      </c>
      <c r="AL165" s="53">
        <f t="shared" si="31"/>
        <v>1672.1217072</v>
      </c>
      <c r="AM165" s="54">
        <v>1528</v>
      </c>
      <c r="AN165" s="55">
        <f t="shared" si="32"/>
        <v>-0.0861909193448213</v>
      </c>
      <c r="AO165" s="56">
        <f t="shared" si="33"/>
        <v>1538</v>
      </c>
    </row>
    <row r="166" spans="1:41">
      <c r="A166" s="47" t="str">
        <f>'【2】运营中心填-基本信息&amp;审核标准'!$E$2</f>
        <v>福围广生7-16、17栋</v>
      </c>
      <c r="B166" s="13"/>
      <c r="C166" s="13"/>
      <c r="D166" s="13"/>
      <c r="E166" s="13"/>
      <c r="F166" s="13"/>
      <c r="G166" s="13"/>
      <c r="H166" s="48">
        <v>1313</v>
      </c>
      <c r="I166" s="49" t="s">
        <v>492</v>
      </c>
      <c r="J166" s="49" t="s">
        <v>40</v>
      </c>
      <c r="K166" s="13"/>
      <c r="L166" s="50">
        <f>VLOOKUP(J166,'【3】大区填-楼栋基准格局定价'!B:H,7,0)</f>
        <v>1658.8509</v>
      </c>
      <c r="M166" s="51" t="s">
        <v>63</v>
      </c>
      <c r="N166" s="51">
        <v>15.7</v>
      </c>
      <c r="O166" s="52"/>
      <c r="P166" s="52" t="str">
        <f>IF(COUNTIFS(户型资产表!E:E,I166,户型资产表!H:H,"阳台门")&gt;0,"有","无")</f>
        <v>无</v>
      </c>
      <c r="Q166" s="52"/>
      <c r="R166" s="52" t="str">
        <f>IF('【2】运营中心填-基本信息&amp;审核标准'!$D$4="是","无",IF(INT(H166/100)&gt;9,"9F",INT(H166/100)&amp;"F"))</f>
        <v>无</v>
      </c>
      <c r="S166" s="52">
        <f>VLOOKUP(R166,【1】定价因子!D:F,3,0)</f>
        <v>1</v>
      </c>
      <c r="T166" s="52" t="str">
        <f>IF('【2】运营中心填-基本信息&amp;审核标准'!$D$4="否","无",IF(INT(H166/100)=1,"1F",IF(AND(INT(H166/100)&gt;=2,INT(H166/100)&lt;=3),"2-3F",IF(INT(H166/100)=4,"4F",IF(AND(INT(H166/100)&gt;=5,INT(H166/100)&lt;=6),"5-6F",IF(AND(INT(H166/100)&gt;=7,INT(H166/100)&lt;=8),"7-8F",IF(AND(INT(H166/100)&gt;=9,INT(H166/100)&lt;=10),"9-10F",IF(AND(INT(H166/100)&gt;=11,INT(H166/100)&lt;=12),"11-12F",IF(INT(H166/100)&gt;=13,"13以上F","")))))))))</f>
        <v>13以上F</v>
      </c>
      <c r="U166" s="52">
        <f>VLOOKUP($T$1&amp;T166,【1】定价因子!E:F,2,0)</f>
        <v>1.05</v>
      </c>
      <c r="V166" s="52" t="str">
        <f>IF(COUNTIFS(户型资产表!E:E,I166,户型资产表!H:H,"操作台")&gt;0,"有","无")</f>
        <v>有</v>
      </c>
      <c r="W166" s="52" t="str">
        <f>IF(COUNTIFS(户型资产表!E:E,I166,户型资产表!H:H,"书桌")&gt;0,"有","无")</f>
        <v>有</v>
      </c>
      <c r="X166" s="52" t="str" cm="1">
        <f t="array" ref="X166">IF(SUMPRODUCT((户型资产表!E:E=I166)*((户型资产表!I:I="沙发01单人")+(户型资产表!I:I="单人沙发02")))&gt;0,"有","无")</f>
        <v>无</v>
      </c>
      <c r="Y166" s="52" t="str" cm="1">
        <f t="array" ref="Y166">IF(SUMPRODUCT((户型资产表!E:E=I166)*((户型资产表!I:I="沙发02两人")+(户型资产表!I:I="双人沙发01")))&gt;0,"有","无")</f>
        <v>无</v>
      </c>
      <c r="Z166" s="52" t="str">
        <f>IF(COUNTIFS(户型资产表!E:E,I166,户型资产表!H:H,"餐桌")&gt;0,"有","无")</f>
        <v>无</v>
      </c>
      <c r="AA166" s="52" t="str">
        <f>IF(COUNTIFS(户型资产表!E:E,I166,户型资产表!H:H,"吸油烟机")&gt;0,"有","无")</f>
        <v>无</v>
      </c>
      <c r="AB166" s="52" t="str">
        <f>IF(COUNTIFS(户型资产表!E:E,I166,户型资产表!H:H,"冰箱")&gt;0,"有","无")</f>
        <v>无</v>
      </c>
      <c r="AC166" s="52" t="str">
        <f>IF(COUNTIFS(户型资产表!E:E,I166,户型资产表!H:H,"电视柜")&gt;0,"有","无")</f>
        <v>无</v>
      </c>
      <c r="AD166" s="51" t="str">
        <f t="shared" si="28"/>
        <v>适中</v>
      </c>
      <c r="AE166" s="52">
        <f>VLOOKUP($AD$1&amp;AD166,【1】定价因子!E:F,2,0)</f>
        <v>1</v>
      </c>
      <c r="AF166" s="51" t="str">
        <f t="shared" si="29"/>
        <v>适中</v>
      </c>
      <c r="AG166" s="52">
        <f>VLOOKUP($AF$1&amp;AF166,【1】定价因子!E:F,2,0)</f>
        <v>1</v>
      </c>
      <c r="AH166" s="51" t="str">
        <f t="shared" si="30"/>
        <v>适中</v>
      </c>
      <c r="AI166" s="52">
        <f>VLOOKUP($AH$1&amp;AH166,【1】定价因子!E:F,2,0)</f>
        <v>1</v>
      </c>
      <c r="AJ166" s="52" t="str">
        <f>VLOOKUP(H166,'【3-1】大区填-采光基本要素'!A:H,8,0)</f>
        <v>2</v>
      </c>
      <c r="AK166" s="52">
        <f>VLOOKUP($AJ$1&amp;AJ166,【1】定价因子!E:F,2,0)</f>
        <v>0.96</v>
      </c>
      <c r="AL166" s="53">
        <f t="shared" si="31"/>
        <v>1672.1217072</v>
      </c>
      <c r="AM166" s="54">
        <v>1528</v>
      </c>
      <c r="AN166" s="55">
        <f t="shared" si="32"/>
        <v>-0.0861909193448213</v>
      </c>
      <c r="AO166" s="56">
        <f t="shared" si="33"/>
        <v>1538</v>
      </c>
    </row>
    <row r="167" spans="1:41">
      <c r="AM167" s="47"/>
    </row>
    <row r="169" spans="1:41">
      <c r="N169" s="35" t="s">
        <v>503</v>
      </c>
    </row>
  </sheetData>
  <autoFilter xmlns:etc="http://www.wps.cn/officeDocument/2017/etCustomData" ref="A1:AN166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555"/>
  <sheetViews>
    <sheetView workbookViewId="0">
      <selection activeCell="K12" sqref="K12"/>
    </sheetView>
  </sheetViews>
  <sheetFormatPr defaultColWidth="9.08333333333333" defaultRowHeight="13.8"/>
  <sheetData>
    <row r="1" spans="1:20">
      <c r="A1" t="s">
        <v>504</v>
      </c>
      <c r="E1" t="s">
        <v>493</v>
      </c>
      <c r="H1" t="s">
        <v>505</v>
      </c>
      <c r="K1" t="s">
        <v>506</v>
      </c>
      <c r="Q1" t="s">
        <v>507</v>
      </c>
    </row>
    <row r="2" spans="1:20">
      <c r="B2" t="s">
        <v>508</v>
      </c>
    </row>
    <row r="3" spans="1:20">
      <c r="B3" t="s">
        <v>25</v>
      </c>
      <c r="C3" t="s">
        <v>509</v>
      </c>
      <c r="D3" t="s">
        <v>510</v>
      </c>
      <c r="E3" t="s">
        <v>511</v>
      </c>
      <c r="F3" t="s">
        <v>512</v>
      </c>
      <c r="G3" t="s">
        <v>513</v>
      </c>
      <c r="H3" t="s">
        <v>514</v>
      </c>
      <c r="I3" t="s">
        <v>515</v>
      </c>
      <c r="J3" t="s">
        <v>516</v>
      </c>
      <c r="K3" t="s">
        <v>517</v>
      </c>
      <c r="L3" t="s">
        <v>518</v>
      </c>
      <c r="M3" t="s">
        <v>519</v>
      </c>
      <c r="N3" t="s">
        <v>520</v>
      </c>
      <c r="O3" t="s">
        <v>521</v>
      </c>
      <c r="P3" t="s">
        <v>522</v>
      </c>
      <c r="Q3" t="s">
        <v>335</v>
      </c>
      <c r="R3" t="s">
        <v>523</v>
      </c>
      <c r="S3" t="s">
        <v>524</v>
      </c>
      <c r="T3" t="s">
        <v>525</v>
      </c>
    </row>
    <row r="4" spans="1:20">
      <c r="B4" t="s">
        <v>526</v>
      </c>
      <c r="L4" t="s">
        <v>527</v>
      </c>
    </row>
    <row r="5" ht="17.4" spans="1:20">
      <c r="B5" s="30">
        <v>1</v>
      </c>
      <c r="C5" s="31" t="s">
        <v>184</v>
      </c>
      <c r="D5" s="32" t="s">
        <v>528</v>
      </c>
      <c r="E5" s="33" t="s">
        <v>492</v>
      </c>
      <c r="F5" s="33" t="s">
        <v>529</v>
      </c>
      <c r="G5" s="30" t="s">
        <v>530</v>
      </c>
      <c r="H5" s="30" t="s">
        <v>531</v>
      </c>
      <c r="I5" s="30" t="s">
        <v>532</v>
      </c>
      <c r="K5" t="s">
        <v>533</v>
      </c>
      <c r="L5" t="s">
        <v>527</v>
      </c>
      <c r="M5" t="s">
        <v>534</v>
      </c>
      <c r="N5" t="s">
        <v>535</v>
      </c>
      <c r="O5" t="s">
        <v>534</v>
      </c>
      <c r="P5">
        <v>1</v>
      </c>
      <c r="Q5" t="s">
        <v>536</v>
      </c>
      <c r="R5">
        <v>920</v>
      </c>
    </row>
    <row r="6" ht="17.4" spans="1:20">
      <c r="B6" s="30">
        <v>2</v>
      </c>
      <c r="C6" s="31" t="s">
        <v>184</v>
      </c>
      <c r="D6" s="32" t="s">
        <v>528</v>
      </c>
      <c r="E6" s="33" t="s">
        <v>492</v>
      </c>
      <c r="F6" s="33" t="s">
        <v>529</v>
      </c>
      <c r="G6" s="30" t="s">
        <v>530</v>
      </c>
      <c r="H6" s="30" t="s">
        <v>537</v>
      </c>
      <c r="I6" s="30" t="s">
        <v>538</v>
      </c>
      <c r="K6" t="s">
        <v>539</v>
      </c>
      <c r="L6" t="s">
        <v>527</v>
      </c>
      <c r="M6" t="s">
        <v>534</v>
      </c>
      <c r="N6" t="s">
        <v>540</v>
      </c>
      <c r="O6" t="s">
        <v>534</v>
      </c>
      <c r="P6">
        <v>1</v>
      </c>
      <c r="Q6" t="s">
        <v>541</v>
      </c>
      <c r="R6">
        <v>380</v>
      </c>
    </row>
    <row r="7" ht="17.4" spans="1:20">
      <c r="B7" s="30">
        <v>3</v>
      </c>
      <c r="C7" s="31" t="s">
        <v>184</v>
      </c>
      <c r="D7" s="32" t="s">
        <v>528</v>
      </c>
      <c r="E7" s="33" t="s">
        <v>492</v>
      </c>
      <c r="F7" s="33" t="s">
        <v>529</v>
      </c>
      <c r="G7" s="30" t="s">
        <v>542</v>
      </c>
      <c r="H7" s="30" t="s">
        <v>543</v>
      </c>
      <c r="I7" s="30" t="s">
        <v>544</v>
      </c>
      <c r="K7" t="s">
        <v>545</v>
      </c>
      <c r="L7" t="s">
        <v>527</v>
      </c>
      <c r="M7" t="s">
        <v>534</v>
      </c>
      <c r="N7" t="s">
        <v>546</v>
      </c>
      <c r="O7" t="s">
        <v>534</v>
      </c>
      <c r="P7">
        <v>1</v>
      </c>
      <c r="Q7" t="s">
        <v>547</v>
      </c>
      <c r="R7">
        <v>14</v>
      </c>
    </row>
    <row r="8" ht="17.4" spans="1:20">
      <c r="B8" s="30">
        <v>4</v>
      </c>
      <c r="C8" s="31" t="s">
        <v>184</v>
      </c>
      <c r="D8" s="32" t="s">
        <v>528</v>
      </c>
      <c r="E8" s="33" t="s">
        <v>492</v>
      </c>
      <c r="F8" s="33" t="s">
        <v>529</v>
      </c>
      <c r="G8" s="30" t="s">
        <v>542</v>
      </c>
      <c r="H8" s="30" t="s">
        <v>548</v>
      </c>
      <c r="I8" s="30" t="s">
        <v>549</v>
      </c>
      <c r="K8" t="s">
        <v>550</v>
      </c>
      <c r="L8" t="s">
        <v>527</v>
      </c>
      <c r="M8" t="s">
        <v>534</v>
      </c>
      <c r="N8" t="s">
        <v>551</v>
      </c>
      <c r="O8" t="s">
        <v>534</v>
      </c>
      <c r="P8">
        <v>1</v>
      </c>
      <c r="Q8" t="s">
        <v>547</v>
      </c>
      <c r="R8">
        <v>33</v>
      </c>
    </row>
    <row r="9" ht="17.4" spans="1:20">
      <c r="B9" s="30">
        <v>5</v>
      </c>
      <c r="C9" s="31" t="s">
        <v>184</v>
      </c>
      <c r="D9" s="32" t="s">
        <v>528</v>
      </c>
      <c r="E9" s="33" t="s">
        <v>492</v>
      </c>
      <c r="F9" s="33" t="s">
        <v>552</v>
      </c>
      <c r="G9" s="30" t="s">
        <v>553</v>
      </c>
      <c r="H9" s="30" t="s">
        <v>554</v>
      </c>
      <c r="I9" s="30" t="s">
        <v>555</v>
      </c>
      <c r="K9" t="s">
        <v>556</v>
      </c>
      <c r="L9" t="s">
        <v>527</v>
      </c>
      <c r="M9" t="s">
        <v>534</v>
      </c>
      <c r="N9" t="s">
        <v>557</v>
      </c>
      <c r="O9" t="s">
        <v>534</v>
      </c>
      <c r="P9">
        <v>1</v>
      </c>
      <c r="Q9" t="s">
        <v>547</v>
      </c>
      <c r="R9">
        <v>0</v>
      </c>
    </row>
    <row r="10" ht="17.4" spans="1:20">
      <c r="B10" s="30">
        <v>6</v>
      </c>
      <c r="C10" s="31" t="s">
        <v>184</v>
      </c>
      <c r="D10" s="32" t="s">
        <v>528</v>
      </c>
      <c r="E10" s="33" t="s">
        <v>492</v>
      </c>
      <c r="F10" s="33" t="s">
        <v>552</v>
      </c>
      <c r="G10" s="30" t="s">
        <v>558</v>
      </c>
      <c r="H10" s="30" t="s">
        <v>559</v>
      </c>
      <c r="I10" s="30" t="s">
        <v>560</v>
      </c>
      <c r="K10" t="s">
        <v>561</v>
      </c>
      <c r="L10" t="s">
        <v>527</v>
      </c>
      <c r="M10" t="s">
        <v>534</v>
      </c>
      <c r="N10" t="s">
        <v>562</v>
      </c>
      <c r="O10" t="s">
        <v>534</v>
      </c>
      <c r="P10">
        <v>1</v>
      </c>
      <c r="Q10" t="s">
        <v>547</v>
      </c>
      <c r="R10">
        <v>223</v>
      </c>
    </row>
    <row r="11" ht="17.4" spans="1:20">
      <c r="B11" s="30">
        <v>27</v>
      </c>
      <c r="C11" s="31" t="s">
        <v>184</v>
      </c>
      <c r="D11" s="32" t="s">
        <v>528</v>
      </c>
      <c r="E11" s="33" t="s">
        <v>492</v>
      </c>
      <c r="F11" s="33" t="s">
        <v>552</v>
      </c>
      <c r="G11" s="30" t="s">
        <v>558</v>
      </c>
      <c r="H11" s="30" t="s">
        <v>563</v>
      </c>
      <c r="I11" s="30" t="s">
        <v>564</v>
      </c>
      <c r="K11" t="s">
        <v>565</v>
      </c>
      <c r="L11" t="s">
        <v>527</v>
      </c>
      <c r="M11" t="s">
        <v>534</v>
      </c>
      <c r="N11" t="s">
        <v>534</v>
      </c>
      <c r="O11" t="s">
        <v>534</v>
      </c>
      <c r="P11">
        <v>1</v>
      </c>
      <c r="Q11" t="s">
        <v>566</v>
      </c>
      <c r="R11">
        <v>640</v>
      </c>
    </row>
    <row r="12" ht="17.4" spans="1:20">
      <c r="B12" s="30">
        <v>27</v>
      </c>
      <c r="C12" s="31" t="s">
        <v>184</v>
      </c>
      <c r="D12" s="32" t="s">
        <v>528</v>
      </c>
      <c r="E12" s="33" t="s">
        <v>492</v>
      </c>
      <c r="F12" s="33" t="s">
        <v>552</v>
      </c>
      <c r="G12" s="30" t="s">
        <v>558</v>
      </c>
      <c r="H12" s="30" t="s">
        <v>567</v>
      </c>
      <c r="I12" s="30" t="s">
        <v>568</v>
      </c>
      <c r="K12" t="s">
        <v>569</v>
      </c>
      <c r="L12" t="s">
        <v>527</v>
      </c>
      <c r="M12" t="s">
        <v>534</v>
      </c>
      <c r="N12" t="s">
        <v>534</v>
      </c>
      <c r="O12" t="s">
        <v>534</v>
      </c>
      <c r="P12">
        <v>1</v>
      </c>
      <c r="Q12" t="s">
        <v>566</v>
      </c>
      <c r="R12">
        <v>425</v>
      </c>
    </row>
    <row r="13" ht="17.4" spans="1:20">
      <c r="B13" s="30">
        <v>27</v>
      </c>
      <c r="C13" s="31" t="s">
        <v>184</v>
      </c>
      <c r="D13" s="32" t="s">
        <v>528</v>
      </c>
      <c r="E13" s="33" t="s">
        <v>492</v>
      </c>
      <c r="F13" s="33" t="s">
        <v>552</v>
      </c>
      <c r="G13" s="30" t="s">
        <v>558</v>
      </c>
      <c r="H13" s="30" t="s">
        <v>570</v>
      </c>
      <c r="I13" s="30" t="s">
        <v>571</v>
      </c>
      <c r="K13" t="s">
        <v>572</v>
      </c>
      <c r="L13" t="s">
        <v>527</v>
      </c>
      <c r="M13" t="s">
        <v>534</v>
      </c>
      <c r="N13" t="s">
        <v>573</v>
      </c>
      <c r="O13" t="s">
        <v>534</v>
      </c>
      <c r="P13">
        <v>1</v>
      </c>
      <c r="Q13" t="s">
        <v>547</v>
      </c>
      <c r="R13">
        <v>959</v>
      </c>
    </row>
    <row r="14" ht="17.4" spans="1:20">
      <c r="B14" s="30">
        <v>10</v>
      </c>
      <c r="C14" s="31" t="s">
        <v>184</v>
      </c>
      <c r="D14" s="32" t="s">
        <v>528</v>
      </c>
      <c r="E14" s="33" t="s">
        <v>492</v>
      </c>
      <c r="F14" s="33" t="s">
        <v>552</v>
      </c>
      <c r="G14" s="30" t="s">
        <v>574</v>
      </c>
      <c r="H14" s="30" t="s">
        <v>575</v>
      </c>
      <c r="I14" s="30" t="s">
        <v>576</v>
      </c>
      <c r="K14" t="s">
        <v>577</v>
      </c>
      <c r="L14" t="s">
        <v>527</v>
      </c>
      <c r="M14" t="s">
        <v>534</v>
      </c>
      <c r="N14" t="s">
        <v>534</v>
      </c>
      <c r="O14" t="s">
        <v>534</v>
      </c>
      <c r="P14">
        <v>1</v>
      </c>
      <c r="Q14" t="s">
        <v>547</v>
      </c>
      <c r="R14">
        <v>1680</v>
      </c>
    </row>
    <row r="15" ht="17.4" spans="1:20">
      <c r="B15" s="30">
        <v>11</v>
      </c>
      <c r="C15" s="31" t="s">
        <v>184</v>
      </c>
      <c r="D15" s="32" t="s">
        <v>528</v>
      </c>
      <c r="E15" s="33" t="s">
        <v>492</v>
      </c>
      <c r="F15" s="33" t="s">
        <v>552</v>
      </c>
      <c r="G15" s="30" t="s">
        <v>574</v>
      </c>
      <c r="H15" s="30" t="s">
        <v>578</v>
      </c>
      <c r="I15" s="30" t="s">
        <v>579</v>
      </c>
      <c r="K15" t="s">
        <v>580</v>
      </c>
      <c r="L15" t="s">
        <v>527</v>
      </c>
      <c r="M15" t="s">
        <v>534</v>
      </c>
      <c r="N15" t="s">
        <v>581</v>
      </c>
      <c r="O15" t="s">
        <v>534</v>
      </c>
      <c r="P15">
        <v>1</v>
      </c>
      <c r="Q15" t="s">
        <v>547</v>
      </c>
      <c r="R15">
        <v>10</v>
      </c>
    </row>
    <row r="16" ht="17.4" spans="1:20">
      <c r="B16" s="30">
        <v>12</v>
      </c>
      <c r="C16" s="31" t="s">
        <v>184</v>
      </c>
      <c r="D16" s="32" t="s">
        <v>528</v>
      </c>
      <c r="E16" s="33" t="s">
        <v>492</v>
      </c>
      <c r="F16" s="33" t="s">
        <v>552</v>
      </c>
      <c r="G16" s="30" t="s">
        <v>582</v>
      </c>
      <c r="H16" s="30" t="s">
        <v>583</v>
      </c>
      <c r="I16" s="30" t="s">
        <v>584</v>
      </c>
      <c r="K16" t="s">
        <v>585</v>
      </c>
      <c r="L16" t="s">
        <v>527</v>
      </c>
      <c r="M16" t="s">
        <v>534</v>
      </c>
      <c r="N16" t="s">
        <v>586</v>
      </c>
      <c r="O16" t="s">
        <v>534</v>
      </c>
      <c r="P16">
        <v>1</v>
      </c>
      <c r="Q16" t="s">
        <v>547</v>
      </c>
      <c r="R16">
        <v>74</v>
      </c>
    </row>
    <row r="17" ht="17.4" spans="2:18">
      <c r="B17" s="30">
        <v>12</v>
      </c>
      <c r="C17" s="31" t="s">
        <v>184</v>
      </c>
      <c r="D17" s="32" t="s">
        <v>528</v>
      </c>
      <c r="E17" s="33" t="s">
        <v>492</v>
      </c>
      <c r="F17" s="33" t="s">
        <v>552</v>
      </c>
      <c r="G17" s="30" t="s">
        <v>582</v>
      </c>
      <c r="H17" s="30" t="s">
        <v>587</v>
      </c>
      <c r="I17" s="30" t="s">
        <v>588</v>
      </c>
      <c r="K17" t="s">
        <v>589</v>
      </c>
      <c r="L17" t="s">
        <v>527</v>
      </c>
      <c r="M17" t="s">
        <v>534</v>
      </c>
      <c r="N17" t="s">
        <v>590</v>
      </c>
      <c r="O17" t="s">
        <v>534</v>
      </c>
      <c r="P17">
        <v>1</v>
      </c>
      <c r="Q17" t="s">
        <v>547</v>
      </c>
      <c r="R17">
        <v>84</v>
      </c>
    </row>
    <row r="18" ht="17.4" spans="2:18">
      <c r="B18" s="30">
        <v>13</v>
      </c>
      <c r="C18" s="31" t="s">
        <v>184</v>
      </c>
      <c r="D18" s="32" t="s">
        <v>528</v>
      </c>
      <c r="E18" s="33" t="s">
        <v>492</v>
      </c>
      <c r="F18" s="33" t="s">
        <v>552</v>
      </c>
      <c r="G18" s="30" t="s">
        <v>553</v>
      </c>
      <c r="H18" s="30" t="s">
        <v>591</v>
      </c>
      <c r="I18" s="30" t="s">
        <v>592</v>
      </c>
      <c r="K18" t="s">
        <v>593</v>
      </c>
      <c r="L18" t="s">
        <v>527</v>
      </c>
      <c r="M18" t="s">
        <v>534</v>
      </c>
      <c r="N18" t="s">
        <v>594</v>
      </c>
      <c r="O18" t="s">
        <v>534</v>
      </c>
      <c r="P18">
        <v>1</v>
      </c>
      <c r="Q18" t="s">
        <v>547</v>
      </c>
      <c r="R18">
        <v>165</v>
      </c>
    </row>
    <row r="19" ht="17.4" spans="2:18">
      <c r="B19" s="30">
        <v>14</v>
      </c>
      <c r="C19" s="31" t="s">
        <v>184</v>
      </c>
      <c r="D19" s="32" t="s">
        <v>528</v>
      </c>
      <c r="E19" s="33" t="s">
        <v>492</v>
      </c>
      <c r="F19" s="33" t="s">
        <v>552</v>
      </c>
      <c r="G19" s="30" t="s">
        <v>595</v>
      </c>
      <c r="H19" s="30" t="s">
        <v>596</v>
      </c>
      <c r="I19" s="30" t="s">
        <v>597</v>
      </c>
      <c r="K19" t="s">
        <v>598</v>
      </c>
      <c r="L19" t="s">
        <v>527</v>
      </c>
      <c r="M19" t="s">
        <v>534</v>
      </c>
      <c r="N19" t="s">
        <v>534</v>
      </c>
      <c r="O19" t="s">
        <v>534</v>
      </c>
      <c r="P19">
        <v>1</v>
      </c>
      <c r="Q19" t="s">
        <v>547</v>
      </c>
      <c r="R19">
        <v>43</v>
      </c>
    </row>
    <row r="20" ht="17.4" spans="2:18">
      <c r="B20" s="30">
        <v>15</v>
      </c>
      <c r="C20" s="31" t="s">
        <v>184</v>
      </c>
      <c r="D20" s="32" t="s">
        <v>528</v>
      </c>
      <c r="E20" s="33" t="s">
        <v>492</v>
      </c>
      <c r="F20" s="33" t="s">
        <v>552</v>
      </c>
      <c r="G20" s="30" t="s">
        <v>558</v>
      </c>
      <c r="H20" s="30" t="s">
        <v>599</v>
      </c>
      <c r="I20" s="30" t="s">
        <v>600</v>
      </c>
      <c r="K20" t="s">
        <v>601</v>
      </c>
      <c r="L20" t="s">
        <v>527</v>
      </c>
      <c r="M20" t="s">
        <v>534</v>
      </c>
      <c r="N20" t="s">
        <v>590</v>
      </c>
      <c r="O20" t="s">
        <v>534</v>
      </c>
      <c r="P20">
        <v>1</v>
      </c>
      <c r="Q20" t="s">
        <v>547</v>
      </c>
      <c r="R20">
        <v>425</v>
      </c>
    </row>
    <row r="21" ht="17.4" spans="2:18">
      <c r="B21" s="30">
        <v>16</v>
      </c>
      <c r="C21" s="31" t="s">
        <v>184</v>
      </c>
      <c r="D21" s="32" t="s">
        <v>528</v>
      </c>
      <c r="E21" s="33" t="s">
        <v>492</v>
      </c>
      <c r="F21" s="33" t="s">
        <v>552</v>
      </c>
      <c r="G21" s="30" t="s">
        <v>602</v>
      </c>
      <c r="H21" s="30" t="s">
        <v>603</v>
      </c>
      <c r="I21" s="30" t="s">
        <v>604</v>
      </c>
      <c r="K21" t="s">
        <v>605</v>
      </c>
      <c r="L21" t="s">
        <v>527</v>
      </c>
      <c r="M21" t="s">
        <v>534</v>
      </c>
      <c r="N21" t="s">
        <v>606</v>
      </c>
      <c r="O21" t="s">
        <v>534</v>
      </c>
      <c r="P21">
        <v>1</v>
      </c>
      <c r="Q21" t="s">
        <v>547</v>
      </c>
      <c r="R21">
        <v>77</v>
      </c>
    </row>
    <row r="22" ht="17.4" spans="2:18">
      <c r="B22" s="30">
        <v>17</v>
      </c>
      <c r="C22" s="31" t="s">
        <v>184</v>
      </c>
      <c r="D22" s="32" t="s">
        <v>528</v>
      </c>
      <c r="E22" s="33" t="s">
        <v>492</v>
      </c>
      <c r="F22" s="33" t="s">
        <v>552</v>
      </c>
      <c r="G22" s="30" t="s">
        <v>558</v>
      </c>
      <c r="H22" s="30" t="s">
        <v>607</v>
      </c>
      <c r="I22" s="30" t="s">
        <v>608</v>
      </c>
      <c r="K22" t="s">
        <v>609</v>
      </c>
      <c r="L22" t="s">
        <v>527</v>
      </c>
      <c r="M22" t="s">
        <v>534</v>
      </c>
      <c r="N22" t="s">
        <v>610</v>
      </c>
      <c r="O22" t="s">
        <v>534</v>
      </c>
      <c r="P22">
        <v>2</v>
      </c>
      <c r="Q22" t="s">
        <v>611</v>
      </c>
      <c r="R22">
        <v>415</v>
      </c>
    </row>
    <row r="23" ht="17.4" spans="2:18">
      <c r="B23" s="30">
        <v>18</v>
      </c>
      <c r="C23" s="31" t="s">
        <v>184</v>
      </c>
      <c r="D23" s="32" t="s">
        <v>528</v>
      </c>
      <c r="E23" s="33" t="s">
        <v>492</v>
      </c>
      <c r="F23" s="33" t="s">
        <v>552</v>
      </c>
      <c r="G23" s="30" t="s">
        <v>530</v>
      </c>
      <c r="H23" s="30" t="s">
        <v>612</v>
      </c>
      <c r="I23" s="30" t="s">
        <v>613</v>
      </c>
      <c r="K23" t="s">
        <v>614</v>
      </c>
      <c r="L23" t="s">
        <v>527</v>
      </c>
      <c r="M23" t="s">
        <v>534</v>
      </c>
      <c r="N23" t="s">
        <v>615</v>
      </c>
      <c r="O23" t="s">
        <v>534</v>
      </c>
      <c r="P23">
        <v>1</v>
      </c>
      <c r="Q23" t="s">
        <v>616</v>
      </c>
      <c r="R23">
        <v>53</v>
      </c>
    </row>
    <row r="24" ht="17.4" spans="2:18">
      <c r="B24" s="30">
        <v>33</v>
      </c>
      <c r="C24" s="31" t="s">
        <v>184</v>
      </c>
      <c r="D24" s="32" t="s">
        <v>528</v>
      </c>
      <c r="E24" s="33" t="s">
        <v>492</v>
      </c>
      <c r="F24" s="33" t="s">
        <v>552</v>
      </c>
      <c r="G24" s="30" t="s">
        <v>617</v>
      </c>
      <c r="H24" s="30" t="s">
        <v>618</v>
      </c>
      <c r="I24" s="30" t="s">
        <v>619</v>
      </c>
      <c r="K24" t="s">
        <v>620</v>
      </c>
      <c r="L24" t="s">
        <v>527</v>
      </c>
      <c r="M24" t="s">
        <v>534</v>
      </c>
      <c r="N24" t="s">
        <v>615</v>
      </c>
      <c r="O24" t="s">
        <v>534</v>
      </c>
      <c r="P24">
        <v>1</v>
      </c>
      <c r="Q24" t="s">
        <v>621</v>
      </c>
      <c r="R24">
        <v>77</v>
      </c>
    </row>
    <row r="25" ht="17.4" spans="2:18">
      <c r="B25" s="30">
        <v>20</v>
      </c>
      <c r="C25" s="31" t="s">
        <v>184</v>
      </c>
      <c r="D25" s="32" t="s">
        <v>528</v>
      </c>
      <c r="E25" s="33" t="s">
        <v>492</v>
      </c>
      <c r="F25" s="33" t="s">
        <v>552</v>
      </c>
      <c r="G25" s="30" t="s">
        <v>558</v>
      </c>
      <c r="H25" s="30" t="s">
        <v>475</v>
      </c>
      <c r="I25" s="30" t="s">
        <v>622</v>
      </c>
      <c r="K25" t="s">
        <v>623</v>
      </c>
      <c r="L25" t="s">
        <v>527</v>
      </c>
      <c r="M25" t="s">
        <v>534</v>
      </c>
      <c r="N25" t="s">
        <v>624</v>
      </c>
      <c r="O25" t="s">
        <v>534</v>
      </c>
      <c r="P25">
        <v>1</v>
      </c>
      <c r="Q25" t="s">
        <v>625</v>
      </c>
      <c r="R25">
        <v>53</v>
      </c>
    </row>
    <row r="26" ht="17.4" spans="2:18">
      <c r="B26" s="30">
        <v>24</v>
      </c>
      <c r="C26" s="31" t="s">
        <v>184</v>
      </c>
      <c r="D26" s="32" t="s">
        <v>528</v>
      </c>
      <c r="E26" s="33" t="s">
        <v>492</v>
      </c>
      <c r="F26" s="33" t="s">
        <v>552</v>
      </c>
      <c r="G26" s="30" t="s">
        <v>595</v>
      </c>
      <c r="H26" s="30" t="s">
        <v>626</v>
      </c>
      <c r="I26" s="30" t="s">
        <v>627</v>
      </c>
      <c r="K26" t="s">
        <v>628</v>
      </c>
      <c r="L26" t="s">
        <v>527</v>
      </c>
      <c r="M26" t="s">
        <v>534</v>
      </c>
      <c r="N26" t="s">
        <v>629</v>
      </c>
      <c r="O26" t="s">
        <v>534</v>
      </c>
      <c r="P26">
        <v>1</v>
      </c>
      <c r="Q26" t="s">
        <v>547</v>
      </c>
      <c r="R26">
        <v>81</v>
      </c>
    </row>
    <row r="27" ht="17.4" spans="2:18">
      <c r="B27" s="30">
        <v>26</v>
      </c>
      <c r="C27" s="31" t="s">
        <v>184</v>
      </c>
      <c r="D27" s="32" t="s">
        <v>528</v>
      </c>
      <c r="E27" s="33" t="s">
        <v>492</v>
      </c>
      <c r="F27" s="33" t="s">
        <v>552</v>
      </c>
      <c r="G27" s="30" t="s">
        <v>558</v>
      </c>
      <c r="H27" s="30" t="s">
        <v>476</v>
      </c>
      <c r="I27" s="30" t="s">
        <v>630</v>
      </c>
      <c r="K27" t="s">
        <v>631</v>
      </c>
      <c r="L27" t="s">
        <v>527</v>
      </c>
      <c r="M27" t="s">
        <v>534</v>
      </c>
      <c r="N27" t="s">
        <v>534</v>
      </c>
      <c r="O27" t="s">
        <v>534</v>
      </c>
      <c r="P27">
        <v>1</v>
      </c>
      <c r="Q27" t="s">
        <v>632</v>
      </c>
      <c r="R27">
        <v>1086</v>
      </c>
    </row>
    <row r="28" ht="17.4" spans="2:18">
      <c r="B28" s="30">
        <v>27</v>
      </c>
      <c r="C28" s="31" t="s">
        <v>184</v>
      </c>
      <c r="D28" s="32" t="s">
        <v>528</v>
      </c>
      <c r="E28" s="33" t="s">
        <v>492</v>
      </c>
      <c r="F28" s="33" t="s">
        <v>552</v>
      </c>
      <c r="G28" s="30" t="s">
        <v>558</v>
      </c>
      <c r="H28" s="30" t="s">
        <v>633</v>
      </c>
      <c r="I28" s="30" t="s">
        <v>634</v>
      </c>
      <c r="K28" t="s">
        <v>635</v>
      </c>
      <c r="L28" t="s">
        <v>527</v>
      </c>
      <c r="M28" t="s">
        <v>534</v>
      </c>
      <c r="N28" t="s">
        <v>534</v>
      </c>
      <c r="O28" t="s">
        <v>534</v>
      </c>
      <c r="P28">
        <v>1</v>
      </c>
      <c r="Q28" t="s">
        <v>547</v>
      </c>
      <c r="R28">
        <v>41</v>
      </c>
    </row>
    <row r="29" ht="17.4" spans="2:18">
      <c r="B29" s="30">
        <v>33</v>
      </c>
      <c r="C29" s="31" t="s">
        <v>184</v>
      </c>
      <c r="D29" s="32" t="s">
        <v>528</v>
      </c>
      <c r="E29" s="33" t="s">
        <v>492</v>
      </c>
      <c r="F29" s="33" t="s">
        <v>552</v>
      </c>
      <c r="G29" s="30" t="s">
        <v>558</v>
      </c>
      <c r="H29" s="30" t="s">
        <v>636</v>
      </c>
      <c r="I29" s="30" t="s">
        <v>637</v>
      </c>
      <c r="K29" t="s">
        <v>638</v>
      </c>
      <c r="L29" t="s">
        <v>527</v>
      </c>
      <c r="M29" t="s">
        <v>534</v>
      </c>
      <c r="N29" t="s">
        <v>639</v>
      </c>
      <c r="O29" t="s">
        <v>534</v>
      </c>
      <c r="P29">
        <v>1</v>
      </c>
      <c r="Q29" t="s">
        <v>566</v>
      </c>
      <c r="R29">
        <v>331</v>
      </c>
    </row>
    <row r="30" ht="17.4" spans="2:18">
      <c r="B30" s="30">
        <v>35</v>
      </c>
      <c r="C30" s="31" t="s">
        <v>184</v>
      </c>
      <c r="D30" s="32" t="s">
        <v>528</v>
      </c>
      <c r="E30" s="33" t="s">
        <v>492</v>
      </c>
      <c r="F30" s="33" t="s">
        <v>640</v>
      </c>
      <c r="G30" s="30" t="s">
        <v>530</v>
      </c>
      <c r="H30" s="30" t="s">
        <v>641</v>
      </c>
      <c r="I30" s="30" t="s">
        <v>642</v>
      </c>
      <c r="K30" t="s">
        <v>643</v>
      </c>
      <c r="L30" t="s">
        <v>527</v>
      </c>
      <c r="M30" t="s">
        <v>534</v>
      </c>
      <c r="N30" t="s">
        <v>644</v>
      </c>
      <c r="O30" t="s">
        <v>534</v>
      </c>
      <c r="P30">
        <v>1</v>
      </c>
      <c r="Q30" t="s">
        <v>541</v>
      </c>
      <c r="R30">
        <v>92</v>
      </c>
    </row>
    <row r="31" ht="17.4" spans="2:18">
      <c r="B31" s="30">
        <v>37</v>
      </c>
      <c r="C31" s="31" t="s">
        <v>184</v>
      </c>
      <c r="D31" s="32" t="s">
        <v>528</v>
      </c>
      <c r="E31" s="33" t="s">
        <v>492</v>
      </c>
      <c r="F31" s="33" t="s">
        <v>640</v>
      </c>
      <c r="G31" s="30" t="s">
        <v>574</v>
      </c>
      <c r="H31" s="30" t="s">
        <v>645</v>
      </c>
      <c r="I31" s="30" t="s">
        <v>646</v>
      </c>
      <c r="K31" t="s">
        <v>647</v>
      </c>
      <c r="L31" t="s">
        <v>527</v>
      </c>
      <c r="M31" t="s">
        <v>534</v>
      </c>
      <c r="N31" t="s">
        <v>534</v>
      </c>
      <c r="O31" t="s">
        <v>534</v>
      </c>
      <c r="P31">
        <v>1</v>
      </c>
      <c r="Q31" t="s">
        <v>648</v>
      </c>
      <c r="R31">
        <v>58</v>
      </c>
    </row>
    <row r="32" ht="17.4" spans="2:18">
      <c r="B32" s="30">
        <v>38</v>
      </c>
      <c r="C32" s="31" t="s">
        <v>184</v>
      </c>
      <c r="D32" s="32" t="s">
        <v>528</v>
      </c>
      <c r="E32" s="33" t="s">
        <v>492</v>
      </c>
      <c r="F32" s="33" t="s">
        <v>640</v>
      </c>
      <c r="G32" s="30" t="s">
        <v>558</v>
      </c>
      <c r="H32" s="30" t="s">
        <v>649</v>
      </c>
      <c r="I32" s="30" t="s">
        <v>650</v>
      </c>
      <c r="K32" t="s">
        <v>651</v>
      </c>
      <c r="L32" t="s">
        <v>527</v>
      </c>
      <c r="M32" t="s">
        <v>534</v>
      </c>
      <c r="N32" t="s">
        <v>534</v>
      </c>
      <c r="O32" t="s">
        <v>534</v>
      </c>
      <c r="P32">
        <v>1</v>
      </c>
      <c r="Q32" t="s">
        <v>547</v>
      </c>
      <c r="R32">
        <v>507</v>
      </c>
    </row>
    <row r="33" ht="17.4" spans="2:18">
      <c r="B33" s="30">
        <v>39</v>
      </c>
      <c r="C33" s="31" t="s">
        <v>184</v>
      </c>
      <c r="D33" s="32" t="s">
        <v>528</v>
      </c>
      <c r="E33" s="33" t="s">
        <v>492</v>
      </c>
      <c r="F33" s="33" t="s">
        <v>640</v>
      </c>
      <c r="G33" s="30" t="s">
        <v>582</v>
      </c>
      <c r="H33" s="30" t="s">
        <v>652</v>
      </c>
      <c r="I33" s="30" t="s">
        <v>653</v>
      </c>
      <c r="K33" t="s">
        <v>654</v>
      </c>
      <c r="L33" t="s">
        <v>527</v>
      </c>
      <c r="M33" t="s">
        <v>534</v>
      </c>
      <c r="N33" t="s">
        <v>655</v>
      </c>
      <c r="O33" t="s">
        <v>534</v>
      </c>
      <c r="P33">
        <v>1</v>
      </c>
      <c r="Q33" t="s">
        <v>566</v>
      </c>
      <c r="R33">
        <v>242</v>
      </c>
    </row>
    <row r="34" ht="17.4" spans="2:18">
      <c r="B34" s="30">
        <v>40</v>
      </c>
      <c r="C34" s="31" t="s">
        <v>184</v>
      </c>
      <c r="D34" s="32" t="s">
        <v>528</v>
      </c>
      <c r="E34" s="33" t="s">
        <v>492</v>
      </c>
      <c r="F34" s="33" t="s">
        <v>640</v>
      </c>
      <c r="G34" s="30" t="s">
        <v>656</v>
      </c>
      <c r="H34" s="30" t="s">
        <v>657</v>
      </c>
      <c r="I34" s="30" t="s">
        <v>658</v>
      </c>
      <c r="K34" t="s">
        <v>659</v>
      </c>
      <c r="L34" t="s">
        <v>527</v>
      </c>
      <c r="M34" t="s">
        <v>534</v>
      </c>
      <c r="N34" t="s">
        <v>660</v>
      </c>
      <c r="O34" t="s">
        <v>534</v>
      </c>
      <c r="P34">
        <v>1</v>
      </c>
      <c r="Q34" t="s">
        <v>611</v>
      </c>
      <c r="R34">
        <v>667</v>
      </c>
    </row>
    <row r="35" ht="17.4" spans="2:18">
      <c r="B35" s="30">
        <v>41</v>
      </c>
      <c r="C35" s="31" t="s">
        <v>184</v>
      </c>
      <c r="D35" s="32" t="s">
        <v>528</v>
      </c>
      <c r="E35" s="33" t="s">
        <v>492</v>
      </c>
      <c r="F35" s="33" t="s">
        <v>640</v>
      </c>
      <c r="G35" s="30" t="s">
        <v>656</v>
      </c>
      <c r="H35" s="30" t="s">
        <v>661</v>
      </c>
      <c r="I35" s="30" t="s">
        <v>662</v>
      </c>
      <c r="K35" t="s">
        <v>663</v>
      </c>
      <c r="L35" t="s">
        <v>527</v>
      </c>
      <c r="M35" t="s">
        <v>534</v>
      </c>
      <c r="N35" t="s">
        <v>664</v>
      </c>
      <c r="O35" t="s">
        <v>534</v>
      </c>
      <c r="P35">
        <v>1</v>
      </c>
      <c r="Q35" t="s">
        <v>547</v>
      </c>
      <c r="R35">
        <v>60</v>
      </c>
    </row>
    <row r="36" ht="17.4" spans="2:18">
      <c r="B36" s="30">
        <v>42</v>
      </c>
      <c r="C36" s="31" t="s">
        <v>184</v>
      </c>
      <c r="D36" s="32" t="s">
        <v>528</v>
      </c>
      <c r="E36" s="33" t="s">
        <v>492</v>
      </c>
      <c r="F36" s="33" t="s">
        <v>640</v>
      </c>
      <c r="G36" s="30" t="s">
        <v>656</v>
      </c>
      <c r="H36" s="30" t="s">
        <v>665</v>
      </c>
      <c r="I36" s="30" t="s">
        <v>666</v>
      </c>
      <c r="K36" t="s">
        <v>667</v>
      </c>
      <c r="L36" t="s">
        <v>527</v>
      </c>
      <c r="M36" t="s">
        <v>534</v>
      </c>
      <c r="N36" t="s">
        <v>668</v>
      </c>
      <c r="O36" t="s">
        <v>534</v>
      </c>
      <c r="P36">
        <v>1</v>
      </c>
      <c r="Q36" t="s">
        <v>632</v>
      </c>
      <c r="R36">
        <v>185.4</v>
      </c>
    </row>
    <row r="37" ht="17.4" spans="2:18">
      <c r="B37" s="30">
        <v>43</v>
      </c>
      <c r="C37" s="31" t="s">
        <v>184</v>
      </c>
      <c r="D37" s="32" t="s">
        <v>528</v>
      </c>
      <c r="E37" s="33" t="s">
        <v>492</v>
      </c>
      <c r="F37" s="33" t="s">
        <v>640</v>
      </c>
      <c r="G37" s="30" t="s">
        <v>574</v>
      </c>
      <c r="H37" s="30" t="s">
        <v>669</v>
      </c>
      <c r="I37" s="30" t="s">
        <v>670</v>
      </c>
      <c r="K37" t="s">
        <v>671</v>
      </c>
      <c r="L37" t="s">
        <v>527</v>
      </c>
      <c r="M37" t="s">
        <v>534</v>
      </c>
      <c r="N37" t="s">
        <v>672</v>
      </c>
      <c r="O37" t="s">
        <v>534</v>
      </c>
      <c r="P37">
        <v>1</v>
      </c>
      <c r="Q37" t="s">
        <v>632</v>
      </c>
      <c r="R37">
        <v>474</v>
      </c>
    </row>
    <row r="38" ht="17.4" spans="2:18">
      <c r="B38" s="30">
        <v>44</v>
      </c>
      <c r="C38" s="31" t="s">
        <v>184</v>
      </c>
      <c r="D38" s="32" t="s">
        <v>528</v>
      </c>
      <c r="E38" s="33" t="s">
        <v>492</v>
      </c>
      <c r="F38" s="33" t="s">
        <v>640</v>
      </c>
      <c r="G38" s="30" t="s">
        <v>542</v>
      </c>
      <c r="H38" s="30" t="s">
        <v>673</v>
      </c>
      <c r="I38" s="30" t="s">
        <v>674</v>
      </c>
      <c r="K38" t="s">
        <v>675</v>
      </c>
      <c r="L38" t="s">
        <v>527</v>
      </c>
      <c r="M38" t="s">
        <v>534</v>
      </c>
      <c r="N38" t="s">
        <v>676</v>
      </c>
      <c r="O38" t="s">
        <v>534</v>
      </c>
      <c r="P38">
        <v>1</v>
      </c>
      <c r="Q38" t="s">
        <v>547</v>
      </c>
      <c r="R38">
        <v>30</v>
      </c>
    </row>
    <row r="39" ht="17.4" spans="2:18">
      <c r="B39" s="30">
        <v>45</v>
      </c>
      <c r="C39" s="31" t="s">
        <v>184</v>
      </c>
      <c r="D39" s="32" t="s">
        <v>528</v>
      </c>
      <c r="E39" s="33" t="s">
        <v>492</v>
      </c>
      <c r="F39" s="33" t="s">
        <v>640</v>
      </c>
      <c r="G39" s="30" t="s">
        <v>656</v>
      </c>
      <c r="H39" s="30" t="s">
        <v>677</v>
      </c>
      <c r="I39" s="30" t="s">
        <v>678</v>
      </c>
      <c r="K39" t="s">
        <v>679</v>
      </c>
      <c r="L39" t="s">
        <v>527</v>
      </c>
      <c r="M39" t="s">
        <v>534</v>
      </c>
      <c r="N39" t="s">
        <v>680</v>
      </c>
      <c r="O39" t="s">
        <v>534</v>
      </c>
      <c r="P39">
        <v>1</v>
      </c>
      <c r="Q39" t="s">
        <v>681</v>
      </c>
      <c r="R39">
        <v>370</v>
      </c>
    </row>
    <row r="40" ht="17.4" spans="2:18">
      <c r="B40" s="30">
        <v>46</v>
      </c>
      <c r="C40" s="31" t="s">
        <v>184</v>
      </c>
      <c r="D40" s="32" t="s">
        <v>528</v>
      </c>
      <c r="E40" s="33" t="s">
        <v>492</v>
      </c>
      <c r="F40" s="33" t="s">
        <v>640</v>
      </c>
      <c r="G40" s="30" t="s">
        <v>656</v>
      </c>
      <c r="H40" s="30" t="s">
        <v>682</v>
      </c>
      <c r="I40" s="30" t="s">
        <v>683</v>
      </c>
      <c r="K40" t="s">
        <v>684</v>
      </c>
      <c r="L40" t="s">
        <v>527</v>
      </c>
      <c r="M40" t="s">
        <v>534</v>
      </c>
      <c r="N40" t="s">
        <v>685</v>
      </c>
      <c r="O40" t="s">
        <v>534</v>
      </c>
      <c r="P40">
        <v>1</v>
      </c>
      <c r="Q40" t="s">
        <v>566</v>
      </c>
      <c r="R40">
        <v>4.7</v>
      </c>
    </row>
    <row r="41" ht="17.4" spans="2:18">
      <c r="B41" s="30">
        <v>47</v>
      </c>
      <c r="C41" s="31" t="s">
        <v>184</v>
      </c>
      <c r="D41" s="32" t="s">
        <v>528</v>
      </c>
      <c r="E41" s="33" t="s">
        <v>492</v>
      </c>
      <c r="F41" s="33" t="s">
        <v>640</v>
      </c>
      <c r="G41" s="30" t="s">
        <v>656</v>
      </c>
      <c r="H41" s="30" t="s">
        <v>686</v>
      </c>
      <c r="I41" s="30" t="s">
        <v>687</v>
      </c>
      <c r="K41" t="s">
        <v>688</v>
      </c>
      <c r="L41" t="s">
        <v>527</v>
      </c>
      <c r="M41" t="s">
        <v>534</v>
      </c>
      <c r="N41" t="s">
        <v>689</v>
      </c>
      <c r="O41" t="s">
        <v>534</v>
      </c>
      <c r="P41">
        <v>1</v>
      </c>
      <c r="Q41" t="s">
        <v>547</v>
      </c>
      <c r="R41">
        <v>55</v>
      </c>
    </row>
    <row r="42" ht="17.4" spans="2:18">
      <c r="B42" s="30">
        <v>1</v>
      </c>
      <c r="C42" s="31" t="s">
        <v>184</v>
      </c>
      <c r="D42" s="32" t="s">
        <v>528</v>
      </c>
      <c r="E42" s="33" t="s">
        <v>491</v>
      </c>
      <c r="F42" s="33" t="s">
        <v>529</v>
      </c>
      <c r="G42" s="30" t="s">
        <v>530</v>
      </c>
      <c r="H42" s="30" t="s">
        <v>531</v>
      </c>
      <c r="I42" s="30" t="s">
        <v>532</v>
      </c>
      <c r="K42" t="s">
        <v>690</v>
      </c>
      <c r="L42" t="s">
        <v>527</v>
      </c>
      <c r="M42" t="s">
        <v>534</v>
      </c>
      <c r="N42" t="s">
        <v>691</v>
      </c>
      <c r="O42" t="s">
        <v>534</v>
      </c>
      <c r="P42">
        <v>1</v>
      </c>
      <c r="Q42" t="s">
        <v>547</v>
      </c>
      <c r="R42">
        <v>47</v>
      </c>
    </row>
    <row r="43" ht="17.4" spans="2:18">
      <c r="B43" s="30">
        <v>2</v>
      </c>
      <c r="C43" s="31" t="s">
        <v>184</v>
      </c>
      <c r="D43" s="32" t="s">
        <v>528</v>
      </c>
      <c r="E43" s="33" t="s">
        <v>491</v>
      </c>
      <c r="F43" s="33" t="s">
        <v>529</v>
      </c>
      <c r="G43" s="30" t="s">
        <v>530</v>
      </c>
      <c r="H43" s="30" t="s">
        <v>537</v>
      </c>
      <c r="I43" s="30" t="s">
        <v>538</v>
      </c>
      <c r="K43" t="s">
        <v>692</v>
      </c>
      <c r="L43" t="s">
        <v>527</v>
      </c>
      <c r="M43" t="s">
        <v>534</v>
      </c>
      <c r="N43" t="s">
        <v>693</v>
      </c>
      <c r="O43" t="s">
        <v>534</v>
      </c>
      <c r="P43">
        <v>1</v>
      </c>
      <c r="Q43" t="s">
        <v>611</v>
      </c>
      <c r="R43">
        <v>424</v>
      </c>
    </row>
    <row r="44" ht="17.4" spans="2:18">
      <c r="B44" s="30">
        <v>3</v>
      </c>
      <c r="C44" s="31" t="s">
        <v>184</v>
      </c>
      <c r="D44" s="32" t="s">
        <v>528</v>
      </c>
      <c r="E44" s="33" t="s">
        <v>491</v>
      </c>
      <c r="F44" s="33" t="s">
        <v>529</v>
      </c>
      <c r="G44" s="30" t="s">
        <v>542</v>
      </c>
      <c r="H44" s="30" t="s">
        <v>543</v>
      </c>
      <c r="I44" s="30" t="s">
        <v>544</v>
      </c>
      <c r="K44" t="s">
        <v>533</v>
      </c>
      <c r="L44" t="s">
        <v>527</v>
      </c>
      <c r="M44" t="s">
        <v>534</v>
      </c>
      <c r="N44" t="s">
        <v>535</v>
      </c>
      <c r="O44" t="s">
        <v>534</v>
      </c>
      <c r="P44">
        <v>1</v>
      </c>
      <c r="Q44" t="s">
        <v>536</v>
      </c>
      <c r="R44">
        <v>920</v>
      </c>
    </row>
    <row r="45" ht="17.4" spans="2:18">
      <c r="B45" s="30">
        <v>4</v>
      </c>
      <c r="C45" s="31" t="s">
        <v>184</v>
      </c>
      <c r="D45" s="32" t="s">
        <v>528</v>
      </c>
      <c r="E45" s="33" t="s">
        <v>491</v>
      </c>
      <c r="F45" s="33" t="s">
        <v>529</v>
      </c>
      <c r="G45" s="30" t="s">
        <v>542</v>
      </c>
      <c r="H45" s="30" t="s">
        <v>548</v>
      </c>
      <c r="I45" s="30" t="s">
        <v>549</v>
      </c>
      <c r="K45" t="s">
        <v>539</v>
      </c>
      <c r="L45" t="s">
        <v>527</v>
      </c>
      <c r="M45" t="s">
        <v>534</v>
      </c>
      <c r="N45" t="s">
        <v>540</v>
      </c>
      <c r="O45" t="s">
        <v>534</v>
      </c>
      <c r="P45">
        <v>1</v>
      </c>
      <c r="Q45" t="s">
        <v>541</v>
      </c>
      <c r="R45">
        <v>380</v>
      </c>
    </row>
    <row r="46" ht="17.4" spans="2:18">
      <c r="B46" s="30">
        <v>5</v>
      </c>
      <c r="C46" s="31" t="s">
        <v>184</v>
      </c>
      <c r="D46" s="32" t="s">
        <v>528</v>
      </c>
      <c r="E46" s="33" t="s">
        <v>491</v>
      </c>
      <c r="F46" s="33" t="s">
        <v>694</v>
      </c>
      <c r="G46" s="30" t="s">
        <v>553</v>
      </c>
      <c r="H46" s="30" t="s">
        <v>554</v>
      </c>
      <c r="I46" s="30" t="s">
        <v>555</v>
      </c>
      <c r="K46" t="s">
        <v>545</v>
      </c>
      <c r="L46" t="s">
        <v>527</v>
      </c>
      <c r="M46" t="s">
        <v>534</v>
      </c>
      <c r="N46" t="s">
        <v>546</v>
      </c>
      <c r="O46" t="s">
        <v>534</v>
      </c>
      <c r="P46">
        <v>1</v>
      </c>
      <c r="Q46" t="s">
        <v>547</v>
      </c>
      <c r="R46">
        <v>14</v>
      </c>
    </row>
    <row r="47" ht="17.4" spans="2:18">
      <c r="B47" s="30">
        <v>6</v>
      </c>
      <c r="C47" s="31" t="s">
        <v>184</v>
      </c>
      <c r="D47" s="32" t="s">
        <v>528</v>
      </c>
      <c r="E47" s="33" t="s">
        <v>491</v>
      </c>
      <c r="F47" s="33" t="s">
        <v>694</v>
      </c>
      <c r="G47" s="30" t="s">
        <v>558</v>
      </c>
      <c r="H47" s="30" t="s">
        <v>559</v>
      </c>
      <c r="I47" s="30" t="s">
        <v>560</v>
      </c>
      <c r="K47" t="s">
        <v>550</v>
      </c>
      <c r="L47" t="s">
        <v>527</v>
      </c>
      <c r="M47" t="s">
        <v>534</v>
      </c>
      <c r="N47" t="s">
        <v>551</v>
      </c>
      <c r="O47" t="s">
        <v>534</v>
      </c>
      <c r="P47">
        <v>1</v>
      </c>
      <c r="Q47" t="s">
        <v>547</v>
      </c>
      <c r="R47">
        <v>33</v>
      </c>
    </row>
    <row r="48" ht="17.4" spans="2:18">
      <c r="B48" s="30">
        <v>7</v>
      </c>
      <c r="C48" s="31" t="s">
        <v>184</v>
      </c>
      <c r="D48" s="32" t="s">
        <v>528</v>
      </c>
      <c r="E48" s="33" t="s">
        <v>491</v>
      </c>
      <c r="F48" s="33" t="s">
        <v>694</v>
      </c>
      <c r="G48" s="30" t="s">
        <v>558</v>
      </c>
      <c r="H48" s="30" t="s">
        <v>695</v>
      </c>
      <c r="I48" s="30" t="s">
        <v>696</v>
      </c>
      <c r="K48" t="s">
        <v>556</v>
      </c>
      <c r="L48" t="s">
        <v>527</v>
      </c>
      <c r="M48" t="s">
        <v>534</v>
      </c>
      <c r="N48" t="s">
        <v>557</v>
      </c>
      <c r="O48" t="s">
        <v>534</v>
      </c>
      <c r="P48">
        <v>1</v>
      </c>
      <c r="Q48" t="s">
        <v>547</v>
      </c>
      <c r="R48">
        <v>0</v>
      </c>
    </row>
    <row r="49" ht="17.4" spans="2:18">
      <c r="B49" s="30">
        <v>7</v>
      </c>
      <c r="C49" s="31" t="s">
        <v>184</v>
      </c>
      <c r="D49" s="32" t="s">
        <v>528</v>
      </c>
      <c r="E49" s="33" t="s">
        <v>491</v>
      </c>
      <c r="F49" s="33" t="s">
        <v>694</v>
      </c>
      <c r="G49" s="30" t="s">
        <v>558</v>
      </c>
      <c r="H49" s="30" t="s">
        <v>697</v>
      </c>
      <c r="I49" s="30" t="s">
        <v>698</v>
      </c>
      <c r="K49" t="s">
        <v>561</v>
      </c>
      <c r="L49" t="s">
        <v>527</v>
      </c>
      <c r="M49" t="s">
        <v>534</v>
      </c>
      <c r="N49" t="s">
        <v>562</v>
      </c>
      <c r="O49" t="s">
        <v>534</v>
      </c>
      <c r="P49">
        <v>1</v>
      </c>
      <c r="Q49" t="s">
        <v>547</v>
      </c>
      <c r="R49">
        <v>223</v>
      </c>
    </row>
    <row r="50" ht="17.4" spans="2:18">
      <c r="B50" s="30">
        <v>9</v>
      </c>
      <c r="C50" s="31" t="s">
        <v>184</v>
      </c>
      <c r="D50" s="32" t="s">
        <v>528</v>
      </c>
      <c r="E50" s="33" t="s">
        <v>491</v>
      </c>
      <c r="F50" s="33" t="s">
        <v>694</v>
      </c>
      <c r="G50" s="30" t="s">
        <v>558</v>
      </c>
      <c r="H50" s="30" t="s">
        <v>479</v>
      </c>
      <c r="I50" s="30" t="s">
        <v>699</v>
      </c>
      <c r="K50" t="s">
        <v>565</v>
      </c>
      <c r="L50" t="s">
        <v>527</v>
      </c>
      <c r="M50" t="s">
        <v>534</v>
      </c>
      <c r="N50" t="s">
        <v>534</v>
      </c>
      <c r="O50" t="s">
        <v>534</v>
      </c>
      <c r="P50">
        <v>1</v>
      </c>
      <c r="Q50" t="s">
        <v>566</v>
      </c>
      <c r="R50">
        <v>640</v>
      </c>
    </row>
    <row r="51" ht="17.4" spans="2:18">
      <c r="B51" s="30">
        <v>9</v>
      </c>
      <c r="C51" s="31" t="s">
        <v>184</v>
      </c>
      <c r="D51" s="32" t="s">
        <v>528</v>
      </c>
      <c r="E51" s="33" t="s">
        <v>491</v>
      </c>
      <c r="F51" s="33" t="s">
        <v>694</v>
      </c>
      <c r="G51" s="30" t="s">
        <v>558</v>
      </c>
      <c r="H51" s="30" t="s">
        <v>633</v>
      </c>
      <c r="I51" s="30" t="s">
        <v>700</v>
      </c>
      <c r="K51" t="s">
        <v>569</v>
      </c>
      <c r="L51" t="s">
        <v>527</v>
      </c>
      <c r="M51" t="s">
        <v>534</v>
      </c>
      <c r="N51" t="s">
        <v>534</v>
      </c>
      <c r="O51" t="s">
        <v>534</v>
      </c>
      <c r="P51">
        <v>1</v>
      </c>
      <c r="Q51" t="s">
        <v>566</v>
      </c>
      <c r="R51">
        <v>425</v>
      </c>
    </row>
    <row r="52" ht="17.4" spans="2:18">
      <c r="B52" s="30">
        <v>10</v>
      </c>
      <c r="C52" s="31" t="s">
        <v>184</v>
      </c>
      <c r="D52" s="32" t="s">
        <v>528</v>
      </c>
      <c r="E52" s="33" t="s">
        <v>491</v>
      </c>
      <c r="F52" s="33" t="s">
        <v>694</v>
      </c>
      <c r="G52" s="30" t="s">
        <v>574</v>
      </c>
      <c r="H52" s="30" t="s">
        <v>575</v>
      </c>
      <c r="I52" s="30" t="s">
        <v>576</v>
      </c>
      <c r="K52" t="s">
        <v>572</v>
      </c>
      <c r="L52" t="s">
        <v>527</v>
      </c>
      <c r="M52" t="s">
        <v>534</v>
      </c>
      <c r="N52" t="s">
        <v>573</v>
      </c>
      <c r="O52" t="s">
        <v>534</v>
      </c>
      <c r="P52">
        <v>1</v>
      </c>
      <c r="Q52" t="s">
        <v>547</v>
      </c>
      <c r="R52">
        <v>959</v>
      </c>
    </row>
    <row r="53" ht="17.4" spans="2:18">
      <c r="B53" s="30">
        <v>11</v>
      </c>
      <c r="C53" s="31" t="s">
        <v>184</v>
      </c>
      <c r="D53" s="32" t="s">
        <v>528</v>
      </c>
      <c r="E53" s="33" t="s">
        <v>491</v>
      </c>
      <c r="F53" s="33" t="s">
        <v>694</v>
      </c>
      <c r="G53" s="30" t="s">
        <v>574</v>
      </c>
      <c r="H53" s="30" t="s">
        <v>578</v>
      </c>
      <c r="I53" s="30" t="s">
        <v>579</v>
      </c>
      <c r="K53" t="s">
        <v>577</v>
      </c>
      <c r="L53" t="s">
        <v>527</v>
      </c>
      <c r="M53" t="s">
        <v>534</v>
      </c>
      <c r="N53" t="s">
        <v>534</v>
      </c>
      <c r="O53" t="s">
        <v>534</v>
      </c>
      <c r="P53">
        <v>1</v>
      </c>
      <c r="Q53" t="s">
        <v>547</v>
      </c>
      <c r="R53">
        <v>1680</v>
      </c>
    </row>
    <row r="54" ht="17.4" spans="2:18">
      <c r="B54" s="30">
        <v>12</v>
      </c>
      <c r="C54" s="31" t="s">
        <v>184</v>
      </c>
      <c r="D54" s="32" t="s">
        <v>528</v>
      </c>
      <c r="E54" s="33" t="s">
        <v>491</v>
      </c>
      <c r="F54" s="33" t="s">
        <v>694</v>
      </c>
      <c r="G54" s="30" t="s">
        <v>582</v>
      </c>
      <c r="H54" s="30" t="s">
        <v>583</v>
      </c>
      <c r="I54" s="30" t="s">
        <v>584</v>
      </c>
      <c r="K54" t="s">
        <v>580</v>
      </c>
      <c r="L54" t="s">
        <v>527</v>
      </c>
      <c r="M54" t="s">
        <v>534</v>
      </c>
      <c r="N54" t="s">
        <v>581</v>
      </c>
      <c r="O54" t="s">
        <v>534</v>
      </c>
      <c r="P54">
        <v>1</v>
      </c>
      <c r="Q54" t="s">
        <v>547</v>
      </c>
      <c r="R54">
        <v>10</v>
      </c>
    </row>
    <row r="55" ht="17.4" spans="2:18">
      <c r="B55" s="30">
        <v>12</v>
      </c>
      <c r="C55" s="31" t="s">
        <v>184</v>
      </c>
      <c r="D55" s="32" t="s">
        <v>528</v>
      </c>
      <c r="E55" s="33" t="s">
        <v>491</v>
      </c>
      <c r="F55" s="33" t="s">
        <v>694</v>
      </c>
      <c r="G55" s="30" t="s">
        <v>582</v>
      </c>
      <c r="H55" s="30" t="s">
        <v>587</v>
      </c>
      <c r="I55" s="30" t="s">
        <v>588</v>
      </c>
      <c r="K55" t="s">
        <v>585</v>
      </c>
      <c r="L55" t="s">
        <v>527</v>
      </c>
      <c r="M55" t="s">
        <v>534</v>
      </c>
      <c r="N55" t="s">
        <v>586</v>
      </c>
      <c r="O55" t="s">
        <v>534</v>
      </c>
      <c r="P55">
        <v>1</v>
      </c>
      <c r="Q55" t="s">
        <v>547</v>
      </c>
      <c r="R55">
        <v>74</v>
      </c>
    </row>
    <row r="56" ht="17.4" spans="2:18">
      <c r="B56" s="30">
        <v>13</v>
      </c>
      <c r="C56" s="31" t="s">
        <v>184</v>
      </c>
      <c r="D56" s="32" t="s">
        <v>528</v>
      </c>
      <c r="E56" s="33" t="s">
        <v>491</v>
      </c>
      <c r="F56" s="33" t="s">
        <v>694</v>
      </c>
      <c r="G56" s="30" t="s">
        <v>553</v>
      </c>
      <c r="H56" s="30" t="s">
        <v>591</v>
      </c>
      <c r="I56" s="30" t="s">
        <v>592</v>
      </c>
      <c r="K56" t="s">
        <v>589</v>
      </c>
      <c r="L56" t="s">
        <v>527</v>
      </c>
      <c r="M56" t="s">
        <v>534</v>
      </c>
      <c r="N56" t="s">
        <v>590</v>
      </c>
      <c r="O56" t="s">
        <v>534</v>
      </c>
      <c r="P56">
        <v>1</v>
      </c>
      <c r="Q56" t="s">
        <v>547</v>
      </c>
      <c r="R56">
        <v>84</v>
      </c>
    </row>
    <row r="57" ht="17.4" spans="2:18">
      <c r="B57" s="30">
        <v>14</v>
      </c>
      <c r="C57" s="31" t="s">
        <v>184</v>
      </c>
      <c r="D57" s="32" t="s">
        <v>528</v>
      </c>
      <c r="E57" s="33" t="s">
        <v>491</v>
      </c>
      <c r="F57" s="33" t="s">
        <v>694</v>
      </c>
      <c r="G57" s="30" t="s">
        <v>595</v>
      </c>
      <c r="H57" s="30" t="s">
        <v>596</v>
      </c>
      <c r="I57" s="30" t="s">
        <v>597</v>
      </c>
      <c r="K57" t="s">
        <v>593</v>
      </c>
      <c r="L57" t="s">
        <v>527</v>
      </c>
      <c r="M57" t="s">
        <v>534</v>
      </c>
      <c r="N57" t="s">
        <v>594</v>
      </c>
      <c r="O57" t="s">
        <v>534</v>
      </c>
      <c r="P57">
        <v>1</v>
      </c>
      <c r="Q57" t="s">
        <v>547</v>
      </c>
      <c r="R57">
        <v>165</v>
      </c>
    </row>
    <row r="58" ht="17.4" spans="2:18">
      <c r="B58" s="30">
        <v>15</v>
      </c>
      <c r="C58" s="31" t="s">
        <v>184</v>
      </c>
      <c r="D58" s="32" t="s">
        <v>528</v>
      </c>
      <c r="E58" s="33" t="s">
        <v>491</v>
      </c>
      <c r="F58" s="33" t="s">
        <v>694</v>
      </c>
      <c r="G58" s="30" t="s">
        <v>558</v>
      </c>
      <c r="H58" s="30" t="s">
        <v>599</v>
      </c>
      <c r="I58" s="30" t="s">
        <v>600</v>
      </c>
      <c r="K58" t="s">
        <v>598</v>
      </c>
      <c r="L58" t="s">
        <v>527</v>
      </c>
      <c r="M58" t="s">
        <v>534</v>
      </c>
      <c r="N58" t="s">
        <v>534</v>
      </c>
      <c r="O58" t="s">
        <v>534</v>
      </c>
      <c r="P58">
        <v>1</v>
      </c>
      <c r="Q58" t="s">
        <v>547</v>
      </c>
      <c r="R58">
        <v>43</v>
      </c>
    </row>
    <row r="59" ht="17.4" spans="2:18">
      <c r="B59" s="30">
        <v>16</v>
      </c>
      <c r="C59" s="31" t="s">
        <v>184</v>
      </c>
      <c r="D59" s="32" t="s">
        <v>528</v>
      </c>
      <c r="E59" s="33" t="s">
        <v>491</v>
      </c>
      <c r="F59" s="33" t="s">
        <v>694</v>
      </c>
      <c r="G59" s="30" t="s">
        <v>602</v>
      </c>
      <c r="H59" s="30" t="s">
        <v>603</v>
      </c>
      <c r="I59" s="30" t="s">
        <v>604</v>
      </c>
      <c r="K59" t="s">
        <v>601</v>
      </c>
      <c r="L59" t="s">
        <v>527</v>
      </c>
      <c r="M59" t="s">
        <v>534</v>
      </c>
      <c r="N59" t="s">
        <v>590</v>
      </c>
      <c r="O59" t="s">
        <v>534</v>
      </c>
      <c r="P59">
        <v>1</v>
      </c>
      <c r="Q59" t="s">
        <v>547</v>
      </c>
      <c r="R59">
        <v>425</v>
      </c>
    </row>
    <row r="60" ht="17.4" spans="2:18">
      <c r="B60" s="30">
        <v>17</v>
      </c>
      <c r="C60" s="31" t="s">
        <v>184</v>
      </c>
      <c r="D60" s="32" t="s">
        <v>528</v>
      </c>
      <c r="E60" s="33" t="s">
        <v>491</v>
      </c>
      <c r="F60" s="33" t="s">
        <v>694</v>
      </c>
      <c r="G60" s="30" t="s">
        <v>558</v>
      </c>
      <c r="H60" s="30" t="s">
        <v>607</v>
      </c>
      <c r="I60" s="30" t="s">
        <v>608</v>
      </c>
      <c r="K60" t="s">
        <v>605</v>
      </c>
      <c r="L60" t="s">
        <v>527</v>
      </c>
      <c r="M60" t="s">
        <v>534</v>
      </c>
      <c r="N60" t="s">
        <v>606</v>
      </c>
      <c r="O60" t="s">
        <v>534</v>
      </c>
      <c r="P60">
        <v>1</v>
      </c>
      <c r="Q60" t="s">
        <v>547</v>
      </c>
      <c r="R60">
        <v>77</v>
      </c>
    </row>
    <row r="61" ht="17.4" spans="2:18">
      <c r="B61" s="30">
        <v>18</v>
      </c>
      <c r="C61" s="31" t="s">
        <v>184</v>
      </c>
      <c r="D61" s="32" t="s">
        <v>528</v>
      </c>
      <c r="E61" s="33" t="s">
        <v>491</v>
      </c>
      <c r="F61" s="33" t="s">
        <v>694</v>
      </c>
      <c r="G61" s="30" t="s">
        <v>530</v>
      </c>
      <c r="H61" s="30" t="s">
        <v>612</v>
      </c>
      <c r="I61" s="30" t="s">
        <v>613</v>
      </c>
      <c r="K61" t="s">
        <v>609</v>
      </c>
      <c r="L61" t="s">
        <v>527</v>
      </c>
      <c r="M61" t="s">
        <v>534</v>
      </c>
      <c r="N61" t="s">
        <v>610</v>
      </c>
      <c r="O61" t="s">
        <v>534</v>
      </c>
      <c r="P61">
        <v>1</v>
      </c>
      <c r="Q61" t="s">
        <v>611</v>
      </c>
      <c r="R61">
        <v>415</v>
      </c>
    </row>
    <row r="62" ht="17.4" spans="2:18">
      <c r="B62" s="30">
        <v>19</v>
      </c>
      <c r="C62" s="31" t="s">
        <v>184</v>
      </c>
      <c r="D62" s="32" t="s">
        <v>528</v>
      </c>
      <c r="E62" s="33" t="s">
        <v>491</v>
      </c>
      <c r="F62" s="33" t="s">
        <v>694</v>
      </c>
      <c r="G62" s="30" t="s">
        <v>617</v>
      </c>
      <c r="H62" s="30" t="s">
        <v>618</v>
      </c>
      <c r="I62" s="30" t="s">
        <v>619</v>
      </c>
      <c r="K62" t="s">
        <v>614</v>
      </c>
      <c r="L62" t="s">
        <v>527</v>
      </c>
      <c r="M62" t="s">
        <v>534</v>
      </c>
      <c r="N62" t="s">
        <v>615</v>
      </c>
      <c r="O62" t="s">
        <v>534</v>
      </c>
      <c r="P62">
        <v>1</v>
      </c>
      <c r="Q62" t="s">
        <v>616</v>
      </c>
      <c r="R62">
        <v>53</v>
      </c>
    </row>
    <row r="63" ht="17.4" spans="2:18">
      <c r="B63" s="30">
        <v>24</v>
      </c>
      <c r="C63" s="31" t="s">
        <v>184</v>
      </c>
      <c r="D63" s="32" t="s">
        <v>528</v>
      </c>
      <c r="E63" s="33" t="s">
        <v>491</v>
      </c>
      <c r="F63" s="33" t="s">
        <v>694</v>
      </c>
      <c r="G63" s="30" t="s">
        <v>595</v>
      </c>
      <c r="H63" s="30" t="s">
        <v>626</v>
      </c>
      <c r="I63" s="30" t="s">
        <v>627</v>
      </c>
      <c r="K63" t="s">
        <v>623</v>
      </c>
      <c r="L63" t="s">
        <v>527</v>
      </c>
      <c r="M63" t="s">
        <v>534</v>
      </c>
      <c r="N63" t="s">
        <v>624</v>
      </c>
      <c r="O63" t="s">
        <v>534</v>
      </c>
      <c r="P63">
        <v>1</v>
      </c>
      <c r="Q63" t="s">
        <v>625</v>
      </c>
      <c r="R63">
        <v>53</v>
      </c>
    </row>
    <row r="64" ht="17.4" spans="2:18">
      <c r="B64" s="30">
        <v>33</v>
      </c>
      <c r="C64" s="31" t="s">
        <v>184</v>
      </c>
      <c r="D64" s="32" t="s">
        <v>528</v>
      </c>
      <c r="E64" s="33" t="s">
        <v>491</v>
      </c>
      <c r="F64" s="33" t="s">
        <v>694</v>
      </c>
      <c r="G64" s="30" t="s">
        <v>558</v>
      </c>
      <c r="H64" s="30" t="s">
        <v>636</v>
      </c>
      <c r="I64" s="30" t="s">
        <v>637</v>
      </c>
      <c r="K64" t="s">
        <v>628</v>
      </c>
      <c r="L64" t="s">
        <v>527</v>
      </c>
      <c r="M64" t="s">
        <v>534</v>
      </c>
      <c r="N64" t="s">
        <v>629</v>
      </c>
      <c r="O64" t="s">
        <v>534</v>
      </c>
      <c r="P64">
        <v>1</v>
      </c>
      <c r="Q64" t="s">
        <v>547</v>
      </c>
      <c r="R64">
        <v>81</v>
      </c>
    </row>
    <row r="65" ht="17.4" spans="2:18">
      <c r="B65" s="30">
        <v>20</v>
      </c>
      <c r="C65" s="31" t="s">
        <v>184</v>
      </c>
      <c r="D65" s="32" t="s">
        <v>528</v>
      </c>
      <c r="E65" s="33" t="s">
        <v>491</v>
      </c>
      <c r="F65" s="33" t="s">
        <v>694</v>
      </c>
      <c r="G65" s="30" t="s">
        <v>558</v>
      </c>
      <c r="H65" s="30" t="s">
        <v>475</v>
      </c>
      <c r="I65" s="30" t="s">
        <v>622</v>
      </c>
      <c r="K65" t="s">
        <v>631</v>
      </c>
      <c r="L65" t="s">
        <v>527</v>
      </c>
      <c r="M65" t="s">
        <v>534</v>
      </c>
      <c r="N65" t="s">
        <v>534</v>
      </c>
      <c r="O65" t="s">
        <v>534</v>
      </c>
      <c r="P65">
        <v>1</v>
      </c>
      <c r="Q65" t="s">
        <v>632</v>
      </c>
      <c r="R65">
        <v>1086</v>
      </c>
    </row>
    <row r="66" ht="17.4" spans="2:18">
      <c r="B66" s="30">
        <v>27</v>
      </c>
      <c r="C66" s="31" t="s">
        <v>184</v>
      </c>
      <c r="D66" s="32" t="s">
        <v>528</v>
      </c>
      <c r="E66" s="33" t="s">
        <v>491</v>
      </c>
      <c r="F66" s="33" t="s">
        <v>552</v>
      </c>
      <c r="G66" s="30" t="s">
        <v>530</v>
      </c>
      <c r="H66" s="30" t="s">
        <v>701</v>
      </c>
      <c r="I66" s="30" t="s">
        <v>702</v>
      </c>
      <c r="K66" t="s">
        <v>635</v>
      </c>
      <c r="L66" t="s">
        <v>527</v>
      </c>
      <c r="M66" t="s">
        <v>534</v>
      </c>
      <c r="N66" t="s">
        <v>534</v>
      </c>
      <c r="O66" t="s">
        <v>534</v>
      </c>
      <c r="P66">
        <v>1</v>
      </c>
      <c r="Q66" t="s">
        <v>547</v>
      </c>
      <c r="R66">
        <v>41</v>
      </c>
    </row>
    <row r="67" ht="17.4" spans="2:18">
      <c r="B67" s="30">
        <v>27</v>
      </c>
      <c r="C67" s="31" t="s">
        <v>184</v>
      </c>
      <c r="D67" s="32" t="s">
        <v>528</v>
      </c>
      <c r="E67" s="33" t="s">
        <v>491</v>
      </c>
      <c r="F67" s="33" t="s">
        <v>552</v>
      </c>
      <c r="G67" s="30" t="s">
        <v>558</v>
      </c>
      <c r="H67" s="30" t="s">
        <v>563</v>
      </c>
      <c r="I67" s="30" t="s">
        <v>564</v>
      </c>
      <c r="K67" t="s">
        <v>638</v>
      </c>
      <c r="L67" t="s">
        <v>527</v>
      </c>
      <c r="M67" t="s">
        <v>534</v>
      </c>
      <c r="N67" t="s">
        <v>639</v>
      </c>
      <c r="O67" t="s">
        <v>534</v>
      </c>
      <c r="P67">
        <v>1</v>
      </c>
      <c r="Q67" t="s">
        <v>566</v>
      </c>
      <c r="R67">
        <v>331</v>
      </c>
    </row>
    <row r="68" ht="17.4" spans="2:18">
      <c r="B68" s="30">
        <v>27</v>
      </c>
      <c r="C68" s="31" t="s">
        <v>184</v>
      </c>
      <c r="D68" s="32" t="s">
        <v>528</v>
      </c>
      <c r="E68" s="33" t="s">
        <v>491</v>
      </c>
      <c r="F68" s="33" t="s">
        <v>552</v>
      </c>
      <c r="G68" s="30" t="s">
        <v>558</v>
      </c>
      <c r="H68" s="30" t="s">
        <v>567</v>
      </c>
      <c r="I68" s="30" t="s">
        <v>568</v>
      </c>
      <c r="K68" t="s">
        <v>643</v>
      </c>
      <c r="L68" t="s">
        <v>527</v>
      </c>
      <c r="M68" t="s">
        <v>534</v>
      </c>
      <c r="N68" t="s">
        <v>644</v>
      </c>
      <c r="O68" t="s">
        <v>534</v>
      </c>
      <c r="P68">
        <v>1</v>
      </c>
      <c r="Q68" t="s">
        <v>541</v>
      </c>
      <c r="R68">
        <v>92</v>
      </c>
    </row>
    <row r="69" ht="17.4" spans="2:18">
      <c r="B69" s="30">
        <v>27</v>
      </c>
      <c r="C69" s="31" t="s">
        <v>184</v>
      </c>
      <c r="D69" s="32" t="s">
        <v>528</v>
      </c>
      <c r="E69" s="33" t="s">
        <v>491</v>
      </c>
      <c r="F69" s="33" t="s">
        <v>552</v>
      </c>
      <c r="G69" s="30" t="s">
        <v>558</v>
      </c>
      <c r="H69" s="30" t="s">
        <v>570</v>
      </c>
      <c r="I69" s="30" t="s">
        <v>571</v>
      </c>
      <c r="K69" t="s">
        <v>647</v>
      </c>
      <c r="L69" t="s">
        <v>527</v>
      </c>
      <c r="M69" t="s">
        <v>534</v>
      </c>
      <c r="N69" t="s">
        <v>534</v>
      </c>
      <c r="O69" t="s">
        <v>534</v>
      </c>
      <c r="P69">
        <v>1</v>
      </c>
      <c r="Q69" t="s">
        <v>648</v>
      </c>
      <c r="R69">
        <v>58</v>
      </c>
    </row>
    <row r="70" ht="17.4" spans="2:18">
      <c r="B70" s="30">
        <v>33</v>
      </c>
      <c r="C70" s="31" t="s">
        <v>184</v>
      </c>
      <c r="D70" s="32" t="s">
        <v>528</v>
      </c>
      <c r="E70" s="33" t="s">
        <v>491</v>
      </c>
      <c r="F70" s="33" t="s">
        <v>552</v>
      </c>
      <c r="G70" s="30" t="s">
        <v>530</v>
      </c>
      <c r="H70" s="30" t="s">
        <v>612</v>
      </c>
      <c r="I70" s="30" t="s">
        <v>613</v>
      </c>
      <c r="K70" t="s">
        <v>651</v>
      </c>
      <c r="L70" t="s">
        <v>527</v>
      </c>
      <c r="M70" t="s">
        <v>534</v>
      </c>
      <c r="N70" t="s">
        <v>534</v>
      </c>
      <c r="O70" t="s">
        <v>534</v>
      </c>
      <c r="P70">
        <v>1</v>
      </c>
      <c r="Q70" t="s">
        <v>547</v>
      </c>
      <c r="R70">
        <v>507</v>
      </c>
    </row>
    <row r="71" ht="17.4" spans="2:18">
      <c r="B71" s="30">
        <v>33</v>
      </c>
      <c r="C71" s="31" t="s">
        <v>184</v>
      </c>
      <c r="D71" s="32" t="s">
        <v>528</v>
      </c>
      <c r="E71" s="33" t="s">
        <v>491</v>
      </c>
      <c r="F71" s="33" t="s">
        <v>552</v>
      </c>
      <c r="G71" s="30" t="s">
        <v>617</v>
      </c>
      <c r="H71" s="30" t="s">
        <v>618</v>
      </c>
      <c r="I71" s="30" t="s">
        <v>703</v>
      </c>
      <c r="K71" t="s">
        <v>654</v>
      </c>
      <c r="L71" t="s">
        <v>527</v>
      </c>
      <c r="M71" t="s">
        <v>534</v>
      </c>
      <c r="N71" t="s">
        <v>655</v>
      </c>
      <c r="O71" t="s">
        <v>534</v>
      </c>
      <c r="P71">
        <v>1</v>
      </c>
      <c r="Q71" t="s">
        <v>566</v>
      </c>
      <c r="R71">
        <v>242</v>
      </c>
    </row>
    <row r="72" ht="17.4" spans="2:18">
      <c r="B72" s="30">
        <v>33</v>
      </c>
      <c r="C72" s="31" t="s">
        <v>184</v>
      </c>
      <c r="D72" s="32" t="s">
        <v>528</v>
      </c>
      <c r="E72" s="33" t="s">
        <v>491</v>
      </c>
      <c r="F72" s="33" t="s">
        <v>552</v>
      </c>
      <c r="G72" s="30" t="s">
        <v>574</v>
      </c>
      <c r="H72" s="30" t="s">
        <v>575</v>
      </c>
      <c r="I72" s="30" t="s">
        <v>576</v>
      </c>
      <c r="K72" t="s">
        <v>704</v>
      </c>
      <c r="L72" t="s">
        <v>527</v>
      </c>
      <c r="M72" t="s">
        <v>534</v>
      </c>
      <c r="N72" t="s">
        <v>705</v>
      </c>
      <c r="O72" t="s">
        <v>534</v>
      </c>
      <c r="P72">
        <v>1</v>
      </c>
      <c r="Q72" t="s">
        <v>611</v>
      </c>
      <c r="R72">
        <v>290</v>
      </c>
    </row>
    <row r="73" ht="17.4" spans="2:18">
      <c r="B73" s="30">
        <v>33</v>
      </c>
      <c r="C73" s="31" t="s">
        <v>184</v>
      </c>
      <c r="D73" s="32" t="s">
        <v>528</v>
      </c>
      <c r="E73" s="33" t="s">
        <v>491</v>
      </c>
      <c r="F73" s="33" t="s">
        <v>552</v>
      </c>
      <c r="G73" s="30" t="s">
        <v>574</v>
      </c>
      <c r="H73" s="30" t="s">
        <v>578</v>
      </c>
      <c r="I73" s="30" t="s">
        <v>579</v>
      </c>
      <c r="K73" t="s">
        <v>706</v>
      </c>
      <c r="L73" t="s">
        <v>527</v>
      </c>
      <c r="M73" t="s">
        <v>534</v>
      </c>
      <c r="N73" t="s">
        <v>707</v>
      </c>
      <c r="O73" t="s">
        <v>534</v>
      </c>
      <c r="P73">
        <v>1</v>
      </c>
      <c r="Q73" t="s">
        <v>547</v>
      </c>
      <c r="R73">
        <v>100</v>
      </c>
    </row>
    <row r="74" ht="17.4" spans="2:18">
      <c r="B74" s="30">
        <v>13</v>
      </c>
      <c r="C74" s="31" t="s">
        <v>184</v>
      </c>
      <c r="D74" s="32" t="s">
        <v>528</v>
      </c>
      <c r="E74" s="33" t="s">
        <v>491</v>
      </c>
      <c r="F74" s="33" t="s">
        <v>552</v>
      </c>
      <c r="G74" s="30" t="s">
        <v>553</v>
      </c>
      <c r="H74" s="30" t="s">
        <v>591</v>
      </c>
      <c r="I74" s="30" t="s">
        <v>592</v>
      </c>
      <c r="K74" t="s">
        <v>708</v>
      </c>
      <c r="L74" t="s">
        <v>527</v>
      </c>
      <c r="M74" t="s">
        <v>534</v>
      </c>
      <c r="N74" t="s">
        <v>709</v>
      </c>
      <c r="O74" t="s">
        <v>534</v>
      </c>
      <c r="P74">
        <v>1</v>
      </c>
      <c r="Q74" t="s">
        <v>625</v>
      </c>
      <c r="R74">
        <v>55</v>
      </c>
    </row>
    <row r="75" ht="17.4" spans="2:18">
      <c r="B75" s="30">
        <v>12</v>
      </c>
      <c r="C75" s="31" t="s">
        <v>184</v>
      </c>
      <c r="D75" s="32" t="s">
        <v>528</v>
      </c>
      <c r="E75" s="33" t="s">
        <v>491</v>
      </c>
      <c r="F75" s="33" t="s">
        <v>552</v>
      </c>
      <c r="G75" s="30" t="s">
        <v>582</v>
      </c>
      <c r="H75" s="30" t="s">
        <v>583</v>
      </c>
      <c r="I75" s="30" t="s">
        <v>584</v>
      </c>
      <c r="K75" t="s">
        <v>710</v>
      </c>
      <c r="L75" t="s">
        <v>527</v>
      </c>
      <c r="M75" t="s">
        <v>534</v>
      </c>
      <c r="N75" t="s">
        <v>590</v>
      </c>
      <c r="O75" t="s">
        <v>534</v>
      </c>
      <c r="P75">
        <v>1</v>
      </c>
      <c r="Q75" t="s">
        <v>547</v>
      </c>
      <c r="R75">
        <v>66.26</v>
      </c>
    </row>
    <row r="76" ht="17.4" spans="2:18">
      <c r="B76" s="30">
        <v>35</v>
      </c>
      <c r="C76" s="31" t="s">
        <v>184</v>
      </c>
      <c r="D76" s="32" t="s">
        <v>528</v>
      </c>
      <c r="E76" s="33" t="s">
        <v>491</v>
      </c>
      <c r="F76" s="33" t="s">
        <v>640</v>
      </c>
      <c r="G76" s="30" t="s">
        <v>530</v>
      </c>
      <c r="H76" s="30" t="s">
        <v>641</v>
      </c>
      <c r="I76" s="30" t="s">
        <v>642</v>
      </c>
      <c r="K76" t="s">
        <v>711</v>
      </c>
      <c r="L76" t="s">
        <v>527</v>
      </c>
      <c r="M76" t="s">
        <v>534</v>
      </c>
      <c r="N76" t="s">
        <v>712</v>
      </c>
      <c r="O76" t="s">
        <v>534</v>
      </c>
      <c r="P76">
        <v>1</v>
      </c>
      <c r="Q76" t="s">
        <v>547</v>
      </c>
      <c r="R76">
        <v>101</v>
      </c>
    </row>
    <row r="77" ht="17.4" spans="2:18">
      <c r="B77" s="30">
        <v>37</v>
      </c>
      <c r="C77" s="31" t="s">
        <v>184</v>
      </c>
      <c r="D77" s="32" t="s">
        <v>528</v>
      </c>
      <c r="E77" s="33" t="s">
        <v>491</v>
      </c>
      <c r="F77" s="33" t="s">
        <v>640</v>
      </c>
      <c r="G77" s="30" t="s">
        <v>574</v>
      </c>
      <c r="H77" s="30" t="s">
        <v>645</v>
      </c>
      <c r="I77" s="30" t="s">
        <v>646</v>
      </c>
      <c r="K77" t="s">
        <v>713</v>
      </c>
      <c r="L77" t="s">
        <v>527</v>
      </c>
      <c r="M77" t="s">
        <v>534</v>
      </c>
      <c r="N77" t="s">
        <v>714</v>
      </c>
      <c r="O77" t="s">
        <v>534</v>
      </c>
      <c r="P77">
        <v>1</v>
      </c>
      <c r="Q77" t="s">
        <v>547</v>
      </c>
      <c r="R77">
        <v>418</v>
      </c>
    </row>
    <row r="78" ht="17.4" spans="2:18">
      <c r="B78" s="30">
        <v>38</v>
      </c>
      <c r="C78" s="31" t="s">
        <v>184</v>
      </c>
      <c r="D78" s="32" t="s">
        <v>528</v>
      </c>
      <c r="E78" s="33" t="s">
        <v>491</v>
      </c>
      <c r="F78" s="33" t="s">
        <v>640</v>
      </c>
      <c r="G78" s="30" t="s">
        <v>558</v>
      </c>
      <c r="H78" s="30" t="s">
        <v>649</v>
      </c>
      <c r="I78" s="30" t="s">
        <v>650</v>
      </c>
      <c r="K78" t="s">
        <v>715</v>
      </c>
      <c r="L78" t="s">
        <v>527</v>
      </c>
      <c r="M78" t="s">
        <v>534</v>
      </c>
      <c r="N78" t="s">
        <v>716</v>
      </c>
      <c r="O78" t="s">
        <v>534</v>
      </c>
      <c r="P78">
        <v>1</v>
      </c>
      <c r="Q78" t="s">
        <v>547</v>
      </c>
      <c r="R78">
        <v>37</v>
      </c>
    </row>
    <row r="79" ht="17.4" spans="2:18">
      <c r="B79" s="30">
        <v>39</v>
      </c>
      <c r="C79" s="31" t="s">
        <v>184</v>
      </c>
      <c r="D79" s="32" t="s">
        <v>528</v>
      </c>
      <c r="E79" s="33" t="s">
        <v>491</v>
      </c>
      <c r="F79" s="33" t="s">
        <v>640</v>
      </c>
      <c r="G79" s="30" t="s">
        <v>582</v>
      </c>
      <c r="H79" s="30" t="s">
        <v>652</v>
      </c>
      <c r="I79" s="30" t="s">
        <v>653</v>
      </c>
      <c r="K79" t="s">
        <v>679</v>
      </c>
      <c r="L79" t="s">
        <v>527</v>
      </c>
      <c r="M79" t="s">
        <v>534</v>
      </c>
      <c r="N79" t="s">
        <v>680</v>
      </c>
      <c r="O79" t="s">
        <v>534</v>
      </c>
      <c r="P79">
        <v>1</v>
      </c>
      <c r="Q79" t="s">
        <v>681</v>
      </c>
      <c r="R79">
        <v>370</v>
      </c>
    </row>
    <row r="80" ht="17.4" spans="2:18">
      <c r="B80" s="30">
        <v>40</v>
      </c>
      <c r="C80" s="31" t="s">
        <v>184</v>
      </c>
      <c r="D80" s="32" t="s">
        <v>528</v>
      </c>
      <c r="E80" s="33" t="s">
        <v>491</v>
      </c>
      <c r="F80" s="33" t="s">
        <v>640</v>
      </c>
      <c r="G80" s="30" t="s">
        <v>656</v>
      </c>
      <c r="H80" s="30" t="s">
        <v>657</v>
      </c>
      <c r="I80" s="30" t="s">
        <v>658</v>
      </c>
      <c r="K80" t="s">
        <v>684</v>
      </c>
      <c r="L80" t="s">
        <v>527</v>
      </c>
      <c r="M80" t="s">
        <v>534</v>
      </c>
      <c r="N80" t="s">
        <v>685</v>
      </c>
      <c r="O80" t="s">
        <v>534</v>
      </c>
      <c r="P80">
        <v>1</v>
      </c>
      <c r="Q80" t="s">
        <v>566</v>
      </c>
      <c r="R80">
        <v>4.7</v>
      </c>
    </row>
    <row r="81" ht="17.4" spans="2:18">
      <c r="B81" s="30">
        <v>41</v>
      </c>
      <c r="C81" s="31" t="s">
        <v>184</v>
      </c>
      <c r="D81" s="32" t="s">
        <v>528</v>
      </c>
      <c r="E81" s="33" t="s">
        <v>491</v>
      </c>
      <c r="F81" s="33" t="s">
        <v>640</v>
      </c>
      <c r="G81" s="30" t="s">
        <v>656</v>
      </c>
      <c r="H81" s="30" t="s">
        <v>661</v>
      </c>
      <c r="I81" s="30" t="s">
        <v>662</v>
      </c>
      <c r="K81" t="s">
        <v>717</v>
      </c>
      <c r="L81" t="s">
        <v>527</v>
      </c>
      <c r="M81" t="s">
        <v>534</v>
      </c>
      <c r="N81" t="s">
        <v>718</v>
      </c>
      <c r="O81" t="s">
        <v>534</v>
      </c>
      <c r="P81">
        <v>1</v>
      </c>
      <c r="Q81" t="s">
        <v>632</v>
      </c>
      <c r="R81">
        <v>370</v>
      </c>
    </row>
    <row r="82" ht="17.4" spans="2:18">
      <c r="B82" s="30">
        <v>42</v>
      </c>
      <c r="C82" s="31" t="s">
        <v>184</v>
      </c>
      <c r="D82" s="32" t="s">
        <v>528</v>
      </c>
      <c r="E82" s="33" t="s">
        <v>491</v>
      </c>
      <c r="F82" s="33" t="s">
        <v>640</v>
      </c>
      <c r="G82" s="30" t="s">
        <v>656</v>
      </c>
      <c r="H82" s="30" t="s">
        <v>665</v>
      </c>
      <c r="I82" s="30" t="s">
        <v>666</v>
      </c>
      <c r="K82" t="s">
        <v>719</v>
      </c>
      <c r="L82" t="s">
        <v>527</v>
      </c>
      <c r="M82" t="s">
        <v>534</v>
      </c>
      <c r="N82" t="s">
        <v>720</v>
      </c>
      <c r="O82" t="s">
        <v>534</v>
      </c>
      <c r="P82">
        <v>1</v>
      </c>
      <c r="Q82" t="s">
        <v>547</v>
      </c>
      <c r="R82">
        <v>39.5</v>
      </c>
    </row>
    <row r="83" ht="17.4" spans="2:18">
      <c r="B83" s="30">
        <v>43</v>
      </c>
      <c r="C83" s="31" t="s">
        <v>184</v>
      </c>
      <c r="D83" s="32" t="s">
        <v>528</v>
      </c>
      <c r="E83" s="33" t="s">
        <v>491</v>
      </c>
      <c r="F83" s="33" t="s">
        <v>640</v>
      </c>
      <c r="G83" s="30" t="s">
        <v>574</v>
      </c>
      <c r="H83" s="30" t="s">
        <v>669</v>
      </c>
      <c r="I83" s="30" t="s">
        <v>721</v>
      </c>
      <c r="K83" t="s">
        <v>722</v>
      </c>
      <c r="L83" t="s">
        <v>527</v>
      </c>
      <c r="M83" t="s">
        <v>534</v>
      </c>
      <c r="N83" t="s">
        <v>720</v>
      </c>
      <c r="O83" t="s">
        <v>534</v>
      </c>
      <c r="P83">
        <v>1</v>
      </c>
      <c r="Q83" t="s">
        <v>547</v>
      </c>
      <c r="R83">
        <v>17.2</v>
      </c>
    </row>
    <row r="84" ht="17.4" spans="2:18">
      <c r="B84" s="30">
        <v>44</v>
      </c>
      <c r="C84" s="31" t="s">
        <v>184</v>
      </c>
      <c r="D84" s="32" t="s">
        <v>528</v>
      </c>
      <c r="E84" s="33" t="s">
        <v>491</v>
      </c>
      <c r="F84" s="33" t="s">
        <v>640</v>
      </c>
      <c r="G84" s="30" t="s">
        <v>542</v>
      </c>
      <c r="H84" s="30" t="s">
        <v>673</v>
      </c>
      <c r="I84" s="30" t="s">
        <v>674</v>
      </c>
      <c r="K84" t="s">
        <v>533</v>
      </c>
      <c r="L84" t="s">
        <v>527</v>
      </c>
      <c r="M84" t="s">
        <v>534</v>
      </c>
      <c r="N84" t="s">
        <v>535</v>
      </c>
      <c r="O84" t="s">
        <v>534</v>
      </c>
      <c r="P84">
        <v>1</v>
      </c>
      <c r="Q84" t="s">
        <v>536</v>
      </c>
      <c r="R84">
        <v>920</v>
      </c>
    </row>
    <row r="85" ht="17.4" spans="2:18">
      <c r="B85" s="30">
        <v>45</v>
      </c>
      <c r="C85" s="31" t="s">
        <v>184</v>
      </c>
      <c r="D85" s="32" t="s">
        <v>528</v>
      </c>
      <c r="E85" s="33" t="s">
        <v>491</v>
      </c>
      <c r="F85" s="33" t="s">
        <v>640</v>
      </c>
      <c r="G85" s="30" t="s">
        <v>656</v>
      </c>
      <c r="H85" s="30" t="s">
        <v>677</v>
      </c>
      <c r="I85" s="30" t="s">
        <v>678</v>
      </c>
      <c r="K85" t="s">
        <v>539</v>
      </c>
      <c r="L85" t="s">
        <v>527</v>
      </c>
      <c r="M85" t="s">
        <v>534</v>
      </c>
      <c r="N85" t="s">
        <v>540</v>
      </c>
      <c r="O85" t="s">
        <v>534</v>
      </c>
      <c r="P85">
        <v>1</v>
      </c>
      <c r="Q85" t="s">
        <v>541</v>
      </c>
      <c r="R85">
        <v>380</v>
      </c>
    </row>
    <row r="86" ht="17.4" spans="2:18">
      <c r="B86" s="30">
        <v>46</v>
      </c>
      <c r="C86" s="31" t="s">
        <v>184</v>
      </c>
      <c r="D86" s="32" t="s">
        <v>528</v>
      </c>
      <c r="E86" s="33" t="s">
        <v>491</v>
      </c>
      <c r="F86" s="33" t="s">
        <v>640</v>
      </c>
      <c r="G86" s="30" t="s">
        <v>656</v>
      </c>
      <c r="H86" s="30" t="s">
        <v>682</v>
      </c>
      <c r="I86" s="30" t="s">
        <v>683</v>
      </c>
      <c r="K86" t="s">
        <v>545</v>
      </c>
      <c r="L86" t="s">
        <v>527</v>
      </c>
      <c r="M86" t="s">
        <v>534</v>
      </c>
      <c r="N86" t="s">
        <v>546</v>
      </c>
      <c r="O86" t="s">
        <v>534</v>
      </c>
      <c r="P86">
        <v>1</v>
      </c>
      <c r="Q86" t="s">
        <v>547</v>
      </c>
      <c r="R86">
        <v>14</v>
      </c>
    </row>
    <row r="87" ht="17.4" spans="2:18">
      <c r="B87" s="30">
        <v>47</v>
      </c>
      <c r="C87" s="31" t="s">
        <v>184</v>
      </c>
      <c r="D87" s="32" t="s">
        <v>528</v>
      </c>
      <c r="E87" s="33" t="s">
        <v>491</v>
      </c>
      <c r="F87" s="33" t="s">
        <v>640</v>
      </c>
      <c r="G87" s="30" t="s">
        <v>656</v>
      </c>
      <c r="H87" s="30" t="s">
        <v>686</v>
      </c>
      <c r="I87" s="30" t="s">
        <v>687</v>
      </c>
      <c r="K87" t="s">
        <v>550</v>
      </c>
      <c r="L87" t="s">
        <v>527</v>
      </c>
      <c r="M87" t="s">
        <v>534</v>
      </c>
      <c r="N87" t="s">
        <v>551</v>
      </c>
      <c r="O87" t="s">
        <v>534</v>
      </c>
      <c r="P87">
        <v>1</v>
      </c>
      <c r="Q87" t="s">
        <v>547</v>
      </c>
      <c r="R87">
        <v>33</v>
      </c>
    </row>
    <row r="88" ht="17.4" spans="2:18">
      <c r="B88" s="30">
        <v>1</v>
      </c>
      <c r="C88" s="31" t="s">
        <v>184</v>
      </c>
      <c r="D88" s="32" t="s">
        <v>528</v>
      </c>
      <c r="E88" s="33" t="s">
        <v>493</v>
      </c>
      <c r="F88" s="33" t="s">
        <v>529</v>
      </c>
      <c r="G88" s="30" t="s">
        <v>530</v>
      </c>
      <c r="H88" s="30" t="s">
        <v>531</v>
      </c>
      <c r="I88" s="30" t="s">
        <v>532</v>
      </c>
      <c r="K88" t="s">
        <v>556</v>
      </c>
      <c r="L88" t="s">
        <v>527</v>
      </c>
      <c r="M88" t="s">
        <v>534</v>
      </c>
      <c r="N88" t="s">
        <v>557</v>
      </c>
      <c r="O88" t="s">
        <v>534</v>
      </c>
      <c r="P88">
        <v>1</v>
      </c>
      <c r="Q88" t="s">
        <v>547</v>
      </c>
      <c r="R88">
        <v>0</v>
      </c>
    </row>
    <row r="89" ht="17.4" spans="2:18">
      <c r="B89" s="30">
        <v>2</v>
      </c>
      <c r="C89" s="31" t="s">
        <v>184</v>
      </c>
      <c r="D89" s="32" t="s">
        <v>528</v>
      </c>
      <c r="E89" s="33" t="s">
        <v>493</v>
      </c>
      <c r="F89" s="33" t="s">
        <v>529</v>
      </c>
      <c r="G89" s="30" t="s">
        <v>530</v>
      </c>
      <c r="H89" s="30" t="s">
        <v>537</v>
      </c>
      <c r="I89" s="30" t="s">
        <v>538</v>
      </c>
      <c r="K89" t="s">
        <v>561</v>
      </c>
      <c r="L89" t="s">
        <v>527</v>
      </c>
      <c r="M89" t="s">
        <v>534</v>
      </c>
      <c r="N89" t="s">
        <v>562</v>
      </c>
      <c r="O89" t="s">
        <v>534</v>
      </c>
      <c r="P89">
        <v>1</v>
      </c>
      <c r="Q89" t="s">
        <v>547</v>
      </c>
      <c r="R89">
        <v>223</v>
      </c>
    </row>
    <row r="90" ht="17.4" spans="2:18">
      <c r="B90" s="30">
        <v>3</v>
      </c>
      <c r="C90" s="31" t="s">
        <v>184</v>
      </c>
      <c r="D90" s="32" t="s">
        <v>528</v>
      </c>
      <c r="E90" s="33" t="s">
        <v>493</v>
      </c>
      <c r="F90" s="33" t="s">
        <v>529</v>
      </c>
      <c r="G90" s="30" t="s">
        <v>542</v>
      </c>
      <c r="H90" s="30" t="s">
        <v>543</v>
      </c>
      <c r="I90" s="30" t="s">
        <v>544</v>
      </c>
      <c r="K90" t="s">
        <v>565</v>
      </c>
      <c r="L90" t="s">
        <v>527</v>
      </c>
      <c r="M90" t="s">
        <v>534</v>
      </c>
      <c r="N90" t="s">
        <v>534</v>
      </c>
      <c r="O90" t="s">
        <v>534</v>
      </c>
      <c r="P90">
        <v>1</v>
      </c>
      <c r="Q90" t="s">
        <v>566</v>
      </c>
      <c r="R90">
        <v>640</v>
      </c>
    </row>
    <row r="91" ht="17.4" spans="2:18">
      <c r="B91" s="30">
        <v>4</v>
      </c>
      <c r="C91" s="31" t="s">
        <v>184</v>
      </c>
      <c r="D91" s="32" t="s">
        <v>528</v>
      </c>
      <c r="E91" s="33" t="s">
        <v>493</v>
      </c>
      <c r="F91" s="33" t="s">
        <v>529</v>
      </c>
      <c r="G91" s="30" t="s">
        <v>542</v>
      </c>
      <c r="H91" s="30" t="s">
        <v>548</v>
      </c>
      <c r="I91" s="30" t="s">
        <v>549</v>
      </c>
      <c r="K91" t="s">
        <v>569</v>
      </c>
      <c r="L91" t="s">
        <v>527</v>
      </c>
      <c r="M91" t="s">
        <v>534</v>
      </c>
      <c r="N91" t="s">
        <v>534</v>
      </c>
      <c r="O91" t="s">
        <v>534</v>
      </c>
      <c r="P91">
        <v>1</v>
      </c>
      <c r="Q91" t="s">
        <v>566</v>
      </c>
      <c r="R91">
        <v>425</v>
      </c>
    </row>
    <row r="92" ht="17.4" spans="2:18">
      <c r="B92" s="30">
        <v>5</v>
      </c>
      <c r="C92" s="31" t="s">
        <v>184</v>
      </c>
      <c r="D92" s="32" t="s">
        <v>528</v>
      </c>
      <c r="E92" s="33" t="s">
        <v>493</v>
      </c>
      <c r="F92" s="33" t="s">
        <v>694</v>
      </c>
      <c r="G92" s="30" t="s">
        <v>553</v>
      </c>
      <c r="H92" s="30" t="s">
        <v>554</v>
      </c>
      <c r="I92" s="30" t="s">
        <v>555</v>
      </c>
      <c r="K92" t="s">
        <v>572</v>
      </c>
      <c r="L92" t="s">
        <v>527</v>
      </c>
      <c r="M92" t="s">
        <v>534</v>
      </c>
      <c r="N92" t="s">
        <v>573</v>
      </c>
      <c r="O92" t="s">
        <v>534</v>
      </c>
      <c r="P92">
        <v>1</v>
      </c>
      <c r="Q92" t="s">
        <v>547</v>
      </c>
      <c r="R92">
        <v>959</v>
      </c>
    </row>
    <row r="93" ht="17.4" spans="2:18">
      <c r="B93" s="30">
        <v>6</v>
      </c>
      <c r="C93" s="31" t="s">
        <v>184</v>
      </c>
      <c r="D93" s="32" t="s">
        <v>528</v>
      </c>
      <c r="E93" s="33" t="s">
        <v>493</v>
      </c>
      <c r="F93" s="33" t="s">
        <v>694</v>
      </c>
      <c r="G93" s="30" t="s">
        <v>558</v>
      </c>
      <c r="H93" s="30" t="s">
        <v>559</v>
      </c>
      <c r="I93" s="30" t="s">
        <v>560</v>
      </c>
      <c r="K93" t="s">
        <v>577</v>
      </c>
      <c r="L93" t="s">
        <v>527</v>
      </c>
      <c r="M93" t="s">
        <v>534</v>
      </c>
      <c r="N93" t="s">
        <v>534</v>
      </c>
      <c r="O93" t="s">
        <v>534</v>
      </c>
      <c r="P93">
        <v>1</v>
      </c>
      <c r="Q93" t="s">
        <v>547</v>
      </c>
      <c r="R93">
        <v>1680</v>
      </c>
    </row>
    <row r="94" ht="17.4" spans="2:18">
      <c r="B94" s="30">
        <v>7</v>
      </c>
      <c r="C94" s="31" t="s">
        <v>184</v>
      </c>
      <c r="D94" s="32" t="s">
        <v>528</v>
      </c>
      <c r="E94" s="33" t="s">
        <v>493</v>
      </c>
      <c r="F94" s="33" t="s">
        <v>694</v>
      </c>
      <c r="G94" s="30" t="s">
        <v>558</v>
      </c>
      <c r="H94" s="30" t="s">
        <v>695</v>
      </c>
      <c r="I94" s="30" t="s">
        <v>696</v>
      </c>
      <c r="K94" t="s">
        <v>580</v>
      </c>
      <c r="L94" t="s">
        <v>527</v>
      </c>
      <c r="M94" t="s">
        <v>534</v>
      </c>
      <c r="N94" t="s">
        <v>581</v>
      </c>
      <c r="O94" t="s">
        <v>534</v>
      </c>
      <c r="P94">
        <v>1</v>
      </c>
      <c r="Q94" t="s">
        <v>547</v>
      </c>
      <c r="R94">
        <v>10</v>
      </c>
    </row>
    <row r="95" ht="17.4" spans="2:18">
      <c r="B95" s="30">
        <v>7</v>
      </c>
      <c r="C95" s="31" t="s">
        <v>184</v>
      </c>
      <c r="D95" s="32" t="s">
        <v>528</v>
      </c>
      <c r="E95" s="33" t="s">
        <v>493</v>
      </c>
      <c r="F95" s="33" t="s">
        <v>694</v>
      </c>
      <c r="G95" s="30" t="s">
        <v>558</v>
      </c>
      <c r="H95" s="30" t="s">
        <v>697</v>
      </c>
      <c r="I95" s="30" t="s">
        <v>698</v>
      </c>
      <c r="K95" t="s">
        <v>585</v>
      </c>
      <c r="L95" t="s">
        <v>527</v>
      </c>
      <c r="M95" t="s">
        <v>534</v>
      </c>
      <c r="N95" t="s">
        <v>586</v>
      </c>
      <c r="O95" t="s">
        <v>534</v>
      </c>
      <c r="P95">
        <v>1</v>
      </c>
      <c r="Q95" t="s">
        <v>547</v>
      </c>
      <c r="R95">
        <v>74</v>
      </c>
    </row>
    <row r="96" ht="17.4" spans="2:18">
      <c r="B96" s="30">
        <v>9</v>
      </c>
      <c r="C96" s="31" t="s">
        <v>184</v>
      </c>
      <c r="D96" s="32" t="s">
        <v>528</v>
      </c>
      <c r="E96" s="33" t="s">
        <v>493</v>
      </c>
      <c r="F96" s="33" t="s">
        <v>694</v>
      </c>
      <c r="G96" s="30" t="s">
        <v>558</v>
      </c>
      <c r="H96" s="30" t="s">
        <v>479</v>
      </c>
      <c r="I96" s="30" t="s">
        <v>699</v>
      </c>
      <c r="K96" t="s">
        <v>723</v>
      </c>
      <c r="L96" t="s">
        <v>527</v>
      </c>
      <c r="M96" t="s">
        <v>534</v>
      </c>
      <c r="N96" t="s">
        <v>724</v>
      </c>
      <c r="O96" t="s">
        <v>534</v>
      </c>
      <c r="P96">
        <v>1</v>
      </c>
      <c r="Q96" t="s">
        <v>547</v>
      </c>
      <c r="R96">
        <v>56</v>
      </c>
    </row>
    <row r="97" ht="17.4" spans="2:18">
      <c r="B97" s="30">
        <v>9</v>
      </c>
      <c r="C97" s="31" t="s">
        <v>184</v>
      </c>
      <c r="D97" s="32" t="s">
        <v>528</v>
      </c>
      <c r="E97" s="33" t="s">
        <v>493</v>
      </c>
      <c r="F97" s="33" t="s">
        <v>694</v>
      </c>
      <c r="G97" s="30" t="s">
        <v>558</v>
      </c>
      <c r="H97" s="30" t="s">
        <v>633</v>
      </c>
      <c r="I97" s="30" t="s">
        <v>700</v>
      </c>
      <c r="K97" t="s">
        <v>589</v>
      </c>
      <c r="L97" t="s">
        <v>527</v>
      </c>
      <c r="M97" t="s">
        <v>534</v>
      </c>
      <c r="N97" t="s">
        <v>590</v>
      </c>
      <c r="O97" t="s">
        <v>534</v>
      </c>
      <c r="P97">
        <v>1</v>
      </c>
      <c r="Q97" t="s">
        <v>547</v>
      </c>
      <c r="R97">
        <v>84</v>
      </c>
    </row>
    <row r="98" ht="17.4" spans="2:18">
      <c r="B98" s="30">
        <v>10</v>
      </c>
      <c r="C98" s="31" t="s">
        <v>184</v>
      </c>
      <c r="D98" s="32" t="s">
        <v>528</v>
      </c>
      <c r="E98" s="33" t="s">
        <v>493</v>
      </c>
      <c r="F98" s="33" t="s">
        <v>694</v>
      </c>
      <c r="G98" s="30" t="s">
        <v>574</v>
      </c>
      <c r="H98" s="30" t="s">
        <v>575</v>
      </c>
      <c r="I98" s="30" t="s">
        <v>576</v>
      </c>
      <c r="K98" t="s">
        <v>593</v>
      </c>
      <c r="L98" t="s">
        <v>527</v>
      </c>
      <c r="M98" t="s">
        <v>534</v>
      </c>
      <c r="N98" t="s">
        <v>594</v>
      </c>
      <c r="O98" t="s">
        <v>534</v>
      </c>
      <c r="P98">
        <v>1</v>
      </c>
      <c r="Q98" t="s">
        <v>547</v>
      </c>
      <c r="R98">
        <v>165</v>
      </c>
    </row>
    <row r="99" ht="17.4" spans="2:18">
      <c r="B99" s="30">
        <v>11</v>
      </c>
      <c r="C99" s="31" t="s">
        <v>184</v>
      </c>
      <c r="D99" s="32" t="s">
        <v>528</v>
      </c>
      <c r="E99" s="33" t="s">
        <v>493</v>
      </c>
      <c r="F99" s="33" t="s">
        <v>694</v>
      </c>
      <c r="G99" s="30" t="s">
        <v>574</v>
      </c>
      <c r="H99" s="30" t="s">
        <v>578</v>
      </c>
      <c r="I99" s="30" t="s">
        <v>579</v>
      </c>
      <c r="K99" t="s">
        <v>598</v>
      </c>
      <c r="L99" t="s">
        <v>527</v>
      </c>
      <c r="M99" t="s">
        <v>534</v>
      </c>
      <c r="N99" t="s">
        <v>534</v>
      </c>
      <c r="O99" t="s">
        <v>534</v>
      </c>
      <c r="P99">
        <v>1</v>
      </c>
      <c r="Q99" t="s">
        <v>547</v>
      </c>
      <c r="R99">
        <v>43</v>
      </c>
    </row>
    <row r="100" ht="17.4" spans="2:18">
      <c r="B100" s="30">
        <v>12</v>
      </c>
      <c r="C100" s="31" t="s">
        <v>184</v>
      </c>
      <c r="D100" s="32" t="s">
        <v>528</v>
      </c>
      <c r="E100" s="33" t="s">
        <v>493</v>
      </c>
      <c r="F100" s="33" t="s">
        <v>694</v>
      </c>
      <c r="G100" s="30" t="s">
        <v>582</v>
      </c>
      <c r="H100" s="30" t="s">
        <v>583</v>
      </c>
      <c r="I100" s="30" t="s">
        <v>584</v>
      </c>
      <c r="K100" t="s">
        <v>601</v>
      </c>
      <c r="L100" t="s">
        <v>527</v>
      </c>
      <c r="M100" t="s">
        <v>534</v>
      </c>
      <c r="N100" t="s">
        <v>590</v>
      </c>
      <c r="O100" t="s">
        <v>534</v>
      </c>
      <c r="P100">
        <v>1</v>
      </c>
      <c r="Q100" t="s">
        <v>547</v>
      </c>
      <c r="R100">
        <v>425</v>
      </c>
    </row>
    <row r="101" ht="17.4" spans="2:18">
      <c r="B101" s="30">
        <v>12</v>
      </c>
      <c r="C101" s="31" t="s">
        <v>184</v>
      </c>
      <c r="D101" s="32" t="s">
        <v>528</v>
      </c>
      <c r="E101" s="33" t="s">
        <v>493</v>
      </c>
      <c r="F101" s="33" t="s">
        <v>694</v>
      </c>
      <c r="G101" s="30" t="s">
        <v>582</v>
      </c>
      <c r="H101" s="30" t="s">
        <v>587</v>
      </c>
      <c r="I101" s="30" t="s">
        <v>588</v>
      </c>
      <c r="K101" t="s">
        <v>605</v>
      </c>
      <c r="L101" t="s">
        <v>527</v>
      </c>
      <c r="M101" t="s">
        <v>534</v>
      </c>
      <c r="N101" t="s">
        <v>606</v>
      </c>
      <c r="O101" t="s">
        <v>534</v>
      </c>
      <c r="P101">
        <v>1</v>
      </c>
      <c r="Q101" t="s">
        <v>547</v>
      </c>
      <c r="R101">
        <v>77</v>
      </c>
    </row>
    <row r="102" ht="17.4" spans="2:18">
      <c r="B102" s="30">
        <v>13</v>
      </c>
      <c r="C102" s="31" t="s">
        <v>184</v>
      </c>
      <c r="D102" s="32" t="s">
        <v>528</v>
      </c>
      <c r="E102" s="33" t="s">
        <v>493</v>
      </c>
      <c r="F102" s="33" t="s">
        <v>694</v>
      </c>
      <c r="G102" s="30" t="s">
        <v>553</v>
      </c>
      <c r="H102" s="30" t="s">
        <v>591</v>
      </c>
      <c r="I102" s="30" t="s">
        <v>592</v>
      </c>
      <c r="K102" t="s">
        <v>609</v>
      </c>
      <c r="L102" t="s">
        <v>527</v>
      </c>
      <c r="M102" t="s">
        <v>534</v>
      </c>
      <c r="N102" t="s">
        <v>610</v>
      </c>
      <c r="O102" t="s">
        <v>534</v>
      </c>
      <c r="P102">
        <v>1</v>
      </c>
      <c r="Q102" t="s">
        <v>611</v>
      </c>
      <c r="R102">
        <v>415</v>
      </c>
    </row>
    <row r="103" ht="17.4" spans="2:18">
      <c r="B103" s="30">
        <v>14</v>
      </c>
      <c r="C103" s="31" t="s">
        <v>184</v>
      </c>
      <c r="D103" s="32" t="s">
        <v>528</v>
      </c>
      <c r="E103" s="33" t="s">
        <v>493</v>
      </c>
      <c r="F103" s="33" t="s">
        <v>694</v>
      </c>
      <c r="G103" s="30" t="s">
        <v>595</v>
      </c>
      <c r="H103" s="30" t="s">
        <v>596</v>
      </c>
      <c r="I103" s="30" t="s">
        <v>597</v>
      </c>
      <c r="K103" t="s">
        <v>614</v>
      </c>
      <c r="L103" t="s">
        <v>527</v>
      </c>
      <c r="M103" t="s">
        <v>534</v>
      </c>
      <c r="N103" t="s">
        <v>615</v>
      </c>
      <c r="O103" t="s">
        <v>534</v>
      </c>
      <c r="P103">
        <v>1</v>
      </c>
      <c r="Q103" t="s">
        <v>616</v>
      </c>
      <c r="R103">
        <v>53</v>
      </c>
    </row>
    <row r="104" ht="17.4" spans="2:18">
      <c r="B104" s="30">
        <v>15</v>
      </c>
      <c r="C104" s="31" t="s">
        <v>184</v>
      </c>
      <c r="D104" s="32" t="s">
        <v>528</v>
      </c>
      <c r="E104" s="33" t="s">
        <v>493</v>
      </c>
      <c r="F104" s="33" t="s">
        <v>694</v>
      </c>
      <c r="G104" s="30" t="s">
        <v>558</v>
      </c>
      <c r="H104" s="30" t="s">
        <v>599</v>
      </c>
      <c r="I104" s="30" t="s">
        <v>600</v>
      </c>
      <c r="K104" t="s">
        <v>623</v>
      </c>
      <c r="L104" t="s">
        <v>527</v>
      </c>
      <c r="M104" t="s">
        <v>534</v>
      </c>
      <c r="N104" t="s">
        <v>624</v>
      </c>
      <c r="O104" t="s">
        <v>534</v>
      </c>
      <c r="P104">
        <v>1</v>
      </c>
      <c r="Q104" t="s">
        <v>625</v>
      </c>
      <c r="R104">
        <v>53</v>
      </c>
    </row>
    <row r="105" ht="17.4" spans="2:18">
      <c r="B105" s="30">
        <v>16</v>
      </c>
      <c r="C105" s="31" t="s">
        <v>184</v>
      </c>
      <c r="D105" s="32" t="s">
        <v>528</v>
      </c>
      <c r="E105" s="33" t="s">
        <v>493</v>
      </c>
      <c r="F105" s="33" t="s">
        <v>694</v>
      </c>
      <c r="G105" s="30" t="s">
        <v>602</v>
      </c>
      <c r="H105" s="30" t="s">
        <v>603</v>
      </c>
      <c r="I105" s="30" t="s">
        <v>604</v>
      </c>
      <c r="K105" t="s">
        <v>628</v>
      </c>
      <c r="L105" t="s">
        <v>527</v>
      </c>
      <c r="M105" t="s">
        <v>534</v>
      </c>
      <c r="N105" t="s">
        <v>629</v>
      </c>
      <c r="O105" t="s">
        <v>534</v>
      </c>
      <c r="P105">
        <v>1</v>
      </c>
      <c r="Q105" t="s">
        <v>547</v>
      </c>
      <c r="R105">
        <v>81</v>
      </c>
    </row>
    <row r="106" ht="17.4" spans="2:18">
      <c r="B106" s="30">
        <v>17</v>
      </c>
      <c r="C106" s="31" t="s">
        <v>184</v>
      </c>
      <c r="D106" s="32" t="s">
        <v>528</v>
      </c>
      <c r="E106" s="33" t="s">
        <v>493</v>
      </c>
      <c r="F106" s="33" t="s">
        <v>694</v>
      </c>
      <c r="G106" s="30" t="s">
        <v>558</v>
      </c>
      <c r="H106" s="30" t="s">
        <v>607</v>
      </c>
      <c r="I106" s="30" t="s">
        <v>608</v>
      </c>
      <c r="K106" t="s">
        <v>631</v>
      </c>
      <c r="L106" t="s">
        <v>527</v>
      </c>
      <c r="M106" t="s">
        <v>534</v>
      </c>
      <c r="N106" t="s">
        <v>534</v>
      </c>
      <c r="O106" t="s">
        <v>534</v>
      </c>
      <c r="P106">
        <v>1</v>
      </c>
      <c r="Q106" t="s">
        <v>632</v>
      </c>
      <c r="R106">
        <v>1086</v>
      </c>
    </row>
    <row r="107" ht="17.4" spans="2:18">
      <c r="B107" s="30">
        <v>18</v>
      </c>
      <c r="C107" s="31" t="s">
        <v>184</v>
      </c>
      <c r="D107" s="32" t="s">
        <v>528</v>
      </c>
      <c r="E107" s="33" t="s">
        <v>493</v>
      </c>
      <c r="F107" s="33" t="s">
        <v>694</v>
      </c>
      <c r="G107" s="30" t="s">
        <v>530</v>
      </c>
      <c r="H107" s="30" t="s">
        <v>612</v>
      </c>
      <c r="I107" s="30" t="s">
        <v>613</v>
      </c>
      <c r="K107" t="s">
        <v>635</v>
      </c>
      <c r="L107" t="s">
        <v>527</v>
      </c>
      <c r="M107" t="s">
        <v>534</v>
      </c>
      <c r="N107" t="s">
        <v>534</v>
      </c>
      <c r="O107" t="s">
        <v>534</v>
      </c>
      <c r="P107">
        <v>1</v>
      </c>
      <c r="Q107" t="s">
        <v>547</v>
      </c>
      <c r="R107">
        <v>41</v>
      </c>
    </row>
    <row r="108" ht="17.4" spans="2:18">
      <c r="B108" s="30">
        <v>19</v>
      </c>
      <c r="C108" s="31" t="s">
        <v>184</v>
      </c>
      <c r="D108" s="32" t="s">
        <v>528</v>
      </c>
      <c r="E108" s="33" t="s">
        <v>493</v>
      </c>
      <c r="F108" s="33" t="s">
        <v>694</v>
      </c>
      <c r="G108" s="30" t="s">
        <v>617</v>
      </c>
      <c r="H108" s="30" t="s">
        <v>618</v>
      </c>
      <c r="I108" s="30" t="s">
        <v>703</v>
      </c>
      <c r="K108" t="s">
        <v>638</v>
      </c>
      <c r="L108" t="s">
        <v>527</v>
      </c>
      <c r="M108" t="s">
        <v>534</v>
      </c>
      <c r="N108" t="s">
        <v>639</v>
      </c>
      <c r="O108" t="s">
        <v>534</v>
      </c>
      <c r="P108">
        <v>1</v>
      </c>
      <c r="Q108" t="s">
        <v>566</v>
      </c>
      <c r="R108">
        <v>331</v>
      </c>
    </row>
    <row r="109" ht="17.4" spans="2:18">
      <c r="B109" s="30">
        <v>19</v>
      </c>
      <c r="C109" s="31" t="s">
        <v>184</v>
      </c>
      <c r="D109" s="32" t="s">
        <v>528</v>
      </c>
      <c r="E109" s="33" t="s">
        <v>493</v>
      </c>
      <c r="F109" s="33" t="s">
        <v>694</v>
      </c>
      <c r="G109" s="30" t="s">
        <v>617</v>
      </c>
      <c r="H109" s="30" t="s">
        <v>618</v>
      </c>
      <c r="I109" s="30" t="s">
        <v>619</v>
      </c>
      <c r="K109" t="s">
        <v>643</v>
      </c>
      <c r="L109" t="s">
        <v>527</v>
      </c>
      <c r="M109" t="s">
        <v>534</v>
      </c>
      <c r="N109" t="s">
        <v>644</v>
      </c>
      <c r="O109" t="s">
        <v>534</v>
      </c>
      <c r="P109">
        <v>1</v>
      </c>
      <c r="Q109" t="s">
        <v>541</v>
      </c>
      <c r="R109">
        <v>92</v>
      </c>
    </row>
    <row r="110" ht="17.4" spans="2:18">
      <c r="B110" s="30">
        <v>24</v>
      </c>
      <c r="C110" s="31" t="s">
        <v>184</v>
      </c>
      <c r="D110" s="32" t="s">
        <v>528</v>
      </c>
      <c r="E110" s="33" t="s">
        <v>493</v>
      </c>
      <c r="F110" s="33" t="s">
        <v>694</v>
      </c>
      <c r="G110" s="30" t="s">
        <v>595</v>
      </c>
      <c r="H110" s="30" t="s">
        <v>626</v>
      </c>
      <c r="I110" s="30" t="s">
        <v>627</v>
      </c>
      <c r="K110" t="s">
        <v>647</v>
      </c>
      <c r="L110" t="s">
        <v>527</v>
      </c>
      <c r="M110" t="s">
        <v>534</v>
      </c>
      <c r="N110" t="s">
        <v>534</v>
      </c>
      <c r="O110" t="s">
        <v>534</v>
      </c>
      <c r="P110">
        <v>1</v>
      </c>
      <c r="Q110" t="s">
        <v>648</v>
      </c>
      <c r="R110">
        <v>58</v>
      </c>
    </row>
    <row r="111" ht="17.4" spans="2:18">
      <c r="B111" s="30">
        <v>33</v>
      </c>
      <c r="C111" s="31" t="s">
        <v>184</v>
      </c>
      <c r="D111" s="32" t="s">
        <v>528</v>
      </c>
      <c r="E111" s="33" t="s">
        <v>493</v>
      </c>
      <c r="F111" s="33" t="s">
        <v>694</v>
      </c>
      <c r="G111" s="30" t="s">
        <v>558</v>
      </c>
      <c r="H111" s="30" t="s">
        <v>636</v>
      </c>
      <c r="I111" s="30" t="s">
        <v>637</v>
      </c>
      <c r="K111" t="s">
        <v>704</v>
      </c>
      <c r="L111" t="s">
        <v>527</v>
      </c>
      <c r="M111" t="s">
        <v>534</v>
      </c>
      <c r="N111" t="s">
        <v>705</v>
      </c>
      <c r="O111" t="s">
        <v>534</v>
      </c>
      <c r="P111">
        <v>1</v>
      </c>
      <c r="Q111" t="s">
        <v>611</v>
      </c>
      <c r="R111">
        <v>290</v>
      </c>
    </row>
    <row r="112" ht="17.4" spans="2:18">
      <c r="B112" s="30">
        <v>20</v>
      </c>
      <c r="C112" s="31" t="s">
        <v>184</v>
      </c>
      <c r="D112" s="32" t="s">
        <v>528</v>
      </c>
      <c r="E112" s="33" t="s">
        <v>493</v>
      </c>
      <c r="F112" s="33" t="s">
        <v>694</v>
      </c>
      <c r="G112" s="30" t="s">
        <v>558</v>
      </c>
      <c r="H112" s="30" t="s">
        <v>475</v>
      </c>
      <c r="I112" s="30" t="s">
        <v>725</v>
      </c>
      <c r="K112" t="s">
        <v>706</v>
      </c>
      <c r="L112" t="s">
        <v>527</v>
      </c>
      <c r="M112" t="s">
        <v>534</v>
      </c>
      <c r="N112" t="s">
        <v>707</v>
      </c>
      <c r="O112" t="s">
        <v>534</v>
      </c>
      <c r="P112">
        <v>1</v>
      </c>
      <c r="Q112" t="s">
        <v>547</v>
      </c>
      <c r="R112">
        <v>100</v>
      </c>
    </row>
    <row r="113" ht="17.4" spans="2:18">
      <c r="B113" s="30">
        <v>27</v>
      </c>
      <c r="C113" s="31" t="s">
        <v>184</v>
      </c>
      <c r="D113" s="32" t="s">
        <v>528</v>
      </c>
      <c r="E113" s="33" t="s">
        <v>493</v>
      </c>
      <c r="F113" s="33" t="s">
        <v>552</v>
      </c>
      <c r="G113" s="30" t="s">
        <v>530</v>
      </c>
      <c r="H113" s="30" t="s">
        <v>701</v>
      </c>
      <c r="I113" s="30" t="s">
        <v>702</v>
      </c>
      <c r="K113" t="s">
        <v>708</v>
      </c>
      <c r="L113" t="s">
        <v>527</v>
      </c>
      <c r="M113" t="s">
        <v>534</v>
      </c>
      <c r="N113" t="s">
        <v>709</v>
      </c>
      <c r="O113" t="s">
        <v>534</v>
      </c>
      <c r="P113">
        <v>1</v>
      </c>
      <c r="Q113" t="s">
        <v>625</v>
      </c>
      <c r="R113">
        <v>55</v>
      </c>
    </row>
    <row r="114" ht="17.4" spans="2:18">
      <c r="B114" s="30">
        <v>27</v>
      </c>
      <c r="C114" s="31" t="s">
        <v>184</v>
      </c>
      <c r="D114" s="32" t="s">
        <v>528</v>
      </c>
      <c r="E114" s="33" t="s">
        <v>493</v>
      </c>
      <c r="F114" s="33" t="s">
        <v>552</v>
      </c>
      <c r="G114" s="30" t="s">
        <v>558</v>
      </c>
      <c r="H114" s="30" t="s">
        <v>563</v>
      </c>
      <c r="I114" s="30" t="s">
        <v>564</v>
      </c>
      <c r="K114" t="s">
        <v>710</v>
      </c>
      <c r="L114" t="s">
        <v>527</v>
      </c>
      <c r="M114" t="s">
        <v>534</v>
      </c>
      <c r="N114" t="s">
        <v>590</v>
      </c>
      <c r="O114" t="s">
        <v>534</v>
      </c>
      <c r="P114">
        <v>1</v>
      </c>
      <c r="Q114" t="s">
        <v>547</v>
      </c>
      <c r="R114">
        <v>66.26</v>
      </c>
    </row>
    <row r="115" ht="17.4" spans="2:18">
      <c r="B115" s="30">
        <v>27</v>
      </c>
      <c r="C115" s="31" t="s">
        <v>184</v>
      </c>
      <c r="D115" s="32" t="s">
        <v>528</v>
      </c>
      <c r="E115" s="33" t="s">
        <v>493</v>
      </c>
      <c r="F115" s="33" t="s">
        <v>552</v>
      </c>
      <c r="G115" s="30" t="s">
        <v>558</v>
      </c>
      <c r="H115" s="30" t="s">
        <v>567</v>
      </c>
      <c r="I115" s="30" t="s">
        <v>568</v>
      </c>
      <c r="K115" t="s">
        <v>711</v>
      </c>
      <c r="L115" t="s">
        <v>527</v>
      </c>
      <c r="M115" t="s">
        <v>534</v>
      </c>
      <c r="N115" t="s">
        <v>712</v>
      </c>
      <c r="O115" t="s">
        <v>534</v>
      </c>
      <c r="P115">
        <v>1</v>
      </c>
      <c r="Q115" t="s">
        <v>547</v>
      </c>
      <c r="R115">
        <v>101</v>
      </c>
    </row>
    <row r="116" ht="17.4" spans="2:18">
      <c r="B116" s="30">
        <v>27</v>
      </c>
      <c r="C116" s="31" t="s">
        <v>184</v>
      </c>
      <c r="D116" s="32" t="s">
        <v>528</v>
      </c>
      <c r="E116" s="33" t="s">
        <v>493</v>
      </c>
      <c r="F116" s="33" t="s">
        <v>552</v>
      </c>
      <c r="G116" s="30" t="s">
        <v>558</v>
      </c>
      <c r="H116" s="30" t="s">
        <v>570</v>
      </c>
      <c r="I116" s="30" t="s">
        <v>571</v>
      </c>
      <c r="K116" t="s">
        <v>713</v>
      </c>
      <c r="L116" t="s">
        <v>527</v>
      </c>
      <c r="M116" t="s">
        <v>534</v>
      </c>
      <c r="N116" t="s">
        <v>714</v>
      </c>
      <c r="O116" t="s">
        <v>534</v>
      </c>
      <c r="P116">
        <v>1</v>
      </c>
      <c r="Q116" t="s">
        <v>547</v>
      </c>
      <c r="R116">
        <v>418</v>
      </c>
    </row>
    <row r="117" ht="17.4" spans="2:18">
      <c r="B117" s="30">
        <v>33</v>
      </c>
      <c r="C117" s="31" t="s">
        <v>184</v>
      </c>
      <c r="D117" s="32" t="s">
        <v>528</v>
      </c>
      <c r="E117" s="33" t="s">
        <v>493</v>
      </c>
      <c r="F117" s="33" t="s">
        <v>552</v>
      </c>
      <c r="G117" s="30" t="s">
        <v>530</v>
      </c>
      <c r="H117" s="30" t="s">
        <v>612</v>
      </c>
      <c r="I117" s="30" t="s">
        <v>613</v>
      </c>
      <c r="K117" t="s">
        <v>715</v>
      </c>
      <c r="L117" t="s">
        <v>527</v>
      </c>
      <c r="M117" t="s">
        <v>534</v>
      </c>
      <c r="N117" t="s">
        <v>716</v>
      </c>
      <c r="O117" t="s">
        <v>534</v>
      </c>
      <c r="P117">
        <v>1</v>
      </c>
      <c r="Q117" t="s">
        <v>547</v>
      </c>
      <c r="R117">
        <v>37</v>
      </c>
    </row>
    <row r="118" ht="17.4" spans="2:18">
      <c r="B118" s="30">
        <v>33</v>
      </c>
      <c r="C118" s="31" t="s">
        <v>184</v>
      </c>
      <c r="D118" s="32" t="s">
        <v>528</v>
      </c>
      <c r="E118" s="33" t="s">
        <v>493</v>
      </c>
      <c r="F118" s="33" t="s">
        <v>552</v>
      </c>
      <c r="G118" s="30" t="s">
        <v>617</v>
      </c>
      <c r="H118" s="30" t="s">
        <v>618</v>
      </c>
      <c r="I118" s="30" t="s">
        <v>703</v>
      </c>
      <c r="K118" t="s">
        <v>679</v>
      </c>
      <c r="L118" t="s">
        <v>527</v>
      </c>
      <c r="M118" t="s">
        <v>534</v>
      </c>
      <c r="N118" t="s">
        <v>680</v>
      </c>
      <c r="O118" t="s">
        <v>534</v>
      </c>
      <c r="P118">
        <v>1</v>
      </c>
      <c r="Q118" t="s">
        <v>681</v>
      </c>
      <c r="R118">
        <v>370</v>
      </c>
    </row>
    <row r="119" ht="17.4" spans="2:18">
      <c r="B119" s="30">
        <v>33</v>
      </c>
      <c r="C119" s="31" t="s">
        <v>184</v>
      </c>
      <c r="D119" s="32" t="s">
        <v>528</v>
      </c>
      <c r="E119" s="33" t="s">
        <v>493</v>
      </c>
      <c r="F119" s="33" t="s">
        <v>552</v>
      </c>
      <c r="G119" s="30" t="s">
        <v>574</v>
      </c>
      <c r="H119" s="30" t="s">
        <v>575</v>
      </c>
      <c r="I119" s="30" t="s">
        <v>576</v>
      </c>
      <c r="K119" t="s">
        <v>684</v>
      </c>
      <c r="L119" t="s">
        <v>527</v>
      </c>
      <c r="M119" t="s">
        <v>534</v>
      </c>
      <c r="N119" t="s">
        <v>685</v>
      </c>
      <c r="O119" t="s">
        <v>534</v>
      </c>
      <c r="P119">
        <v>1</v>
      </c>
      <c r="Q119" t="s">
        <v>566</v>
      </c>
      <c r="R119">
        <v>4.7</v>
      </c>
    </row>
    <row r="120" ht="17.4" spans="2:18">
      <c r="B120" s="30">
        <v>33</v>
      </c>
      <c r="C120" s="31" t="s">
        <v>184</v>
      </c>
      <c r="D120" s="32" t="s">
        <v>528</v>
      </c>
      <c r="E120" s="33" t="s">
        <v>493</v>
      </c>
      <c r="F120" s="33" t="s">
        <v>552</v>
      </c>
      <c r="G120" s="30" t="s">
        <v>574</v>
      </c>
      <c r="H120" s="30" t="s">
        <v>578</v>
      </c>
      <c r="I120" s="30" t="s">
        <v>579</v>
      </c>
      <c r="K120" t="s">
        <v>717</v>
      </c>
      <c r="L120" t="s">
        <v>527</v>
      </c>
      <c r="M120" t="s">
        <v>534</v>
      </c>
      <c r="N120" t="s">
        <v>718</v>
      </c>
      <c r="O120" t="s">
        <v>534</v>
      </c>
      <c r="P120">
        <v>1</v>
      </c>
      <c r="Q120" t="s">
        <v>632</v>
      </c>
      <c r="R120">
        <v>370</v>
      </c>
    </row>
    <row r="121" ht="17.4" spans="2:18">
      <c r="B121" s="30">
        <v>13</v>
      </c>
      <c r="C121" s="31" t="s">
        <v>184</v>
      </c>
      <c r="D121" s="32" t="s">
        <v>528</v>
      </c>
      <c r="E121" s="33" t="s">
        <v>493</v>
      </c>
      <c r="F121" s="33" t="s">
        <v>552</v>
      </c>
      <c r="G121" s="30" t="s">
        <v>553</v>
      </c>
      <c r="H121" s="30" t="s">
        <v>591</v>
      </c>
      <c r="I121" s="30" t="s">
        <v>592</v>
      </c>
      <c r="K121" t="s">
        <v>719</v>
      </c>
      <c r="L121" t="s">
        <v>527</v>
      </c>
      <c r="M121" t="s">
        <v>534</v>
      </c>
      <c r="N121" t="s">
        <v>720</v>
      </c>
      <c r="O121" t="s">
        <v>534</v>
      </c>
      <c r="P121">
        <v>1</v>
      </c>
      <c r="Q121" t="s">
        <v>547</v>
      </c>
      <c r="R121">
        <v>39.5</v>
      </c>
    </row>
    <row r="122" ht="17.4" spans="2:18">
      <c r="B122" s="30">
        <v>12</v>
      </c>
      <c r="C122" s="31" t="s">
        <v>184</v>
      </c>
      <c r="D122" s="32" t="s">
        <v>528</v>
      </c>
      <c r="E122" s="33" t="s">
        <v>493</v>
      </c>
      <c r="F122" s="33" t="s">
        <v>552</v>
      </c>
      <c r="G122" s="30" t="s">
        <v>582</v>
      </c>
      <c r="H122" s="30" t="s">
        <v>583</v>
      </c>
      <c r="I122" s="30" t="s">
        <v>584</v>
      </c>
      <c r="K122" t="s">
        <v>722</v>
      </c>
      <c r="L122" t="s">
        <v>527</v>
      </c>
      <c r="M122" t="s">
        <v>534</v>
      </c>
      <c r="N122" t="s">
        <v>720</v>
      </c>
      <c r="O122" t="s">
        <v>534</v>
      </c>
      <c r="P122">
        <v>1</v>
      </c>
      <c r="Q122" t="s">
        <v>547</v>
      </c>
      <c r="R122">
        <v>17.2</v>
      </c>
    </row>
    <row r="123" ht="17.4" spans="2:18">
      <c r="B123" s="30">
        <v>35</v>
      </c>
      <c r="C123" s="31" t="s">
        <v>184</v>
      </c>
      <c r="D123" s="32" t="s">
        <v>528</v>
      </c>
      <c r="E123" s="33" t="s">
        <v>493</v>
      </c>
      <c r="F123" s="33" t="s">
        <v>640</v>
      </c>
      <c r="G123" s="30" t="s">
        <v>530</v>
      </c>
      <c r="H123" s="30" t="s">
        <v>641</v>
      </c>
      <c r="I123" s="30" t="s">
        <v>642</v>
      </c>
      <c r="K123" t="s">
        <v>533</v>
      </c>
      <c r="L123" t="s">
        <v>527</v>
      </c>
      <c r="M123" t="s">
        <v>534</v>
      </c>
      <c r="N123" t="s">
        <v>535</v>
      </c>
      <c r="O123" t="s">
        <v>534</v>
      </c>
      <c r="P123">
        <v>1</v>
      </c>
      <c r="Q123" t="s">
        <v>536</v>
      </c>
      <c r="R123">
        <v>920</v>
      </c>
    </row>
    <row r="124" ht="17.4" spans="2:18">
      <c r="B124" s="30">
        <v>37</v>
      </c>
      <c r="C124" s="31" t="s">
        <v>184</v>
      </c>
      <c r="D124" s="32" t="s">
        <v>528</v>
      </c>
      <c r="E124" s="33" t="s">
        <v>493</v>
      </c>
      <c r="F124" s="33" t="s">
        <v>640</v>
      </c>
      <c r="G124" s="30" t="s">
        <v>574</v>
      </c>
      <c r="H124" s="30" t="s">
        <v>645</v>
      </c>
      <c r="I124" s="30" t="s">
        <v>646</v>
      </c>
      <c r="K124" t="s">
        <v>539</v>
      </c>
      <c r="L124" t="s">
        <v>527</v>
      </c>
      <c r="M124" t="s">
        <v>534</v>
      </c>
      <c r="N124" t="s">
        <v>540</v>
      </c>
      <c r="O124" t="s">
        <v>534</v>
      </c>
      <c r="P124">
        <v>1</v>
      </c>
      <c r="Q124" t="s">
        <v>541</v>
      </c>
      <c r="R124">
        <v>380</v>
      </c>
    </row>
    <row r="125" ht="17.4" spans="2:18">
      <c r="B125" s="30">
        <v>38</v>
      </c>
      <c r="C125" s="31" t="s">
        <v>184</v>
      </c>
      <c r="D125" s="32" t="s">
        <v>528</v>
      </c>
      <c r="E125" s="33" t="s">
        <v>493</v>
      </c>
      <c r="F125" s="33" t="s">
        <v>640</v>
      </c>
      <c r="G125" s="30" t="s">
        <v>558</v>
      </c>
      <c r="H125" s="30" t="s">
        <v>649</v>
      </c>
      <c r="I125" s="30" t="s">
        <v>650</v>
      </c>
      <c r="K125" t="s">
        <v>545</v>
      </c>
      <c r="L125" t="s">
        <v>527</v>
      </c>
      <c r="M125" t="s">
        <v>534</v>
      </c>
      <c r="N125" t="s">
        <v>546</v>
      </c>
      <c r="O125" t="s">
        <v>534</v>
      </c>
      <c r="P125">
        <v>1</v>
      </c>
      <c r="Q125" t="s">
        <v>547</v>
      </c>
      <c r="R125">
        <v>14</v>
      </c>
    </row>
    <row r="126" ht="17.4" spans="2:18">
      <c r="B126" s="30">
        <v>39</v>
      </c>
      <c r="C126" s="31" t="s">
        <v>184</v>
      </c>
      <c r="D126" s="32" t="s">
        <v>528</v>
      </c>
      <c r="E126" s="33" t="s">
        <v>493</v>
      </c>
      <c r="F126" s="33" t="s">
        <v>640</v>
      </c>
      <c r="G126" s="30" t="s">
        <v>582</v>
      </c>
      <c r="H126" s="30" t="s">
        <v>652</v>
      </c>
      <c r="I126" s="30" t="s">
        <v>653</v>
      </c>
      <c r="K126" t="s">
        <v>550</v>
      </c>
      <c r="L126" t="s">
        <v>527</v>
      </c>
      <c r="M126" t="s">
        <v>534</v>
      </c>
      <c r="N126" t="s">
        <v>551</v>
      </c>
      <c r="O126" t="s">
        <v>534</v>
      </c>
      <c r="P126">
        <v>1</v>
      </c>
      <c r="Q126" t="s">
        <v>547</v>
      </c>
      <c r="R126">
        <v>33</v>
      </c>
    </row>
    <row r="127" ht="17.4" spans="2:18">
      <c r="B127" s="30">
        <v>40</v>
      </c>
      <c r="C127" s="31" t="s">
        <v>184</v>
      </c>
      <c r="D127" s="32" t="s">
        <v>528</v>
      </c>
      <c r="E127" s="33" t="s">
        <v>493</v>
      </c>
      <c r="F127" s="33" t="s">
        <v>640</v>
      </c>
      <c r="G127" s="30" t="s">
        <v>656</v>
      </c>
      <c r="H127" s="30" t="s">
        <v>657</v>
      </c>
      <c r="I127" s="30" t="s">
        <v>658</v>
      </c>
      <c r="K127" t="s">
        <v>556</v>
      </c>
      <c r="L127" t="s">
        <v>527</v>
      </c>
      <c r="M127" t="s">
        <v>534</v>
      </c>
      <c r="N127" t="s">
        <v>557</v>
      </c>
      <c r="O127" t="s">
        <v>534</v>
      </c>
      <c r="P127">
        <v>1</v>
      </c>
      <c r="Q127" t="s">
        <v>547</v>
      </c>
      <c r="R127">
        <v>0</v>
      </c>
    </row>
    <row r="128" ht="17.4" spans="2:18">
      <c r="B128" s="30">
        <v>41</v>
      </c>
      <c r="C128" s="31" t="s">
        <v>184</v>
      </c>
      <c r="D128" s="32" t="s">
        <v>528</v>
      </c>
      <c r="E128" s="33" t="s">
        <v>493</v>
      </c>
      <c r="F128" s="33" t="s">
        <v>640</v>
      </c>
      <c r="G128" s="30" t="s">
        <v>656</v>
      </c>
      <c r="H128" s="30" t="s">
        <v>661</v>
      </c>
      <c r="I128" s="30" t="s">
        <v>662</v>
      </c>
      <c r="K128" t="s">
        <v>561</v>
      </c>
      <c r="L128" t="s">
        <v>527</v>
      </c>
      <c r="M128" t="s">
        <v>534</v>
      </c>
      <c r="N128" t="s">
        <v>562</v>
      </c>
      <c r="O128" t="s">
        <v>534</v>
      </c>
      <c r="P128">
        <v>1</v>
      </c>
      <c r="Q128" t="s">
        <v>547</v>
      </c>
      <c r="R128">
        <v>223</v>
      </c>
    </row>
    <row r="129" ht="17.4" spans="2:18">
      <c r="B129" s="30">
        <v>42</v>
      </c>
      <c r="C129" s="31" t="s">
        <v>184</v>
      </c>
      <c r="D129" s="32" t="s">
        <v>528</v>
      </c>
      <c r="E129" s="33" t="s">
        <v>493</v>
      </c>
      <c r="F129" s="33" t="s">
        <v>640</v>
      </c>
      <c r="G129" s="30" t="s">
        <v>656</v>
      </c>
      <c r="H129" s="30" t="s">
        <v>665</v>
      </c>
      <c r="I129" s="30" t="s">
        <v>666</v>
      </c>
      <c r="K129" t="s">
        <v>726</v>
      </c>
      <c r="L129" t="s">
        <v>527</v>
      </c>
      <c r="M129" t="s">
        <v>534</v>
      </c>
      <c r="N129" t="s">
        <v>534</v>
      </c>
      <c r="O129" t="s">
        <v>534</v>
      </c>
      <c r="P129">
        <v>1</v>
      </c>
      <c r="Q129" t="s">
        <v>547</v>
      </c>
      <c r="R129">
        <v>784</v>
      </c>
    </row>
    <row r="130" ht="17.4" spans="2:18">
      <c r="B130" s="30">
        <v>43</v>
      </c>
      <c r="C130" s="31" t="s">
        <v>184</v>
      </c>
      <c r="D130" s="32" t="s">
        <v>528</v>
      </c>
      <c r="E130" s="33" t="s">
        <v>493</v>
      </c>
      <c r="F130" s="33" t="s">
        <v>640</v>
      </c>
      <c r="G130" s="30" t="s">
        <v>574</v>
      </c>
      <c r="H130" s="30" t="s">
        <v>669</v>
      </c>
      <c r="I130" s="30" t="s">
        <v>721</v>
      </c>
      <c r="K130" t="s">
        <v>727</v>
      </c>
      <c r="L130" t="s">
        <v>527</v>
      </c>
      <c r="M130" t="s">
        <v>534</v>
      </c>
      <c r="N130" t="s">
        <v>728</v>
      </c>
      <c r="O130" t="s">
        <v>534</v>
      </c>
      <c r="P130">
        <v>1</v>
      </c>
      <c r="Q130" t="s">
        <v>729</v>
      </c>
      <c r="R130">
        <v>440</v>
      </c>
    </row>
    <row r="131" ht="17.4" spans="2:18">
      <c r="B131" s="30">
        <v>44</v>
      </c>
      <c r="C131" s="31" t="s">
        <v>184</v>
      </c>
      <c r="D131" s="32" t="s">
        <v>528</v>
      </c>
      <c r="E131" s="33" t="s">
        <v>493</v>
      </c>
      <c r="F131" s="33" t="s">
        <v>640</v>
      </c>
      <c r="G131" s="30" t="s">
        <v>542</v>
      </c>
      <c r="H131" s="30" t="s">
        <v>673</v>
      </c>
      <c r="I131" s="30" t="s">
        <v>674</v>
      </c>
      <c r="K131" t="s">
        <v>730</v>
      </c>
      <c r="L131" t="s">
        <v>527</v>
      </c>
      <c r="M131" t="s">
        <v>534</v>
      </c>
      <c r="N131" t="s">
        <v>731</v>
      </c>
      <c r="O131" t="s">
        <v>534</v>
      </c>
      <c r="P131">
        <v>1</v>
      </c>
      <c r="Q131" t="s">
        <v>566</v>
      </c>
      <c r="R131">
        <v>388</v>
      </c>
    </row>
    <row r="132" ht="17.4" spans="2:18">
      <c r="B132" s="30">
        <v>45</v>
      </c>
      <c r="C132" s="31" t="s">
        <v>184</v>
      </c>
      <c r="D132" s="32" t="s">
        <v>528</v>
      </c>
      <c r="E132" s="33" t="s">
        <v>493</v>
      </c>
      <c r="F132" s="33" t="s">
        <v>640</v>
      </c>
      <c r="G132" s="30" t="s">
        <v>656</v>
      </c>
      <c r="H132" s="30" t="s">
        <v>677</v>
      </c>
      <c r="I132" s="30" t="s">
        <v>678</v>
      </c>
      <c r="K132" t="s">
        <v>732</v>
      </c>
      <c r="L132" t="s">
        <v>527</v>
      </c>
      <c r="M132" t="s">
        <v>534</v>
      </c>
      <c r="N132" t="s">
        <v>733</v>
      </c>
      <c r="O132" t="s">
        <v>534</v>
      </c>
      <c r="P132">
        <v>2</v>
      </c>
      <c r="Q132" t="s">
        <v>541</v>
      </c>
      <c r="R132">
        <v>128</v>
      </c>
    </row>
    <row r="133" ht="17.4" spans="2:18">
      <c r="B133" s="30">
        <v>46</v>
      </c>
      <c r="C133" s="31" t="s">
        <v>184</v>
      </c>
      <c r="D133" s="32" t="s">
        <v>528</v>
      </c>
      <c r="E133" s="33" t="s">
        <v>493</v>
      </c>
      <c r="F133" s="33" t="s">
        <v>640</v>
      </c>
      <c r="G133" s="30" t="s">
        <v>656</v>
      </c>
      <c r="H133" s="30" t="s">
        <v>682</v>
      </c>
      <c r="I133" s="30" t="s">
        <v>683</v>
      </c>
      <c r="K133" t="s">
        <v>577</v>
      </c>
      <c r="L133" t="s">
        <v>527</v>
      </c>
      <c r="M133" t="s">
        <v>534</v>
      </c>
      <c r="N133" t="s">
        <v>534</v>
      </c>
      <c r="O133" t="s">
        <v>534</v>
      </c>
      <c r="P133">
        <v>1</v>
      </c>
      <c r="Q133" t="s">
        <v>547</v>
      </c>
      <c r="R133">
        <v>1680</v>
      </c>
    </row>
    <row r="134" ht="17.4" spans="2:18">
      <c r="B134" s="30">
        <v>47</v>
      </c>
      <c r="C134" s="31" t="s">
        <v>184</v>
      </c>
      <c r="D134" s="32" t="s">
        <v>528</v>
      </c>
      <c r="E134" s="33" t="s">
        <v>493</v>
      </c>
      <c r="F134" s="33" t="s">
        <v>640</v>
      </c>
      <c r="G134" s="30" t="s">
        <v>656</v>
      </c>
      <c r="H134" s="30" t="s">
        <v>686</v>
      </c>
      <c r="I134" s="30" t="s">
        <v>687</v>
      </c>
      <c r="K134" t="s">
        <v>580</v>
      </c>
      <c r="L134" t="s">
        <v>527</v>
      </c>
      <c r="M134" t="s">
        <v>534</v>
      </c>
      <c r="N134" t="s">
        <v>581</v>
      </c>
      <c r="O134" t="s">
        <v>534</v>
      </c>
      <c r="P134">
        <v>1</v>
      </c>
      <c r="Q134" t="s">
        <v>547</v>
      </c>
      <c r="R134">
        <v>10</v>
      </c>
    </row>
    <row r="135" ht="17.4" spans="2:18">
      <c r="B135" s="30">
        <v>1</v>
      </c>
      <c r="C135" s="31" t="s">
        <v>184</v>
      </c>
      <c r="D135" s="32" t="s">
        <v>528</v>
      </c>
      <c r="E135" s="33" t="s">
        <v>494</v>
      </c>
      <c r="F135" s="33" t="s">
        <v>529</v>
      </c>
      <c r="G135" s="30" t="s">
        <v>530</v>
      </c>
      <c r="H135" s="30" t="s">
        <v>531</v>
      </c>
      <c r="I135" s="30" t="s">
        <v>532</v>
      </c>
      <c r="K135" t="s">
        <v>585</v>
      </c>
      <c r="L135" t="s">
        <v>527</v>
      </c>
      <c r="M135" t="s">
        <v>534</v>
      </c>
      <c r="N135" t="s">
        <v>586</v>
      </c>
      <c r="O135" t="s">
        <v>534</v>
      </c>
      <c r="P135">
        <v>1</v>
      </c>
      <c r="Q135" t="s">
        <v>547</v>
      </c>
      <c r="R135">
        <v>74</v>
      </c>
    </row>
    <row r="136" ht="17.4" spans="2:18">
      <c r="B136" s="30">
        <v>2</v>
      </c>
      <c r="C136" s="31" t="s">
        <v>184</v>
      </c>
      <c r="D136" s="32" t="s">
        <v>528</v>
      </c>
      <c r="E136" s="33" t="s">
        <v>494</v>
      </c>
      <c r="F136" s="33" t="s">
        <v>529</v>
      </c>
      <c r="G136" s="30" t="s">
        <v>530</v>
      </c>
      <c r="H136" s="30" t="s">
        <v>537</v>
      </c>
      <c r="I136" s="30" t="s">
        <v>538</v>
      </c>
      <c r="K136" t="s">
        <v>723</v>
      </c>
      <c r="L136" t="s">
        <v>527</v>
      </c>
      <c r="M136" t="s">
        <v>534</v>
      </c>
      <c r="N136" t="s">
        <v>724</v>
      </c>
      <c r="O136" t="s">
        <v>534</v>
      </c>
      <c r="P136">
        <v>1</v>
      </c>
      <c r="Q136" t="s">
        <v>547</v>
      </c>
      <c r="R136">
        <v>56</v>
      </c>
    </row>
    <row r="137" ht="17.4" spans="2:18">
      <c r="B137" s="30">
        <v>3</v>
      </c>
      <c r="C137" s="31" t="s">
        <v>184</v>
      </c>
      <c r="D137" s="32" t="s">
        <v>528</v>
      </c>
      <c r="E137" s="33" t="s">
        <v>494</v>
      </c>
      <c r="F137" s="33" t="s">
        <v>529</v>
      </c>
      <c r="G137" s="30" t="s">
        <v>542</v>
      </c>
      <c r="H137" s="30" t="s">
        <v>543</v>
      </c>
      <c r="I137" s="30" t="s">
        <v>544</v>
      </c>
      <c r="K137" t="s">
        <v>589</v>
      </c>
      <c r="L137" t="s">
        <v>527</v>
      </c>
      <c r="M137" t="s">
        <v>534</v>
      </c>
      <c r="N137" t="s">
        <v>590</v>
      </c>
      <c r="O137" t="s">
        <v>534</v>
      </c>
      <c r="P137">
        <v>1</v>
      </c>
      <c r="Q137" t="s">
        <v>547</v>
      </c>
      <c r="R137">
        <v>84</v>
      </c>
    </row>
    <row r="138" ht="17.4" spans="2:18">
      <c r="B138" s="30">
        <v>4</v>
      </c>
      <c r="C138" s="31" t="s">
        <v>184</v>
      </c>
      <c r="D138" s="32" t="s">
        <v>528</v>
      </c>
      <c r="E138" s="33" t="s">
        <v>494</v>
      </c>
      <c r="F138" s="33" t="s">
        <v>529</v>
      </c>
      <c r="G138" s="30" t="s">
        <v>542</v>
      </c>
      <c r="H138" s="30" t="s">
        <v>548</v>
      </c>
      <c r="I138" s="30" t="s">
        <v>549</v>
      </c>
      <c r="K138" t="s">
        <v>593</v>
      </c>
      <c r="L138" t="s">
        <v>527</v>
      </c>
      <c r="M138" t="s">
        <v>534</v>
      </c>
      <c r="N138" t="s">
        <v>594</v>
      </c>
      <c r="O138" t="s">
        <v>534</v>
      </c>
      <c r="P138">
        <v>1</v>
      </c>
      <c r="Q138" t="s">
        <v>547</v>
      </c>
      <c r="R138">
        <v>165</v>
      </c>
    </row>
    <row r="139" ht="17.4" spans="2:18">
      <c r="B139" s="30">
        <v>5</v>
      </c>
      <c r="C139" s="31" t="s">
        <v>184</v>
      </c>
      <c r="D139" s="32" t="s">
        <v>528</v>
      </c>
      <c r="E139" s="33" t="s">
        <v>494</v>
      </c>
      <c r="F139" s="33" t="s">
        <v>552</v>
      </c>
      <c r="G139" s="30" t="s">
        <v>553</v>
      </c>
      <c r="H139" s="30" t="s">
        <v>554</v>
      </c>
      <c r="I139" s="30" t="s">
        <v>555</v>
      </c>
      <c r="K139" t="s">
        <v>598</v>
      </c>
      <c r="L139" t="s">
        <v>527</v>
      </c>
      <c r="M139" t="s">
        <v>534</v>
      </c>
      <c r="N139" t="s">
        <v>534</v>
      </c>
      <c r="O139" t="s">
        <v>534</v>
      </c>
      <c r="P139">
        <v>1</v>
      </c>
      <c r="Q139" t="s">
        <v>547</v>
      </c>
      <c r="R139">
        <v>43</v>
      </c>
    </row>
    <row r="140" ht="17.4" spans="2:18">
      <c r="B140" s="30">
        <v>6</v>
      </c>
      <c r="C140" s="31" t="s">
        <v>184</v>
      </c>
      <c r="D140" s="32" t="s">
        <v>528</v>
      </c>
      <c r="E140" s="33" t="s">
        <v>494</v>
      </c>
      <c r="F140" s="33" t="s">
        <v>552</v>
      </c>
      <c r="G140" s="30" t="s">
        <v>558</v>
      </c>
      <c r="H140" s="30" t="s">
        <v>559</v>
      </c>
      <c r="I140" s="30" t="s">
        <v>560</v>
      </c>
      <c r="K140" t="s">
        <v>601</v>
      </c>
      <c r="L140" t="s">
        <v>527</v>
      </c>
      <c r="M140" t="s">
        <v>534</v>
      </c>
      <c r="N140" t="s">
        <v>590</v>
      </c>
      <c r="O140" t="s">
        <v>534</v>
      </c>
      <c r="P140">
        <v>1</v>
      </c>
      <c r="Q140" t="s">
        <v>547</v>
      </c>
      <c r="R140">
        <v>425</v>
      </c>
    </row>
    <row r="141" ht="17.4" spans="2:18">
      <c r="B141" s="30">
        <v>27</v>
      </c>
      <c r="C141" s="31" t="s">
        <v>184</v>
      </c>
      <c r="D141" s="32" t="s">
        <v>528</v>
      </c>
      <c r="E141" s="33" t="s">
        <v>494</v>
      </c>
      <c r="F141" s="33" t="s">
        <v>552</v>
      </c>
      <c r="G141" s="30" t="s">
        <v>558</v>
      </c>
      <c r="H141" s="30" t="s">
        <v>563</v>
      </c>
      <c r="I141" s="30" t="s">
        <v>564</v>
      </c>
      <c r="K141" t="s">
        <v>605</v>
      </c>
      <c r="L141" t="s">
        <v>527</v>
      </c>
      <c r="M141" t="s">
        <v>534</v>
      </c>
      <c r="N141" t="s">
        <v>606</v>
      </c>
      <c r="O141" t="s">
        <v>534</v>
      </c>
      <c r="P141">
        <v>1</v>
      </c>
      <c r="Q141" t="s">
        <v>547</v>
      </c>
      <c r="R141">
        <v>77</v>
      </c>
    </row>
    <row r="142" ht="17.4" spans="2:18">
      <c r="B142" s="30">
        <v>27</v>
      </c>
      <c r="C142" s="31" t="s">
        <v>184</v>
      </c>
      <c r="D142" s="32" t="s">
        <v>528</v>
      </c>
      <c r="E142" s="33" t="s">
        <v>494</v>
      </c>
      <c r="F142" s="33" t="s">
        <v>552</v>
      </c>
      <c r="G142" s="30" t="s">
        <v>558</v>
      </c>
      <c r="H142" s="30" t="s">
        <v>567</v>
      </c>
      <c r="I142" s="30" t="s">
        <v>568</v>
      </c>
      <c r="K142" t="s">
        <v>609</v>
      </c>
      <c r="L142" t="s">
        <v>527</v>
      </c>
      <c r="M142" t="s">
        <v>534</v>
      </c>
      <c r="N142" t="s">
        <v>610</v>
      </c>
      <c r="O142" t="s">
        <v>534</v>
      </c>
      <c r="P142">
        <v>3</v>
      </c>
      <c r="Q142" t="s">
        <v>611</v>
      </c>
      <c r="R142">
        <v>415</v>
      </c>
    </row>
    <row r="143" ht="17.4" spans="2:18">
      <c r="B143" s="30">
        <v>27</v>
      </c>
      <c r="C143" s="31" t="s">
        <v>184</v>
      </c>
      <c r="D143" s="32" t="s">
        <v>528</v>
      </c>
      <c r="E143" s="33" t="s">
        <v>494</v>
      </c>
      <c r="F143" s="33" t="s">
        <v>552</v>
      </c>
      <c r="G143" s="30" t="s">
        <v>558</v>
      </c>
      <c r="H143" s="30" t="s">
        <v>570</v>
      </c>
      <c r="I143" s="30" t="s">
        <v>571</v>
      </c>
      <c r="K143" t="s">
        <v>614</v>
      </c>
      <c r="L143" t="s">
        <v>527</v>
      </c>
      <c r="M143" t="s">
        <v>534</v>
      </c>
      <c r="N143" t="s">
        <v>615</v>
      </c>
      <c r="O143" t="s">
        <v>534</v>
      </c>
      <c r="P143">
        <v>1</v>
      </c>
      <c r="Q143" t="s">
        <v>616</v>
      </c>
      <c r="R143">
        <v>53</v>
      </c>
    </row>
    <row r="144" ht="17.4" spans="2:18">
      <c r="B144" s="30">
        <v>10</v>
      </c>
      <c r="C144" s="31" t="s">
        <v>184</v>
      </c>
      <c r="D144" s="32" t="s">
        <v>528</v>
      </c>
      <c r="E144" s="33" t="s">
        <v>494</v>
      </c>
      <c r="F144" s="33" t="s">
        <v>552</v>
      </c>
      <c r="G144" s="30" t="s">
        <v>574</v>
      </c>
      <c r="H144" s="30" t="s">
        <v>575</v>
      </c>
      <c r="I144" s="30" t="s">
        <v>576</v>
      </c>
      <c r="K144" t="s">
        <v>620</v>
      </c>
      <c r="L144" t="s">
        <v>527</v>
      </c>
      <c r="M144" t="s">
        <v>534</v>
      </c>
      <c r="N144" t="s">
        <v>615</v>
      </c>
      <c r="O144" t="s">
        <v>534</v>
      </c>
      <c r="P144">
        <v>2</v>
      </c>
      <c r="Q144" t="s">
        <v>621</v>
      </c>
      <c r="R144">
        <v>77</v>
      </c>
    </row>
    <row r="145" ht="17.4" spans="2:18">
      <c r="B145" s="30">
        <v>11</v>
      </c>
      <c r="C145" s="31" t="s">
        <v>184</v>
      </c>
      <c r="D145" s="32" t="s">
        <v>528</v>
      </c>
      <c r="E145" s="33" t="s">
        <v>494</v>
      </c>
      <c r="F145" s="33" t="s">
        <v>552</v>
      </c>
      <c r="G145" s="30" t="s">
        <v>574</v>
      </c>
      <c r="H145" s="30" t="s">
        <v>578</v>
      </c>
      <c r="I145" s="30" t="s">
        <v>579</v>
      </c>
      <c r="K145" t="s">
        <v>635</v>
      </c>
      <c r="L145" t="s">
        <v>527</v>
      </c>
      <c r="M145" t="s">
        <v>534</v>
      </c>
      <c r="N145" t="s">
        <v>534</v>
      </c>
      <c r="O145" t="s">
        <v>534</v>
      </c>
      <c r="P145">
        <v>1</v>
      </c>
      <c r="Q145" t="s">
        <v>547</v>
      </c>
      <c r="R145">
        <v>41</v>
      </c>
    </row>
    <row r="146" ht="17.4" spans="2:18">
      <c r="B146" s="30">
        <v>12</v>
      </c>
      <c r="C146" s="31" t="s">
        <v>184</v>
      </c>
      <c r="D146" s="32" t="s">
        <v>528</v>
      </c>
      <c r="E146" s="33" t="s">
        <v>494</v>
      </c>
      <c r="F146" s="33" t="s">
        <v>552</v>
      </c>
      <c r="G146" s="30" t="s">
        <v>582</v>
      </c>
      <c r="H146" s="30" t="s">
        <v>583</v>
      </c>
      <c r="I146" s="30" t="s">
        <v>584</v>
      </c>
      <c r="K146" t="s">
        <v>734</v>
      </c>
      <c r="L146" t="s">
        <v>527</v>
      </c>
      <c r="M146" t="s">
        <v>534</v>
      </c>
      <c r="N146" t="s">
        <v>735</v>
      </c>
      <c r="O146" t="s">
        <v>534</v>
      </c>
      <c r="P146">
        <v>1</v>
      </c>
      <c r="Q146" t="s">
        <v>681</v>
      </c>
      <c r="R146">
        <v>660</v>
      </c>
    </row>
    <row r="147" ht="17.4" spans="2:18">
      <c r="B147" s="30">
        <v>12</v>
      </c>
      <c r="C147" s="31" t="s">
        <v>184</v>
      </c>
      <c r="D147" s="32" t="s">
        <v>528</v>
      </c>
      <c r="E147" s="33" t="s">
        <v>494</v>
      </c>
      <c r="F147" s="33" t="s">
        <v>552</v>
      </c>
      <c r="G147" s="30" t="s">
        <v>582</v>
      </c>
      <c r="H147" s="30" t="s">
        <v>587</v>
      </c>
      <c r="I147" s="30" t="s">
        <v>588</v>
      </c>
      <c r="K147" t="s">
        <v>647</v>
      </c>
      <c r="L147" t="s">
        <v>527</v>
      </c>
      <c r="M147" t="s">
        <v>534</v>
      </c>
      <c r="N147" t="s">
        <v>534</v>
      </c>
      <c r="O147" t="s">
        <v>534</v>
      </c>
      <c r="P147">
        <v>1</v>
      </c>
      <c r="Q147" t="s">
        <v>648</v>
      </c>
      <c r="R147">
        <v>58</v>
      </c>
    </row>
    <row r="148" ht="17.4" spans="2:18">
      <c r="B148" s="30">
        <v>13</v>
      </c>
      <c r="C148" s="31" t="s">
        <v>184</v>
      </c>
      <c r="D148" s="32" t="s">
        <v>528</v>
      </c>
      <c r="E148" s="33" t="s">
        <v>494</v>
      </c>
      <c r="F148" s="33" t="s">
        <v>552</v>
      </c>
      <c r="G148" s="30" t="s">
        <v>553</v>
      </c>
      <c r="H148" s="30" t="s">
        <v>591</v>
      </c>
      <c r="I148" s="30" t="s">
        <v>592</v>
      </c>
      <c r="K148" t="s">
        <v>623</v>
      </c>
      <c r="L148" t="s">
        <v>527</v>
      </c>
      <c r="M148" t="s">
        <v>534</v>
      </c>
      <c r="N148" t="s">
        <v>624</v>
      </c>
      <c r="O148" t="s">
        <v>534</v>
      </c>
      <c r="P148">
        <v>1</v>
      </c>
      <c r="Q148" t="s">
        <v>625</v>
      </c>
      <c r="R148">
        <v>53</v>
      </c>
    </row>
    <row r="149" ht="17.4" spans="2:18">
      <c r="B149" s="30">
        <v>14</v>
      </c>
      <c r="C149" s="31" t="s">
        <v>184</v>
      </c>
      <c r="D149" s="32" t="s">
        <v>528</v>
      </c>
      <c r="E149" s="33" t="s">
        <v>494</v>
      </c>
      <c r="F149" s="33" t="s">
        <v>552</v>
      </c>
      <c r="G149" s="30" t="s">
        <v>595</v>
      </c>
      <c r="H149" s="30" t="s">
        <v>596</v>
      </c>
      <c r="I149" s="30" t="s">
        <v>597</v>
      </c>
      <c r="K149" t="s">
        <v>628</v>
      </c>
      <c r="L149" t="s">
        <v>527</v>
      </c>
      <c r="M149" t="s">
        <v>534</v>
      </c>
      <c r="N149" t="s">
        <v>629</v>
      </c>
      <c r="O149" t="s">
        <v>534</v>
      </c>
      <c r="P149">
        <v>1</v>
      </c>
      <c r="Q149" t="s">
        <v>547</v>
      </c>
      <c r="R149">
        <v>81</v>
      </c>
    </row>
    <row r="150" ht="17.4" spans="2:18">
      <c r="B150" s="30">
        <v>15</v>
      </c>
      <c r="C150" s="31" t="s">
        <v>184</v>
      </c>
      <c r="D150" s="32" t="s">
        <v>528</v>
      </c>
      <c r="E150" s="33" t="s">
        <v>494</v>
      </c>
      <c r="F150" s="33" t="s">
        <v>552</v>
      </c>
      <c r="G150" s="30" t="s">
        <v>558</v>
      </c>
      <c r="H150" s="30" t="s">
        <v>599</v>
      </c>
      <c r="I150" s="30" t="s">
        <v>600</v>
      </c>
      <c r="K150" t="s">
        <v>631</v>
      </c>
      <c r="L150" t="s">
        <v>527</v>
      </c>
      <c r="M150" t="s">
        <v>534</v>
      </c>
      <c r="N150" t="s">
        <v>534</v>
      </c>
      <c r="O150" t="s">
        <v>534</v>
      </c>
      <c r="P150">
        <v>1</v>
      </c>
      <c r="Q150" t="s">
        <v>632</v>
      </c>
      <c r="R150">
        <v>1086</v>
      </c>
    </row>
    <row r="151" ht="17.4" spans="2:18">
      <c r="B151" s="30">
        <v>16</v>
      </c>
      <c r="C151" s="31" t="s">
        <v>184</v>
      </c>
      <c r="D151" s="32" t="s">
        <v>528</v>
      </c>
      <c r="E151" s="33" t="s">
        <v>494</v>
      </c>
      <c r="F151" s="33" t="s">
        <v>552</v>
      </c>
      <c r="G151" s="30" t="s">
        <v>602</v>
      </c>
      <c r="H151" s="30" t="s">
        <v>603</v>
      </c>
      <c r="I151" s="30" t="s">
        <v>604</v>
      </c>
      <c r="K151" t="s">
        <v>736</v>
      </c>
      <c r="L151" t="s">
        <v>527</v>
      </c>
      <c r="M151" t="s">
        <v>534</v>
      </c>
      <c r="N151" t="s">
        <v>737</v>
      </c>
      <c r="O151" t="s">
        <v>534</v>
      </c>
      <c r="P151">
        <v>1</v>
      </c>
      <c r="Q151" t="s">
        <v>611</v>
      </c>
      <c r="R151">
        <v>800</v>
      </c>
    </row>
    <row r="152" ht="17.4" spans="2:18">
      <c r="B152" s="30">
        <v>17</v>
      </c>
      <c r="C152" s="31" t="s">
        <v>184</v>
      </c>
      <c r="D152" s="32" t="s">
        <v>528</v>
      </c>
      <c r="E152" s="33" t="s">
        <v>494</v>
      </c>
      <c r="F152" s="33" t="s">
        <v>552</v>
      </c>
      <c r="G152" s="30" t="s">
        <v>558</v>
      </c>
      <c r="H152" s="30" t="s">
        <v>607</v>
      </c>
      <c r="I152" s="30" t="s">
        <v>608</v>
      </c>
      <c r="K152" t="s">
        <v>565</v>
      </c>
      <c r="L152" t="s">
        <v>527</v>
      </c>
      <c r="M152" t="s">
        <v>534</v>
      </c>
      <c r="N152" t="s">
        <v>534</v>
      </c>
      <c r="O152" t="s">
        <v>534</v>
      </c>
      <c r="P152">
        <v>1</v>
      </c>
      <c r="Q152" t="s">
        <v>566</v>
      </c>
      <c r="R152">
        <v>640</v>
      </c>
    </row>
    <row r="153" ht="17.4" spans="2:18">
      <c r="B153" s="30">
        <v>18</v>
      </c>
      <c r="C153" s="31" t="s">
        <v>184</v>
      </c>
      <c r="D153" s="32" t="s">
        <v>528</v>
      </c>
      <c r="E153" s="33" t="s">
        <v>494</v>
      </c>
      <c r="F153" s="33" t="s">
        <v>552</v>
      </c>
      <c r="G153" s="30" t="s">
        <v>530</v>
      </c>
      <c r="H153" s="30" t="s">
        <v>612</v>
      </c>
      <c r="I153" s="30" t="s">
        <v>613</v>
      </c>
      <c r="K153" t="s">
        <v>569</v>
      </c>
      <c r="L153" t="s">
        <v>527</v>
      </c>
      <c r="M153" t="s">
        <v>534</v>
      </c>
      <c r="N153" t="s">
        <v>534</v>
      </c>
      <c r="O153" t="s">
        <v>534</v>
      </c>
      <c r="P153">
        <v>1</v>
      </c>
      <c r="Q153" t="s">
        <v>566</v>
      </c>
      <c r="R153">
        <v>425</v>
      </c>
    </row>
    <row r="154" ht="17.4" spans="2:18">
      <c r="B154" s="30">
        <v>33</v>
      </c>
      <c r="C154" s="31" t="s">
        <v>184</v>
      </c>
      <c r="D154" s="32" t="s">
        <v>528</v>
      </c>
      <c r="E154" s="33" t="s">
        <v>494</v>
      </c>
      <c r="F154" s="33" t="s">
        <v>552</v>
      </c>
      <c r="G154" s="30" t="s">
        <v>617</v>
      </c>
      <c r="H154" s="30" t="s">
        <v>618</v>
      </c>
      <c r="I154" s="30" t="s">
        <v>619</v>
      </c>
      <c r="K154" t="s">
        <v>572</v>
      </c>
      <c r="L154" t="s">
        <v>527</v>
      </c>
      <c r="M154" t="s">
        <v>534</v>
      </c>
      <c r="N154" t="s">
        <v>573</v>
      </c>
      <c r="O154" t="s">
        <v>534</v>
      </c>
      <c r="P154">
        <v>1</v>
      </c>
      <c r="Q154" t="s">
        <v>547</v>
      </c>
      <c r="R154">
        <v>959</v>
      </c>
    </row>
    <row r="155" ht="17.4" spans="2:18">
      <c r="B155" s="30">
        <v>19</v>
      </c>
      <c r="C155" s="31" t="s">
        <v>184</v>
      </c>
      <c r="D155" s="32" t="s">
        <v>528</v>
      </c>
      <c r="E155" s="33" t="s">
        <v>494</v>
      </c>
      <c r="F155" s="33" t="s">
        <v>552</v>
      </c>
      <c r="G155" s="30" t="s">
        <v>558</v>
      </c>
      <c r="H155" s="30" t="s">
        <v>649</v>
      </c>
      <c r="I155" s="30" t="s">
        <v>738</v>
      </c>
      <c r="K155" t="s">
        <v>609</v>
      </c>
      <c r="L155" t="s">
        <v>527</v>
      </c>
      <c r="M155" t="s">
        <v>534</v>
      </c>
      <c r="N155" t="s">
        <v>610</v>
      </c>
      <c r="O155" t="s">
        <v>534</v>
      </c>
      <c r="P155">
        <v>1</v>
      </c>
      <c r="Q155" t="s">
        <v>611</v>
      </c>
      <c r="R155">
        <v>415</v>
      </c>
    </row>
    <row r="156" ht="17.4" spans="2:18">
      <c r="B156" s="30">
        <v>19</v>
      </c>
      <c r="C156" s="31" t="s">
        <v>184</v>
      </c>
      <c r="D156" s="32" t="s">
        <v>528</v>
      </c>
      <c r="E156" s="33" t="s">
        <v>494</v>
      </c>
      <c r="F156" s="33" t="s">
        <v>552</v>
      </c>
      <c r="G156" s="30" t="s">
        <v>582</v>
      </c>
      <c r="H156" s="30" t="s">
        <v>739</v>
      </c>
      <c r="I156" s="30" t="s">
        <v>740</v>
      </c>
      <c r="K156" t="s">
        <v>620</v>
      </c>
      <c r="L156" t="s">
        <v>527</v>
      </c>
      <c r="M156" t="s">
        <v>534</v>
      </c>
      <c r="N156" t="s">
        <v>615</v>
      </c>
      <c r="O156" t="s">
        <v>534</v>
      </c>
      <c r="P156">
        <v>1</v>
      </c>
      <c r="Q156" t="s">
        <v>621</v>
      </c>
      <c r="R156">
        <v>77</v>
      </c>
    </row>
    <row r="157" ht="17.4" spans="2:18">
      <c r="B157" s="30">
        <v>20</v>
      </c>
      <c r="C157" s="31" t="s">
        <v>184</v>
      </c>
      <c r="D157" s="32" t="s">
        <v>528</v>
      </c>
      <c r="E157" s="33" t="s">
        <v>494</v>
      </c>
      <c r="F157" s="33" t="s">
        <v>552</v>
      </c>
      <c r="G157" s="30" t="s">
        <v>558</v>
      </c>
      <c r="H157" s="30" t="s">
        <v>475</v>
      </c>
      <c r="I157" s="30" t="s">
        <v>622</v>
      </c>
      <c r="K157" t="s">
        <v>577</v>
      </c>
      <c r="L157" t="s">
        <v>527</v>
      </c>
      <c r="M157" t="s">
        <v>534</v>
      </c>
      <c r="N157" t="s">
        <v>534</v>
      </c>
      <c r="O157" t="s">
        <v>534</v>
      </c>
      <c r="P157">
        <v>1</v>
      </c>
      <c r="Q157" t="s">
        <v>547</v>
      </c>
      <c r="R157">
        <v>1680</v>
      </c>
    </row>
    <row r="158" spans="2:18">
      <c r="B158">
        <v>26</v>
      </c>
      <c r="C158" t="s">
        <v>184</v>
      </c>
      <c r="D158" t="s">
        <v>528</v>
      </c>
      <c r="E158" t="s">
        <v>494</v>
      </c>
      <c r="F158" t="s">
        <v>552</v>
      </c>
      <c r="G158" t="s">
        <v>574</v>
      </c>
      <c r="H158" t="s">
        <v>741</v>
      </c>
      <c r="I158" t="s">
        <v>742</v>
      </c>
    </row>
    <row r="159" spans="2:18">
      <c r="B159">
        <v>24</v>
      </c>
      <c r="C159" t="s">
        <v>184</v>
      </c>
      <c r="D159" t="s">
        <v>528</v>
      </c>
      <c r="E159" t="s">
        <v>494</v>
      </c>
      <c r="F159" t="s">
        <v>552</v>
      </c>
      <c r="G159" t="s">
        <v>595</v>
      </c>
      <c r="H159" t="s">
        <v>626</v>
      </c>
      <c r="I159" t="s">
        <v>627</v>
      </c>
    </row>
    <row r="160" spans="2:18">
      <c r="B160">
        <v>26</v>
      </c>
      <c r="C160" t="s">
        <v>184</v>
      </c>
      <c r="D160" t="s">
        <v>528</v>
      </c>
      <c r="E160" t="s">
        <v>494</v>
      </c>
      <c r="F160" t="s">
        <v>552</v>
      </c>
      <c r="G160" t="s">
        <v>558</v>
      </c>
      <c r="H160" t="s">
        <v>476</v>
      </c>
      <c r="I160" t="s">
        <v>630</v>
      </c>
    </row>
    <row r="161" spans="2:9">
      <c r="B161">
        <v>27</v>
      </c>
      <c r="C161" t="s">
        <v>184</v>
      </c>
      <c r="D161" t="s">
        <v>528</v>
      </c>
      <c r="E161" t="s">
        <v>494</v>
      </c>
      <c r="F161" t="s">
        <v>552</v>
      </c>
      <c r="G161" t="s">
        <v>558</v>
      </c>
      <c r="H161" t="s">
        <v>633</v>
      </c>
      <c r="I161" t="s">
        <v>634</v>
      </c>
    </row>
    <row r="162" spans="2:9">
      <c r="B162">
        <v>33</v>
      </c>
      <c r="C162" t="s">
        <v>184</v>
      </c>
      <c r="D162" t="s">
        <v>528</v>
      </c>
      <c r="E162" t="s">
        <v>494</v>
      </c>
      <c r="F162" t="s">
        <v>552</v>
      </c>
      <c r="G162" t="s">
        <v>558</v>
      </c>
      <c r="H162" t="s">
        <v>636</v>
      </c>
      <c r="I162" t="s">
        <v>637</v>
      </c>
    </row>
    <row r="163" spans="2:9">
      <c r="B163">
        <v>35</v>
      </c>
      <c r="C163" t="s">
        <v>184</v>
      </c>
      <c r="D163" t="s">
        <v>528</v>
      </c>
      <c r="E163" t="s">
        <v>494</v>
      </c>
      <c r="F163" t="s">
        <v>640</v>
      </c>
      <c r="G163" t="s">
        <v>530</v>
      </c>
      <c r="H163" t="s">
        <v>641</v>
      </c>
      <c r="I163" t="s">
        <v>642</v>
      </c>
    </row>
    <row r="164" spans="2:9">
      <c r="B164">
        <v>37</v>
      </c>
      <c r="C164" t="s">
        <v>184</v>
      </c>
      <c r="D164" t="s">
        <v>528</v>
      </c>
      <c r="E164" t="s">
        <v>494</v>
      </c>
      <c r="F164" t="s">
        <v>640</v>
      </c>
      <c r="G164" t="s">
        <v>574</v>
      </c>
      <c r="H164" t="s">
        <v>645</v>
      </c>
      <c r="I164" t="s">
        <v>646</v>
      </c>
    </row>
    <row r="165" spans="2:9">
      <c r="B165">
        <v>38</v>
      </c>
      <c r="C165" t="s">
        <v>184</v>
      </c>
      <c r="D165" t="s">
        <v>528</v>
      </c>
      <c r="E165" t="s">
        <v>494</v>
      </c>
      <c r="F165" t="s">
        <v>640</v>
      </c>
      <c r="G165" t="s">
        <v>558</v>
      </c>
      <c r="H165" t="s">
        <v>649</v>
      </c>
      <c r="I165" t="s">
        <v>650</v>
      </c>
    </row>
    <row r="166" spans="2:9">
      <c r="B166">
        <v>39</v>
      </c>
      <c r="C166" t="s">
        <v>184</v>
      </c>
      <c r="D166" t="s">
        <v>528</v>
      </c>
      <c r="E166" t="s">
        <v>494</v>
      </c>
      <c r="F166" t="s">
        <v>640</v>
      </c>
      <c r="G166" t="s">
        <v>582</v>
      </c>
      <c r="H166" t="s">
        <v>652</v>
      </c>
      <c r="I166" t="s">
        <v>653</v>
      </c>
    </row>
    <row r="167" spans="2:9">
      <c r="B167">
        <v>40</v>
      </c>
      <c r="C167" t="s">
        <v>184</v>
      </c>
      <c r="D167" t="s">
        <v>528</v>
      </c>
      <c r="E167" t="s">
        <v>494</v>
      </c>
      <c r="F167" t="s">
        <v>640</v>
      </c>
      <c r="G167" t="s">
        <v>656</v>
      </c>
      <c r="H167" t="s">
        <v>657</v>
      </c>
      <c r="I167" t="s">
        <v>658</v>
      </c>
    </row>
    <row r="168" spans="2:9">
      <c r="B168">
        <v>41</v>
      </c>
      <c r="C168" t="s">
        <v>184</v>
      </c>
      <c r="D168" t="s">
        <v>528</v>
      </c>
      <c r="E168" t="s">
        <v>494</v>
      </c>
      <c r="F168" t="s">
        <v>640</v>
      </c>
      <c r="G168" t="s">
        <v>656</v>
      </c>
      <c r="H168" t="s">
        <v>661</v>
      </c>
      <c r="I168" t="s">
        <v>662</v>
      </c>
    </row>
    <row r="169" spans="2:9">
      <c r="B169">
        <v>42</v>
      </c>
      <c r="C169" t="s">
        <v>184</v>
      </c>
      <c r="D169" t="s">
        <v>528</v>
      </c>
      <c r="E169" t="s">
        <v>494</v>
      </c>
      <c r="F169" t="s">
        <v>640</v>
      </c>
      <c r="G169" t="s">
        <v>656</v>
      </c>
      <c r="H169" t="s">
        <v>665</v>
      </c>
      <c r="I169" t="s">
        <v>666</v>
      </c>
    </row>
    <row r="170" spans="2:9">
      <c r="B170">
        <v>43</v>
      </c>
      <c r="C170" t="s">
        <v>184</v>
      </c>
      <c r="D170" t="s">
        <v>528</v>
      </c>
      <c r="E170" t="s">
        <v>494</v>
      </c>
      <c r="F170" t="s">
        <v>640</v>
      </c>
      <c r="G170" t="s">
        <v>574</v>
      </c>
      <c r="H170" t="s">
        <v>669</v>
      </c>
      <c r="I170" t="s">
        <v>670</v>
      </c>
    </row>
    <row r="171" spans="2:9">
      <c r="B171">
        <v>44</v>
      </c>
      <c r="C171" t="s">
        <v>184</v>
      </c>
      <c r="D171" t="s">
        <v>528</v>
      </c>
      <c r="E171" t="s">
        <v>494</v>
      </c>
      <c r="F171" t="s">
        <v>640</v>
      </c>
      <c r="G171" t="s">
        <v>542</v>
      </c>
      <c r="H171" t="s">
        <v>673</v>
      </c>
      <c r="I171" t="s">
        <v>674</v>
      </c>
    </row>
    <row r="172" spans="2:9">
      <c r="B172">
        <v>45</v>
      </c>
      <c r="C172" t="s">
        <v>184</v>
      </c>
      <c r="D172" t="s">
        <v>528</v>
      </c>
      <c r="E172" t="s">
        <v>494</v>
      </c>
      <c r="F172" t="s">
        <v>640</v>
      </c>
      <c r="G172" t="s">
        <v>656</v>
      </c>
      <c r="H172" t="s">
        <v>677</v>
      </c>
      <c r="I172" t="s">
        <v>678</v>
      </c>
    </row>
    <row r="173" spans="2:9">
      <c r="B173">
        <v>46</v>
      </c>
      <c r="C173" t="s">
        <v>184</v>
      </c>
      <c r="D173" t="s">
        <v>528</v>
      </c>
      <c r="E173" t="s">
        <v>494</v>
      </c>
      <c r="F173" t="s">
        <v>640</v>
      </c>
      <c r="G173" t="s">
        <v>656</v>
      </c>
      <c r="H173" t="s">
        <v>682</v>
      </c>
      <c r="I173" t="s">
        <v>683</v>
      </c>
    </row>
    <row r="174" spans="2:9">
      <c r="B174">
        <v>47</v>
      </c>
      <c r="C174" t="s">
        <v>184</v>
      </c>
      <c r="D174" t="s">
        <v>528</v>
      </c>
      <c r="E174" t="s">
        <v>494</v>
      </c>
      <c r="F174" t="s">
        <v>640</v>
      </c>
      <c r="G174" t="s">
        <v>656</v>
      </c>
      <c r="H174" t="s">
        <v>686</v>
      </c>
      <c r="I174" t="s">
        <v>687</v>
      </c>
    </row>
    <row r="175" spans="2:9">
      <c r="B175">
        <v>1</v>
      </c>
      <c r="C175" t="s">
        <v>184</v>
      </c>
      <c r="D175" t="s">
        <v>528</v>
      </c>
      <c r="E175" t="s">
        <v>495</v>
      </c>
      <c r="F175" t="s">
        <v>529</v>
      </c>
      <c r="G175" t="s">
        <v>530</v>
      </c>
      <c r="H175" t="s">
        <v>531</v>
      </c>
      <c r="I175" t="s">
        <v>532</v>
      </c>
    </row>
    <row r="176" spans="2:9">
      <c r="B176">
        <v>2</v>
      </c>
      <c r="C176" t="s">
        <v>184</v>
      </c>
      <c r="D176" t="s">
        <v>528</v>
      </c>
      <c r="E176" t="s">
        <v>495</v>
      </c>
      <c r="F176" t="s">
        <v>529</v>
      </c>
      <c r="G176" t="s">
        <v>530</v>
      </c>
      <c r="H176" t="s">
        <v>537</v>
      </c>
      <c r="I176" t="s">
        <v>538</v>
      </c>
    </row>
    <row r="177" spans="2:9">
      <c r="B177">
        <v>3</v>
      </c>
      <c r="C177" t="s">
        <v>184</v>
      </c>
      <c r="D177" t="s">
        <v>528</v>
      </c>
      <c r="E177" t="s">
        <v>495</v>
      </c>
      <c r="F177" t="s">
        <v>529</v>
      </c>
      <c r="G177" t="s">
        <v>542</v>
      </c>
      <c r="H177" t="s">
        <v>543</v>
      </c>
      <c r="I177" t="s">
        <v>544</v>
      </c>
    </row>
    <row r="178" spans="2:9">
      <c r="B178">
        <v>4</v>
      </c>
      <c r="C178" t="s">
        <v>184</v>
      </c>
      <c r="D178" t="s">
        <v>528</v>
      </c>
      <c r="E178" t="s">
        <v>495</v>
      </c>
      <c r="F178" t="s">
        <v>529</v>
      </c>
      <c r="G178" t="s">
        <v>542</v>
      </c>
      <c r="H178" t="s">
        <v>548</v>
      </c>
      <c r="I178" t="s">
        <v>549</v>
      </c>
    </row>
    <row r="179" spans="2:9">
      <c r="B179">
        <v>5</v>
      </c>
      <c r="C179" t="s">
        <v>184</v>
      </c>
      <c r="D179" t="s">
        <v>528</v>
      </c>
      <c r="E179" t="s">
        <v>495</v>
      </c>
      <c r="F179" t="s">
        <v>694</v>
      </c>
      <c r="G179" t="s">
        <v>553</v>
      </c>
      <c r="H179" t="s">
        <v>554</v>
      </c>
      <c r="I179" t="s">
        <v>555</v>
      </c>
    </row>
    <row r="180" spans="2:9">
      <c r="B180">
        <v>6</v>
      </c>
      <c r="C180" t="s">
        <v>184</v>
      </c>
      <c r="D180" t="s">
        <v>528</v>
      </c>
      <c r="E180" t="s">
        <v>495</v>
      </c>
      <c r="F180" t="s">
        <v>694</v>
      </c>
      <c r="G180" t="s">
        <v>558</v>
      </c>
      <c r="H180" t="s">
        <v>559</v>
      </c>
      <c r="I180" t="s">
        <v>560</v>
      </c>
    </row>
    <row r="181" spans="2:9">
      <c r="B181">
        <v>7</v>
      </c>
      <c r="C181" t="s">
        <v>184</v>
      </c>
      <c r="D181" t="s">
        <v>528</v>
      </c>
      <c r="E181" t="s">
        <v>495</v>
      </c>
      <c r="F181" t="s">
        <v>694</v>
      </c>
      <c r="G181" t="s">
        <v>558</v>
      </c>
      <c r="H181" t="s">
        <v>695</v>
      </c>
      <c r="I181" t="s">
        <v>696</v>
      </c>
    </row>
    <row r="182" spans="2:9">
      <c r="B182">
        <v>7</v>
      </c>
      <c r="C182" t="s">
        <v>184</v>
      </c>
      <c r="D182" t="s">
        <v>528</v>
      </c>
      <c r="E182" t="s">
        <v>495</v>
      </c>
      <c r="F182" t="s">
        <v>694</v>
      </c>
      <c r="G182" t="s">
        <v>558</v>
      </c>
      <c r="H182" t="s">
        <v>697</v>
      </c>
      <c r="I182" t="s">
        <v>743</v>
      </c>
    </row>
    <row r="183" spans="2:9">
      <c r="B183">
        <v>9</v>
      </c>
      <c r="C183" t="s">
        <v>184</v>
      </c>
      <c r="D183" t="s">
        <v>528</v>
      </c>
      <c r="E183" t="s">
        <v>495</v>
      </c>
      <c r="F183" t="s">
        <v>694</v>
      </c>
      <c r="G183" t="s">
        <v>558</v>
      </c>
      <c r="H183" t="s">
        <v>479</v>
      </c>
      <c r="I183" t="s">
        <v>699</v>
      </c>
    </row>
    <row r="184" spans="2:9">
      <c r="B184">
        <v>9</v>
      </c>
      <c r="C184" t="s">
        <v>184</v>
      </c>
      <c r="D184" t="s">
        <v>528</v>
      </c>
      <c r="E184" t="s">
        <v>495</v>
      </c>
      <c r="F184" t="s">
        <v>694</v>
      </c>
      <c r="G184" t="s">
        <v>558</v>
      </c>
      <c r="H184" t="s">
        <v>633</v>
      </c>
      <c r="I184" t="s">
        <v>700</v>
      </c>
    </row>
    <row r="185" spans="2:9">
      <c r="B185">
        <v>10</v>
      </c>
      <c r="C185" t="s">
        <v>184</v>
      </c>
      <c r="D185" t="s">
        <v>528</v>
      </c>
      <c r="E185" t="s">
        <v>495</v>
      </c>
      <c r="F185" t="s">
        <v>694</v>
      </c>
      <c r="G185" t="s">
        <v>574</v>
      </c>
      <c r="H185" t="s">
        <v>575</v>
      </c>
      <c r="I185" t="s">
        <v>576</v>
      </c>
    </row>
    <row r="186" spans="2:9">
      <c r="B186">
        <v>11</v>
      </c>
      <c r="C186" t="s">
        <v>184</v>
      </c>
      <c r="D186" t="s">
        <v>528</v>
      </c>
      <c r="E186" t="s">
        <v>495</v>
      </c>
      <c r="F186" t="s">
        <v>694</v>
      </c>
      <c r="G186" t="s">
        <v>574</v>
      </c>
      <c r="H186" t="s">
        <v>578</v>
      </c>
      <c r="I186" t="s">
        <v>579</v>
      </c>
    </row>
    <row r="187" spans="2:9">
      <c r="B187">
        <v>12</v>
      </c>
      <c r="C187" t="s">
        <v>184</v>
      </c>
      <c r="D187" t="s">
        <v>528</v>
      </c>
      <c r="E187" t="s">
        <v>495</v>
      </c>
      <c r="F187" t="s">
        <v>694</v>
      </c>
      <c r="G187" t="s">
        <v>582</v>
      </c>
      <c r="H187" t="s">
        <v>583</v>
      </c>
      <c r="I187" t="s">
        <v>584</v>
      </c>
    </row>
    <row r="188" spans="2:9">
      <c r="B188">
        <v>12</v>
      </c>
      <c r="C188" t="s">
        <v>184</v>
      </c>
      <c r="D188" t="s">
        <v>528</v>
      </c>
      <c r="E188" t="s">
        <v>495</v>
      </c>
      <c r="F188" t="s">
        <v>694</v>
      </c>
      <c r="G188" t="s">
        <v>582</v>
      </c>
      <c r="H188" t="s">
        <v>587</v>
      </c>
      <c r="I188" t="s">
        <v>588</v>
      </c>
    </row>
    <row r="189" spans="2:9">
      <c r="B189">
        <v>13</v>
      </c>
      <c r="C189" t="s">
        <v>184</v>
      </c>
      <c r="D189" t="s">
        <v>528</v>
      </c>
      <c r="E189" t="s">
        <v>495</v>
      </c>
      <c r="F189" t="s">
        <v>694</v>
      </c>
      <c r="G189" t="s">
        <v>553</v>
      </c>
      <c r="H189" t="s">
        <v>591</v>
      </c>
      <c r="I189" t="s">
        <v>592</v>
      </c>
    </row>
    <row r="190" spans="2:9">
      <c r="B190">
        <v>14</v>
      </c>
      <c r="C190" t="s">
        <v>184</v>
      </c>
      <c r="D190" t="s">
        <v>528</v>
      </c>
      <c r="E190" t="s">
        <v>495</v>
      </c>
      <c r="F190" t="s">
        <v>694</v>
      </c>
      <c r="G190" t="s">
        <v>595</v>
      </c>
      <c r="H190" t="s">
        <v>596</v>
      </c>
      <c r="I190" t="s">
        <v>597</v>
      </c>
    </row>
    <row r="191" spans="2:9">
      <c r="B191">
        <v>15</v>
      </c>
      <c r="C191" t="s">
        <v>184</v>
      </c>
      <c r="D191" t="s">
        <v>528</v>
      </c>
      <c r="E191" t="s">
        <v>495</v>
      </c>
      <c r="F191" t="s">
        <v>694</v>
      </c>
      <c r="G191" t="s">
        <v>558</v>
      </c>
      <c r="H191" t="s">
        <v>599</v>
      </c>
      <c r="I191" t="s">
        <v>600</v>
      </c>
    </row>
    <row r="192" spans="2:9">
      <c r="B192">
        <v>16</v>
      </c>
      <c r="C192" t="s">
        <v>184</v>
      </c>
      <c r="D192" t="s">
        <v>528</v>
      </c>
      <c r="E192" t="s">
        <v>495</v>
      </c>
      <c r="F192" t="s">
        <v>694</v>
      </c>
      <c r="G192" t="s">
        <v>602</v>
      </c>
      <c r="H192" t="s">
        <v>603</v>
      </c>
      <c r="I192" t="s">
        <v>604</v>
      </c>
    </row>
    <row r="193" spans="2:9">
      <c r="B193">
        <v>17</v>
      </c>
      <c r="C193" t="s">
        <v>184</v>
      </c>
      <c r="D193" t="s">
        <v>528</v>
      </c>
      <c r="E193" t="s">
        <v>495</v>
      </c>
      <c r="F193" t="s">
        <v>694</v>
      </c>
      <c r="G193" t="s">
        <v>558</v>
      </c>
      <c r="H193" t="s">
        <v>607</v>
      </c>
      <c r="I193" t="s">
        <v>608</v>
      </c>
    </row>
    <row r="194" spans="2:9">
      <c r="B194">
        <v>18</v>
      </c>
      <c r="C194" t="s">
        <v>184</v>
      </c>
      <c r="D194" t="s">
        <v>528</v>
      </c>
      <c r="E194" t="s">
        <v>495</v>
      </c>
      <c r="F194" t="s">
        <v>694</v>
      </c>
      <c r="G194" t="s">
        <v>530</v>
      </c>
      <c r="H194" t="s">
        <v>612</v>
      </c>
      <c r="I194" t="s">
        <v>613</v>
      </c>
    </row>
    <row r="195" spans="2:9">
      <c r="B195">
        <v>19</v>
      </c>
      <c r="C195" t="s">
        <v>184</v>
      </c>
      <c r="D195" t="s">
        <v>528</v>
      </c>
      <c r="E195" t="s">
        <v>495</v>
      </c>
      <c r="F195" t="s">
        <v>694</v>
      </c>
      <c r="G195" t="s">
        <v>617</v>
      </c>
      <c r="H195" t="s">
        <v>618</v>
      </c>
      <c r="I195" t="s">
        <v>619</v>
      </c>
    </row>
    <row r="196" spans="2:9">
      <c r="B196">
        <v>24</v>
      </c>
      <c r="C196" t="s">
        <v>184</v>
      </c>
      <c r="D196" t="s">
        <v>528</v>
      </c>
      <c r="E196" t="s">
        <v>495</v>
      </c>
      <c r="F196" t="s">
        <v>694</v>
      </c>
      <c r="G196" t="s">
        <v>595</v>
      </c>
      <c r="H196" t="s">
        <v>626</v>
      </c>
      <c r="I196" t="s">
        <v>627</v>
      </c>
    </row>
    <row r="197" spans="2:9">
      <c r="B197">
        <v>33</v>
      </c>
      <c r="C197" t="s">
        <v>184</v>
      </c>
      <c r="D197" t="s">
        <v>528</v>
      </c>
      <c r="E197" t="s">
        <v>495</v>
      </c>
      <c r="F197" t="s">
        <v>694</v>
      </c>
      <c r="G197" t="s">
        <v>558</v>
      </c>
      <c r="H197" t="s">
        <v>636</v>
      </c>
      <c r="I197" t="s">
        <v>637</v>
      </c>
    </row>
    <row r="198" spans="2:9">
      <c r="B198">
        <v>20</v>
      </c>
      <c r="C198" t="s">
        <v>184</v>
      </c>
      <c r="D198" t="s">
        <v>528</v>
      </c>
      <c r="E198" t="s">
        <v>495</v>
      </c>
      <c r="F198" t="s">
        <v>694</v>
      </c>
      <c r="G198" t="s">
        <v>558</v>
      </c>
      <c r="H198" t="s">
        <v>475</v>
      </c>
      <c r="I198" t="s">
        <v>725</v>
      </c>
    </row>
    <row r="199" spans="2:9">
      <c r="B199">
        <v>27</v>
      </c>
      <c r="C199" t="s">
        <v>184</v>
      </c>
      <c r="D199" t="s">
        <v>528</v>
      </c>
      <c r="E199" t="s">
        <v>495</v>
      </c>
      <c r="F199" t="s">
        <v>552</v>
      </c>
      <c r="G199" t="s">
        <v>530</v>
      </c>
      <c r="H199" t="s">
        <v>701</v>
      </c>
      <c r="I199" t="s">
        <v>702</v>
      </c>
    </row>
    <row r="200" spans="2:9">
      <c r="B200">
        <v>27</v>
      </c>
      <c r="C200" t="s">
        <v>184</v>
      </c>
      <c r="D200" t="s">
        <v>528</v>
      </c>
      <c r="E200" t="s">
        <v>495</v>
      </c>
      <c r="F200" t="s">
        <v>552</v>
      </c>
      <c r="G200" t="s">
        <v>558</v>
      </c>
      <c r="H200" t="s">
        <v>563</v>
      </c>
      <c r="I200" t="s">
        <v>564</v>
      </c>
    </row>
    <row r="201" spans="2:9">
      <c r="B201">
        <v>27</v>
      </c>
      <c r="C201" t="s">
        <v>184</v>
      </c>
      <c r="D201" t="s">
        <v>528</v>
      </c>
      <c r="E201" t="s">
        <v>495</v>
      </c>
      <c r="F201" t="s">
        <v>552</v>
      </c>
      <c r="G201" t="s">
        <v>558</v>
      </c>
      <c r="H201" t="s">
        <v>567</v>
      </c>
      <c r="I201" t="s">
        <v>568</v>
      </c>
    </row>
    <row r="202" spans="2:9">
      <c r="B202">
        <v>27</v>
      </c>
      <c r="C202" t="s">
        <v>184</v>
      </c>
      <c r="D202" t="s">
        <v>528</v>
      </c>
      <c r="E202" t="s">
        <v>495</v>
      </c>
      <c r="F202" t="s">
        <v>552</v>
      </c>
      <c r="G202" t="s">
        <v>558</v>
      </c>
      <c r="H202" t="s">
        <v>695</v>
      </c>
      <c r="I202" t="s">
        <v>744</v>
      </c>
    </row>
    <row r="203" spans="2:9">
      <c r="B203">
        <v>27</v>
      </c>
      <c r="C203" t="s">
        <v>184</v>
      </c>
      <c r="D203" t="s">
        <v>528</v>
      </c>
      <c r="E203" t="s">
        <v>495</v>
      </c>
      <c r="F203" t="s">
        <v>552</v>
      </c>
      <c r="G203" t="s">
        <v>558</v>
      </c>
      <c r="H203" t="s">
        <v>697</v>
      </c>
      <c r="I203" t="s">
        <v>698</v>
      </c>
    </row>
    <row r="204" spans="2:9">
      <c r="B204">
        <v>27</v>
      </c>
      <c r="C204" t="s">
        <v>184</v>
      </c>
      <c r="D204" t="s">
        <v>528</v>
      </c>
      <c r="E204" t="s">
        <v>495</v>
      </c>
      <c r="F204" t="s">
        <v>552</v>
      </c>
      <c r="G204" t="s">
        <v>558</v>
      </c>
      <c r="H204" t="s">
        <v>476</v>
      </c>
      <c r="I204" t="s">
        <v>630</v>
      </c>
    </row>
    <row r="205" spans="2:9">
      <c r="B205">
        <v>27</v>
      </c>
      <c r="C205" t="s">
        <v>184</v>
      </c>
      <c r="D205" t="s">
        <v>528</v>
      </c>
      <c r="E205" t="s">
        <v>495</v>
      </c>
      <c r="F205" t="s">
        <v>552</v>
      </c>
      <c r="G205" t="s">
        <v>558</v>
      </c>
      <c r="H205" t="s">
        <v>633</v>
      </c>
      <c r="I205" t="s">
        <v>634</v>
      </c>
    </row>
    <row r="206" spans="2:9">
      <c r="B206">
        <v>27</v>
      </c>
      <c r="C206" t="s">
        <v>184</v>
      </c>
      <c r="D206" t="s">
        <v>528</v>
      </c>
      <c r="E206" t="s">
        <v>495</v>
      </c>
      <c r="F206" t="s">
        <v>552</v>
      </c>
      <c r="G206" t="s">
        <v>558</v>
      </c>
      <c r="H206" t="s">
        <v>570</v>
      </c>
      <c r="I206" t="s">
        <v>571</v>
      </c>
    </row>
    <row r="207" spans="2:9">
      <c r="B207">
        <v>33</v>
      </c>
      <c r="C207" t="s">
        <v>184</v>
      </c>
      <c r="D207" t="s">
        <v>528</v>
      </c>
      <c r="E207" t="s">
        <v>495</v>
      </c>
      <c r="F207" t="s">
        <v>552</v>
      </c>
      <c r="G207" t="s">
        <v>530</v>
      </c>
      <c r="H207" t="s">
        <v>612</v>
      </c>
      <c r="I207" t="s">
        <v>613</v>
      </c>
    </row>
    <row r="208" spans="2:9">
      <c r="B208">
        <v>33</v>
      </c>
      <c r="C208" t="s">
        <v>184</v>
      </c>
      <c r="D208" t="s">
        <v>528</v>
      </c>
      <c r="E208" t="s">
        <v>495</v>
      </c>
      <c r="F208" t="s">
        <v>552</v>
      </c>
      <c r="G208" t="s">
        <v>617</v>
      </c>
      <c r="H208" t="s">
        <v>618</v>
      </c>
      <c r="I208" t="s">
        <v>703</v>
      </c>
    </row>
    <row r="209" spans="2:9">
      <c r="B209">
        <v>33</v>
      </c>
      <c r="C209" t="s">
        <v>184</v>
      </c>
      <c r="D209" t="s">
        <v>528</v>
      </c>
      <c r="E209" t="s">
        <v>495</v>
      </c>
      <c r="F209" t="s">
        <v>552</v>
      </c>
      <c r="G209" t="s">
        <v>574</v>
      </c>
      <c r="H209" t="s">
        <v>575</v>
      </c>
      <c r="I209" t="s">
        <v>576</v>
      </c>
    </row>
    <row r="210" spans="2:9">
      <c r="B210">
        <v>33</v>
      </c>
      <c r="C210" t="s">
        <v>184</v>
      </c>
      <c r="D210" t="s">
        <v>528</v>
      </c>
      <c r="E210" t="s">
        <v>495</v>
      </c>
      <c r="F210" t="s">
        <v>552</v>
      </c>
      <c r="G210" t="s">
        <v>574</v>
      </c>
      <c r="H210" t="s">
        <v>578</v>
      </c>
      <c r="I210" t="s">
        <v>579</v>
      </c>
    </row>
    <row r="211" spans="2:9">
      <c r="B211">
        <v>13</v>
      </c>
      <c r="C211" t="s">
        <v>184</v>
      </c>
      <c r="D211" t="s">
        <v>528</v>
      </c>
      <c r="E211" t="s">
        <v>495</v>
      </c>
      <c r="F211" t="s">
        <v>552</v>
      </c>
      <c r="G211" t="s">
        <v>553</v>
      </c>
      <c r="H211" t="s">
        <v>591</v>
      </c>
      <c r="I211" t="s">
        <v>592</v>
      </c>
    </row>
    <row r="212" spans="2:9">
      <c r="B212">
        <v>12</v>
      </c>
      <c r="C212" t="s">
        <v>184</v>
      </c>
      <c r="D212" t="s">
        <v>528</v>
      </c>
      <c r="E212" t="s">
        <v>495</v>
      </c>
      <c r="F212" t="s">
        <v>552</v>
      </c>
      <c r="G212" t="s">
        <v>582</v>
      </c>
      <c r="H212" t="s">
        <v>583</v>
      </c>
      <c r="I212" t="s">
        <v>584</v>
      </c>
    </row>
    <row r="213" spans="2:9">
      <c r="B213">
        <v>35</v>
      </c>
      <c r="C213" t="s">
        <v>184</v>
      </c>
      <c r="D213" t="s">
        <v>528</v>
      </c>
      <c r="E213" t="s">
        <v>495</v>
      </c>
      <c r="F213" t="s">
        <v>640</v>
      </c>
      <c r="G213" t="s">
        <v>530</v>
      </c>
      <c r="H213" t="s">
        <v>641</v>
      </c>
      <c r="I213" t="s">
        <v>642</v>
      </c>
    </row>
    <row r="214" spans="2:9">
      <c r="B214">
        <v>37</v>
      </c>
      <c r="C214" t="s">
        <v>184</v>
      </c>
      <c r="D214" t="s">
        <v>528</v>
      </c>
      <c r="E214" t="s">
        <v>495</v>
      </c>
      <c r="F214" t="s">
        <v>640</v>
      </c>
      <c r="G214" t="s">
        <v>574</v>
      </c>
      <c r="H214" t="s">
        <v>645</v>
      </c>
      <c r="I214" t="s">
        <v>646</v>
      </c>
    </row>
    <row r="215" spans="2:9">
      <c r="B215">
        <v>38</v>
      </c>
      <c r="C215" t="s">
        <v>184</v>
      </c>
      <c r="D215" t="s">
        <v>528</v>
      </c>
      <c r="E215" t="s">
        <v>495</v>
      </c>
      <c r="F215" t="s">
        <v>640</v>
      </c>
      <c r="G215" t="s">
        <v>558</v>
      </c>
      <c r="H215" t="s">
        <v>649</v>
      </c>
      <c r="I215" t="s">
        <v>650</v>
      </c>
    </row>
    <row r="216" spans="2:9">
      <c r="B216">
        <v>39</v>
      </c>
      <c r="C216" t="s">
        <v>184</v>
      </c>
      <c r="D216" t="s">
        <v>528</v>
      </c>
      <c r="E216" t="s">
        <v>495</v>
      </c>
      <c r="F216" t="s">
        <v>640</v>
      </c>
      <c r="G216" t="s">
        <v>582</v>
      </c>
      <c r="H216" t="s">
        <v>652</v>
      </c>
      <c r="I216" t="s">
        <v>653</v>
      </c>
    </row>
    <row r="217" spans="2:9">
      <c r="B217">
        <v>40</v>
      </c>
      <c r="C217" t="s">
        <v>184</v>
      </c>
      <c r="D217" t="s">
        <v>528</v>
      </c>
      <c r="E217" t="s">
        <v>495</v>
      </c>
      <c r="F217" t="s">
        <v>640</v>
      </c>
      <c r="G217" t="s">
        <v>656</v>
      </c>
      <c r="H217" t="s">
        <v>657</v>
      </c>
      <c r="I217" t="s">
        <v>658</v>
      </c>
    </row>
    <row r="218" spans="2:9">
      <c r="B218">
        <v>41</v>
      </c>
      <c r="C218" t="s">
        <v>184</v>
      </c>
      <c r="D218" t="s">
        <v>528</v>
      </c>
      <c r="E218" t="s">
        <v>495</v>
      </c>
      <c r="F218" t="s">
        <v>640</v>
      </c>
      <c r="G218" t="s">
        <v>656</v>
      </c>
      <c r="H218" t="s">
        <v>661</v>
      </c>
      <c r="I218" t="s">
        <v>662</v>
      </c>
    </row>
    <row r="219" spans="2:9">
      <c r="B219">
        <v>42</v>
      </c>
      <c r="C219" t="s">
        <v>184</v>
      </c>
      <c r="D219" t="s">
        <v>528</v>
      </c>
      <c r="E219" t="s">
        <v>495</v>
      </c>
      <c r="F219" t="s">
        <v>640</v>
      </c>
      <c r="G219" t="s">
        <v>656</v>
      </c>
      <c r="H219" t="s">
        <v>665</v>
      </c>
      <c r="I219" t="s">
        <v>666</v>
      </c>
    </row>
    <row r="220" spans="2:9">
      <c r="B220">
        <v>43</v>
      </c>
      <c r="C220" t="s">
        <v>184</v>
      </c>
      <c r="D220" t="s">
        <v>528</v>
      </c>
      <c r="E220" t="s">
        <v>495</v>
      </c>
      <c r="F220" t="s">
        <v>640</v>
      </c>
      <c r="G220" t="s">
        <v>574</v>
      </c>
      <c r="H220" t="s">
        <v>669</v>
      </c>
      <c r="I220" t="s">
        <v>721</v>
      </c>
    </row>
    <row r="221" spans="2:9">
      <c r="B221">
        <v>44</v>
      </c>
      <c r="C221" t="s">
        <v>184</v>
      </c>
      <c r="D221" t="s">
        <v>528</v>
      </c>
      <c r="E221" t="s">
        <v>495</v>
      </c>
      <c r="F221" t="s">
        <v>640</v>
      </c>
      <c r="G221" t="s">
        <v>542</v>
      </c>
      <c r="H221" t="s">
        <v>673</v>
      </c>
      <c r="I221" t="s">
        <v>674</v>
      </c>
    </row>
    <row r="222" spans="2:9">
      <c r="B222">
        <v>45</v>
      </c>
      <c r="C222" t="s">
        <v>184</v>
      </c>
      <c r="D222" t="s">
        <v>528</v>
      </c>
      <c r="E222" t="s">
        <v>495</v>
      </c>
      <c r="F222" t="s">
        <v>640</v>
      </c>
      <c r="G222" t="s">
        <v>656</v>
      </c>
      <c r="H222" t="s">
        <v>677</v>
      </c>
      <c r="I222" t="s">
        <v>678</v>
      </c>
    </row>
    <row r="223" spans="2:9">
      <c r="B223">
        <v>46</v>
      </c>
      <c r="C223" t="s">
        <v>184</v>
      </c>
      <c r="D223" t="s">
        <v>528</v>
      </c>
      <c r="E223" t="s">
        <v>495</v>
      </c>
      <c r="F223" t="s">
        <v>640</v>
      </c>
      <c r="G223" t="s">
        <v>656</v>
      </c>
      <c r="H223" t="s">
        <v>682</v>
      </c>
      <c r="I223" t="s">
        <v>683</v>
      </c>
    </row>
    <row r="224" spans="2:9">
      <c r="B224">
        <v>47</v>
      </c>
      <c r="C224" t="s">
        <v>184</v>
      </c>
      <c r="D224" t="s">
        <v>528</v>
      </c>
      <c r="E224" t="s">
        <v>495</v>
      </c>
      <c r="F224" t="s">
        <v>640</v>
      </c>
      <c r="G224" t="s">
        <v>656</v>
      </c>
      <c r="H224" t="s">
        <v>686</v>
      </c>
      <c r="I224" t="s">
        <v>687</v>
      </c>
    </row>
    <row r="225" spans="2:9">
      <c r="B225">
        <v>1</v>
      </c>
      <c r="C225" t="s">
        <v>184</v>
      </c>
      <c r="D225" t="s">
        <v>528</v>
      </c>
      <c r="E225" t="s">
        <v>496</v>
      </c>
      <c r="F225" t="s">
        <v>529</v>
      </c>
      <c r="G225" t="s">
        <v>530</v>
      </c>
      <c r="H225" t="s">
        <v>531</v>
      </c>
      <c r="I225" t="s">
        <v>532</v>
      </c>
    </row>
    <row r="226" spans="2:9">
      <c r="B226">
        <v>2</v>
      </c>
      <c r="C226" t="s">
        <v>184</v>
      </c>
      <c r="D226" t="s">
        <v>528</v>
      </c>
      <c r="E226" t="s">
        <v>496</v>
      </c>
      <c r="F226" t="s">
        <v>529</v>
      </c>
      <c r="G226" t="s">
        <v>530</v>
      </c>
      <c r="H226" t="s">
        <v>537</v>
      </c>
      <c r="I226" t="s">
        <v>538</v>
      </c>
    </row>
    <row r="227" spans="2:9">
      <c r="B227">
        <v>3</v>
      </c>
      <c r="C227" t="s">
        <v>184</v>
      </c>
      <c r="D227" t="s">
        <v>528</v>
      </c>
      <c r="E227" t="s">
        <v>496</v>
      </c>
      <c r="F227" t="s">
        <v>529</v>
      </c>
      <c r="G227" t="s">
        <v>542</v>
      </c>
      <c r="H227" t="s">
        <v>543</v>
      </c>
      <c r="I227" t="s">
        <v>544</v>
      </c>
    </row>
    <row r="228" spans="2:9">
      <c r="B228">
        <v>4</v>
      </c>
      <c r="C228" t="s">
        <v>184</v>
      </c>
      <c r="D228" t="s">
        <v>528</v>
      </c>
      <c r="E228" t="s">
        <v>496</v>
      </c>
      <c r="F228" t="s">
        <v>529</v>
      </c>
      <c r="G228" t="s">
        <v>542</v>
      </c>
      <c r="H228" t="s">
        <v>548</v>
      </c>
      <c r="I228" t="s">
        <v>549</v>
      </c>
    </row>
    <row r="229" spans="2:9">
      <c r="B229">
        <v>5</v>
      </c>
      <c r="C229" t="s">
        <v>184</v>
      </c>
      <c r="D229" t="s">
        <v>528</v>
      </c>
      <c r="E229" t="s">
        <v>496</v>
      </c>
      <c r="F229" t="s">
        <v>552</v>
      </c>
      <c r="G229" t="s">
        <v>553</v>
      </c>
      <c r="H229" t="s">
        <v>554</v>
      </c>
      <c r="I229" t="s">
        <v>555</v>
      </c>
    </row>
    <row r="230" spans="2:9">
      <c r="B230">
        <v>6</v>
      </c>
      <c r="C230" t="s">
        <v>184</v>
      </c>
      <c r="D230" t="s">
        <v>528</v>
      </c>
      <c r="E230" t="s">
        <v>496</v>
      </c>
      <c r="F230" t="s">
        <v>552</v>
      </c>
      <c r="G230" t="s">
        <v>558</v>
      </c>
      <c r="H230" t="s">
        <v>559</v>
      </c>
      <c r="I230" t="s">
        <v>560</v>
      </c>
    </row>
    <row r="231" spans="2:9">
      <c r="B231">
        <v>27</v>
      </c>
      <c r="C231" t="s">
        <v>184</v>
      </c>
      <c r="D231" t="s">
        <v>528</v>
      </c>
      <c r="E231" t="s">
        <v>496</v>
      </c>
      <c r="F231" t="s">
        <v>552</v>
      </c>
      <c r="G231" t="s">
        <v>558</v>
      </c>
      <c r="H231" t="s">
        <v>563</v>
      </c>
      <c r="I231" t="s">
        <v>564</v>
      </c>
    </row>
    <row r="232" spans="2:9">
      <c r="B232">
        <v>27</v>
      </c>
      <c r="C232" t="s">
        <v>184</v>
      </c>
      <c r="D232" t="s">
        <v>528</v>
      </c>
      <c r="E232" t="s">
        <v>496</v>
      </c>
      <c r="F232" t="s">
        <v>552</v>
      </c>
      <c r="G232" t="s">
        <v>558</v>
      </c>
      <c r="H232" t="s">
        <v>567</v>
      </c>
      <c r="I232" t="s">
        <v>568</v>
      </c>
    </row>
    <row r="233" spans="2:9">
      <c r="B233">
        <v>27</v>
      </c>
      <c r="C233" t="s">
        <v>184</v>
      </c>
      <c r="D233" t="s">
        <v>528</v>
      </c>
      <c r="E233" t="s">
        <v>496</v>
      </c>
      <c r="F233" t="s">
        <v>552</v>
      </c>
      <c r="G233" t="s">
        <v>558</v>
      </c>
      <c r="H233" t="s">
        <v>570</v>
      </c>
      <c r="I233" t="s">
        <v>571</v>
      </c>
    </row>
    <row r="234" spans="2:9">
      <c r="B234">
        <v>10</v>
      </c>
      <c r="C234" t="s">
        <v>184</v>
      </c>
      <c r="D234" t="s">
        <v>528</v>
      </c>
      <c r="E234" t="s">
        <v>496</v>
      </c>
      <c r="F234" t="s">
        <v>552</v>
      </c>
      <c r="G234" t="s">
        <v>574</v>
      </c>
      <c r="H234" t="s">
        <v>575</v>
      </c>
      <c r="I234" t="s">
        <v>576</v>
      </c>
    </row>
    <row r="235" spans="2:9">
      <c r="B235">
        <v>11</v>
      </c>
      <c r="C235" t="s">
        <v>184</v>
      </c>
      <c r="D235" t="s">
        <v>528</v>
      </c>
      <c r="E235" t="s">
        <v>496</v>
      </c>
      <c r="F235" t="s">
        <v>552</v>
      </c>
      <c r="G235" t="s">
        <v>574</v>
      </c>
      <c r="H235" t="s">
        <v>578</v>
      </c>
      <c r="I235" t="s">
        <v>579</v>
      </c>
    </row>
    <row r="236" spans="2:9">
      <c r="B236">
        <v>12</v>
      </c>
      <c r="C236" t="s">
        <v>184</v>
      </c>
      <c r="D236" t="s">
        <v>528</v>
      </c>
      <c r="E236" t="s">
        <v>496</v>
      </c>
      <c r="F236" t="s">
        <v>552</v>
      </c>
      <c r="G236" t="s">
        <v>582</v>
      </c>
      <c r="H236" t="s">
        <v>583</v>
      </c>
      <c r="I236" t="s">
        <v>584</v>
      </c>
    </row>
    <row r="237" spans="2:9">
      <c r="B237">
        <v>12</v>
      </c>
      <c r="C237" t="s">
        <v>184</v>
      </c>
      <c r="D237" t="s">
        <v>528</v>
      </c>
      <c r="E237" t="s">
        <v>496</v>
      </c>
      <c r="F237" t="s">
        <v>552</v>
      </c>
      <c r="G237" t="s">
        <v>582</v>
      </c>
      <c r="H237" t="s">
        <v>587</v>
      </c>
      <c r="I237" t="s">
        <v>588</v>
      </c>
    </row>
    <row r="238" spans="2:9">
      <c r="B238">
        <v>13</v>
      </c>
      <c r="C238" t="s">
        <v>184</v>
      </c>
      <c r="D238" t="s">
        <v>528</v>
      </c>
      <c r="E238" t="s">
        <v>496</v>
      </c>
      <c r="F238" t="s">
        <v>552</v>
      </c>
      <c r="G238" t="s">
        <v>553</v>
      </c>
      <c r="H238" t="s">
        <v>591</v>
      </c>
      <c r="I238" t="s">
        <v>592</v>
      </c>
    </row>
    <row r="239" spans="2:9">
      <c r="B239">
        <v>14</v>
      </c>
      <c r="C239" t="s">
        <v>184</v>
      </c>
      <c r="D239" t="s">
        <v>528</v>
      </c>
      <c r="E239" t="s">
        <v>496</v>
      </c>
      <c r="F239" t="s">
        <v>552</v>
      </c>
      <c r="G239" t="s">
        <v>595</v>
      </c>
      <c r="H239" t="s">
        <v>596</v>
      </c>
      <c r="I239" t="s">
        <v>597</v>
      </c>
    </row>
    <row r="240" spans="2:9">
      <c r="B240">
        <v>15</v>
      </c>
      <c r="C240" t="s">
        <v>184</v>
      </c>
      <c r="D240" t="s">
        <v>528</v>
      </c>
      <c r="E240" t="s">
        <v>496</v>
      </c>
      <c r="F240" t="s">
        <v>552</v>
      </c>
      <c r="G240" t="s">
        <v>558</v>
      </c>
      <c r="H240" t="s">
        <v>599</v>
      </c>
      <c r="I240" t="s">
        <v>600</v>
      </c>
    </row>
    <row r="241" spans="2:9">
      <c r="B241">
        <v>16</v>
      </c>
      <c r="C241" t="s">
        <v>184</v>
      </c>
      <c r="D241" t="s">
        <v>528</v>
      </c>
      <c r="E241" t="s">
        <v>496</v>
      </c>
      <c r="F241" t="s">
        <v>552</v>
      </c>
      <c r="G241" t="s">
        <v>602</v>
      </c>
      <c r="H241" t="s">
        <v>603</v>
      </c>
      <c r="I241" t="s">
        <v>604</v>
      </c>
    </row>
    <row r="242" spans="2:9">
      <c r="B242">
        <v>17</v>
      </c>
      <c r="C242" t="s">
        <v>184</v>
      </c>
      <c r="D242" t="s">
        <v>528</v>
      </c>
      <c r="E242" t="s">
        <v>496</v>
      </c>
      <c r="F242" t="s">
        <v>552</v>
      </c>
      <c r="G242" t="s">
        <v>558</v>
      </c>
      <c r="H242" t="s">
        <v>607</v>
      </c>
      <c r="I242" t="s">
        <v>608</v>
      </c>
    </row>
    <row r="243" spans="2:9">
      <c r="B243">
        <v>18</v>
      </c>
      <c r="C243" t="s">
        <v>184</v>
      </c>
      <c r="D243" t="s">
        <v>528</v>
      </c>
      <c r="E243" t="s">
        <v>496</v>
      </c>
      <c r="F243" t="s">
        <v>552</v>
      </c>
      <c r="G243" t="s">
        <v>530</v>
      </c>
      <c r="H243" t="s">
        <v>612</v>
      </c>
      <c r="I243" t="s">
        <v>613</v>
      </c>
    </row>
    <row r="244" spans="2:9">
      <c r="B244">
        <v>33</v>
      </c>
      <c r="C244" t="s">
        <v>184</v>
      </c>
      <c r="D244" t="s">
        <v>528</v>
      </c>
      <c r="E244" t="s">
        <v>496</v>
      </c>
      <c r="F244" t="s">
        <v>552</v>
      </c>
      <c r="G244" t="s">
        <v>617</v>
      </c>
      <c r="H244" t="s">
        <v>618</v>
      </c>
      <c r="I244" t="s">
        <v>703</v>
      </c>
    </row>
    <row r="245" spans="2:9">
      <c r="B245">
        <v>20</v>
      </c>
      <c r="C245" t="s">
        <v>184</v>
      </c>
      <c r="D245" t="s">
        <v>528</v>
      </c>
      <c r="E245" t="s">
        <v>496</v>
      </c>
      <c r="F245" t="s">
        <v>552</v>
      </c>
      <c r="G245" t="s">
        <v>558</v>
      </c>
      <c r="H245" t="s">
        <v>475</v>
      </c>
      <c r="I245" t="s">
        <v>622</v>
      </c>
    </row>
    <row r="246" spans="2:9">
      <c r="B246">
        <v>24</v>
      </c>
      <c r="C246" t="s">
        <v>184</v>
      </c>
      <c r="D246" t="s">
        <v>528</v>
      </c>
      <c r="E246" t="s">
        <v>496</v>
      </c>
      <c r="F246" t="s">
        <v>552</v>
      </c>
      <c r="G246" t="s">
        <v>595</v>
      </c>
      <c r="H246" t="s">
        <v>626</v>
      </c>
      <c r="I246" t="s">
        <v>627</v>
      </c>
    </row>
    <row r="247" spans="2:9">
      <c r="B247">
        <v>26</v>
      </c>
      <c r="C247" t="s">
        <v>184</v>
      </c>
      <c r="D247" t="s">
        <v>528</v>
      </c>
      <c r="E247" t="s">
        <v>496</v>
      </c>
      <c r="F247" t="s">
        <v>552</v>
      </c>
      <c r="G247" t="s">
        <v>558</v>
      </c>
      <c r="H247" t="s">
        <v>476</v>
      </c>
      <c r="I247" t="s">
        <v>630</v>
      </c>
    </row>
    <row r="248" spans="2:9">
      <c r="B248">
        <v>27</v>
      </c>
      <c r="C248" t="s">
        <v>184</v>
      </c>
      <c r="D248" t="s">
        <v>528</v>
      </c>
      <c r="E248" t="s">
        <v>496</v>
      </c>
      <c r="F248" t="s">
        <v>552</v>
      </c>
      <c r="G248" t="s">
        <v>558</v>
      </c>
      <c r="H248" t="s">
        <v>633</v>
      </c>
      <c r="I248" t="s">
        <v>634</v>
      </c>
    </row>
    <row r="249" spans="2:9">
      <c r="B249">
        <v>33</v>
      </c>
      <c r="C249" t="s">
        <v>184</v>
      </c>
      <c r="D249" t="s">
        <v>528</v>
      </c>
      <c r="E249" t="s">
        <v>496</v>
      </c>
      <c r="F249" t="s">
        <v>552</v>
      </c>
      <c r="G249" t="s">
        <v>558</v>
      </c>
      <c r="H249" t="s">
        <v>636</v>
      </c>
      <c r="I249" t="s">
        <v>637</v>
      </c>
    </row>
    <row r="250" spans="2:9">
      <c r="B250">
        <v>35</v>
      </c>
      <c r="C250" t="s">
        <v>184</v>
      </c>
      <c r="D250" t="s">
        <v>528</v>
      </c>
      <c r="E250" t="s">
        <v>496</v>
      </c>
      <c r="F250" t="s">
        <v>745</v>
      </c>
      <c r="G250" t="s">
        <v>530</v>
      </c>
      <c r="H250" t="s">
        <v>641</v>
      </c>
      <c r="I250" t="s">
        <v>746</v>
      </c>
    </row>
    <row r="251" spans="2:9">
      <c r="B251">
        <v>39</v>
      </c>
      <c r="C251" t="s">
        <v>184</v>
      </c>
      <c r="D251" t="s">
        <v>528</v>
      </c>
      <c r="E251" t="s">
        <v>496</v>
      </c>
      <c r="F251" t="s">
        <v>745</v>
      </c>
      <c r="G251" t="s">
        <v>582</v>
      </c>
      <c r="H251" t="s">
        <v>652</v>
      </c>
      <c r="I251" t="s">
        <v>747</v>
      </c>
    </row>
    <row r="252" spans="2:9">
      <c r="B252">
        <v>40</v>
      </c>
      <c r="C252" t="s">
        <v>184</v>
      </c>
      <c r="D252" t="s">
        <v>528</v>
      </c>
      <c r="E252" t="s">
        <v>496</v>
      </c>
      <c r="F252" t="s">
        <v>745</v>
      </c>
      <c r="G252" t="s">
        <v>656</v>
      </c>
      <c r="H252" t="s">
        <v>657</v>
      </c>
      <c r="I252" t="s">
        <v>748</v>
      </c>
    </row>
    <row r="253" spans="2:9">
      <c r="B253">
        <v>41</v>
      </c>
      <c r="C253" t="s">
        <v>184</v>
      </c>
      <c r="D253" t="s">
        <v>528</v>
      </c>
      <c r="E253" t="s">
        <v>496</v>
      </c>
      <c r="F253" t="s">
        <v>745</v>
      </c>
      <c r="G253" t="s">
        <v>656</v>
      </c>
      <c r="H253" t="s">
        <v>661</v>
      </c>
      <c r="I253" t="s">
        <v>749</v>
      </c>
    </row>
    <row r="254" spans="2:9">
      <c r="B254">
        <v>42</v>
      </c>
      <c r="C254" t="s">
        <v>184</v>
      </c>
      <c r="D254" t="s">
        <v>528</v>
      </c>
      <c r="E254" t="s">
        <v>496</v>
      </c>
      <c r="F254" t="s">
        <v>745</v>
      </c>
      <c r="G254" t="s">
        <v>656</v>
      </c>
      <c r="H254" t="s">
        <v>665</v>
      </c>
      <c r="I254" t="s">
        <v>750</v>
      </c>
    </row>
    <row r="255" spans="2:9">
      <c r="B255">
        <v>43</v>
      </c>
      <c r="C255" t="s">
        <v>184</v>
      </c>
      <c r="D255" t="s">
        <v>528</v>
      </c>
      <c r="E255" t="s">
        <v>496</v>
      </c>
      <c r="F255" t="s">
        <v>745</v>
      </c>
      <c r="G255" t="s">
        <v>574</v>
      </c>
      <c r="H255" t="s">
        <v>669</v>
      </c>
      <c r="I255" t="s">
        <v>670</v>
      </c>
    </row>
    <row r="256" spans="2:9">
      <c r="B256">
        <v>44</v>
      </c>
      <c r="C256" t="s">
        <v>184</v>
      </c>
      <c r="D256" t="s">
        <v>528</v>
      </c>
      <c r="E256" t="s">
        <v>496</v>
      </c>
      <c r="F256" t="s">
        <v>745</v>
      </c>
      <c r="G256" t="s">
        <v>542</v>
      </c>
      <c r="H256" t="s">
        <v>673</v>
      </c>
      <c r="I256" t="s">
        <v>674</v>
      </c>
    </row>
    <row r="257" spans="2:9">
      <c r="B257">
        <v>46</v>
      </c>
      <c r="C257" t="s">
        <v>184</v>
      </c>
      <c r="D257" t="s">
        <v>528</v>
      </c>
      <c r="E257" t="s">
        <v>496</v>
      </c>
      <c r="F257" t="s">
        <v>745</v>
      </c>
      <c r="G257" t="s">
        <v>656</v>
      </c>
      <c r="H257" t="s">
        <v>682</v>
      </c>
      <c r="I257" t="s">
        <v>751</v>
      </c>
    </row>
    <row r="258" spans="2:9">
      <c r="B258">
        <v>47</v>
      </c>
      <c r="C258" t="s">
        <v>184</v>
      </c>
      <c r="D258" t="s">
        <v>528</v>
      </c>
      <c r="E258" t="s">
        <v>496</v>
      </c>
      <c r="F258" t="s">
        <v>745</v>
      </c>
      <c r="G258" t="s">
        <v>656</v>
      </c>
      <c r="H258" t="s">
        <v>686</v>
      </c>
      <c r="I258" t="s">
        <v>752</v>
      </c>
    </row>
    <row r="259" spans="2:9">
      <c r="B259">
        <v>48</v>
      </c>
      <c r="C259" t="s">
        <v>184</v>
      </c>
      <c r="D259" t="s">
        <v>528</v>
      </c>
      <c r="E259" t="s">
        <v>496</v>
      </c>
      <c r="F259" t="s">
        <v>745</v>
      </c>
      <c r="G259" t="s">
        <v>530</v>
      </c>
      <c r="H259" t="s">
        <v>612</v>
      </c>
      <c r="I259" t="s">
        <v>753</v>
      </c>
    </row>
    <row r="260" spans="2:9">
      <c r="B260">
        <v>1</v>
      </c>
      <c r="C260" t="s">
        <v>184</v>
      </c>
      <c r="D260" t="s">
        <v>528</v>
      </c>
      <c r="E260" t="s">
        <v>497</v>
      </c>
      <c r="F260" t="s">
        <v>529</v>
      </c>
      <c r="G260" t="s">
        <v>530</v>
      </c>
      <c r="H260" t="s">
        <v>531</v>
      </c>
      <c r="I260" t="s">
        <v>532</v>
      </c>
    </row>
    <row r="261" spans="2:9">
      <c r="B261">
        <v>2</v>
      </c>
      <c r="C261" t="s">
        <v>184</v>
      </c>
      <c r="D261" t="s">
        <v>528</v>
      </c>
      <c r="E261" t="s">
        <v>497</v>
      </c>
      <c r="F261" t="s">
        <v>529</v>
      </c>
      <c r="G261" t="s">
        <v>530</v>
      </c>
      <c r="H261" t="s">
        <v>537</v>
      </c>
      <c r="I261" t="s">
        <v>538</v>
      </c>
    </row>
    <row r="262" spans="2:9">
      <c r="B262">
        <v>3</v>
      </c>
      <c r="C262" t="s">
        <v>184</v>
      </c>
      <c r="D262" t="s">
        <v>528</v>
      </c>
      <c r="E262" t="s">
        <v>497</v>
      </c>
      <c r="F262" t="s">
        <v>529</v>
      </c>
      <c r="G262" t="s">
        <v>542</v>
      </c>
      <c r="H262" t="s">
        <v>543</v>
      </c>
      <c r="I262" t="s">
        <v>544</v>
      </c>
    </row>
    <row r="263" spans="2:9">
      <c r="B263">
        <v>4</v>
      </c>
      <c r="C263" t="s">
        <v>184</v>
      </c>
      <c r="D263" t="s">
        <v>528</v>
      </c>
      <c r="E263" t="s">
        <v>497</v>
      </c>
      <c r="F263" t="s">
        <v>529</v>
      </c>
      <c r="G263" t="s">
        <v>542</v>
      </c>
      <c r="H263" t="s">
        <v>548</v>
      </c>
      <c r="I263" t="s">
        <v>549</v>
      </c>
    </row>
    <row r="264" spans="2:9">
      <c r="B264">
        <v>5</v>
      </c>
      <c r="C264" t="s">
        <v>184</v>
      </c>
      <c r="D264" t="s">
        <v>528</v>
      </c>
      <c r="E264" t="s">
        <v>497</v>
      </c>
      <c r="F264" t="s">
        <v>694</v>
      </c>
      <c r="G264" t="s">
        <v>553</v>
      </c>
      <c r="H264" t="s">
        <v>554</v>
      </c>
      <c r="I264" t="s">
        <v>555</v>
      </c>
    </row>
    <row r="265" spans="2:9">
      <c r="B265">
        <v>6</v>
      </c>
      <c r="C265" t="s">
        <v>184</v>
      </c>
      <c r="D265" t="s">
        <v>528</v>
      </c>
      <c r="E265" t="s">
        <v>497</v>
      </c>
      <c r="F265" t="s">
        <v>694</v>
      </c>
      <c r="G265" t="s">
        <v>558</v>
      </c>
      <c r="H265" t="s">
        <v>559</v>
      </c>
      <c r="I265" t="s">
        <v>560</v>
      </c>
    </row>
    <row r="266" spans="2:9">
      <c r="B266">
        <v>7</v>
      </c>
      <c r="C266" t="s">
        <v>184</v>
      </c>
      <c r="D266" t="s">
        <v>528</v>
      </c>
      <c r="E266" t="s">
        <v>497</v>
      </c>
      <c r="F266" t="s">
        <v>694</v>
      </c>
      <c r="G266" t="s">
        <v>558</v>
      </c>
      <c r="H266" t="s">
        <v>695</v>
      </c>
      <c r="I266" t="s">
        <v>696</v>
      </c>
    </row>
    <row r="267" spans="2:9">
      <c r="B267">
        <v>7</v>
      </c>
      <c r="C267" t="s">
        <v>184</v>
      </c>
      <c r="D267" t="s">
        <v>528</v>
      </c>
      <c r="E267" t="s">
        <v>497</v>
      </c>
      <c r="F267" t="s">
        <v>694</v>
      </c>
      <c r="G267" t="s">
        <v>558</v>
      </c>
      <c r="H267" t="s">
        <v>697</v>
      </c>
      <c r="I267" t="s">
        <v>698</v>
      </c>
    </row>
    <row r="268" spans="2:9">
      <c r="B268">
        <v>9</v>
      </c>
      <c r="C268" t="s">
        <v>184</v>
      </c>
      <c r="D268" t="s">
        <v>528</v>
      </c>
      <c r="E268" t="s">
        <v>497</v>
      </c>
      <c r="F268" t="s">
        <v>694</v>
      </c>
      <c r="G268" t="s">
        <v>558</v>
      </c>
      <c r="H268" t="s">
        <v>479</v>
      </c>
      <c r="I268" t="s">
        <v>699</v>
      </c>
    </row>
    <row r="269" spans="2:9">
      <c r="B269">
        <v>9</v>
      </c>
      <c r="C269" t="s">
        <v>184</v>
      </c>
      <c r="D269" t="s">
        <v>528</v>
      </c>
      <c r="E269" t="s">
        <v>497</v>
      </c>
      <c r="F269" t="s">
        <v>694</v>
      </c>
      <c r="G269" t="s">
        <v>558</v>
      </c>
      <c r="H269" t="s">
        <v>633</v>
      </c>
      <c r="I269" t="s">
        <v>700</v>
      </c>
    </row>
    <row r="270" spans="2:9">
      <c r="B270">
        <v>10</v>
      </c>
      <c r="C270" t="s">
        <v>184</v>
      </c>
      <c r="D270" t="s">
        <v>528</v>
      </c>
      <c r="E270" t="s">
        <v>497</v>
      </c>
      <c r="F270" t="s">
        <v>694</v>
      </c>
      <c r="G270" t="s">
        <v>574</v>
      </c>
      <c r="H270" t="s">
        <v>575</v>
      </c>
      <c r="I270" t="s">
        <v>576</v>
      </c>
    </row>
    <row r="271" spans="2:9">
      <c r="B271">
        <v>11</v>
      </c>
      <c r="C271" t="s">
        <v>184</v>
      </c>
      <c r="D271" t="s">
        <v>528</v>
      </c>
      <c r="E271" t="s">
        <v>497</v>
      </c>
      <c r="F271" t="s">
        <v>694</v>
      </c>
      <c r="G271" t="s">
        <v>574</v>
      </c>
      <c r="H271" t="s">
        <v>578</v>
      </c>
      <c r="I271" t="s">
        <v>579</v>
      </c>
    </row>
    <row r="272" spans="2:9">
      <c r="B272">
        <v>12</v>
      </c>
      <c r="C272" t="s">
        <v>184</v>
      </c>
      <c r="D272" t="s">
        <v>528</v>
      </c>
      <c r="E272" t="s">
        <v>497</v>
      </c>
      <c r="F272" t="s">
        <v>694</v>
      </c>
      <c r="G272" t="s">
        <v>582</v>
      </c>
      <c r="H272" t="s">
        <v>583</v>
      </c>
      <c r="I272" t="s">
        <v>584</v>
      </c>
    </row>
    <row r="273" spans="2:9">
      <c r="B273">
        <v>12</v>
      </c>
      <c r="C273" t="s">
        <v>184</v>
      </c>
      <c r="D273" t="s">
        <v>528</v>
      </c>
      <c r="E273" t="s">
        <v>497</v>
      </c>
      <c r="F273" t="s">
        <v>694</v>
      </c>
      <c r="G273" t="s">
        <v>582</v>
      </c>
      <c r="H273" t="s">
        <v>587</v>
      </c>
      <c r="I273" t="s">
        <v>588</v>
      </c>
    </row>
    <row r="274" spans="2:9">
      <c r="B274">
        <v>13</v>
      </c>
      <c r="C274" t="s">
        <v>184</v>
      </c>
      <c r="D274" t="s">
        <v>528</v>
      </c>
      <c r="E274" t="s">
        <v>497</v>
      </c>
      <c r="F274" t="s">
        <v>694</v>
      </c>
      <c r="G274" t="s">
        <v>553</v>
      </c>
      <c r="H274" t="s">
        <v>591</v>
      </c>
      <c r="I274" t="s">
        <v>592</v>
      </c>
    </row>
    <row r="275" spans="2:9">
      <c r="B275">
        <v>14</v>
      </c>
      <c r="C275" t="s">
        <v>184</v>
      </c>
      <c r="D275" t="s">
        <v>528</v>
      </c>
      <c r="E275" t="s">
        <v>497</v>
      </c>
      <c r="F275" t="s">
        <v>694</v>
      </c>
      <c r="G275" t="s">
        <v>595</v>
      </c>
      <c r="H275" t="s">
        <v>596</v>
      </c>
      <c r="I275" t="s">
        <v>597</v>
      </c>
    </row>
    <row r="276" spans="2:9">
      <c r="B276">
        <v>15</v>
      </c>
      <c r="C276" t="s">
        <v>184</v>
      </c>
      <c r="D276" t="s">
        <v>528</v>
      </c>
      <c r="E276" t="s">
        <v>497</v>
      </c>
      <c r="F276" t="s">
        <v>694</v>
      </c>
      <c r="G276" t="s">
        <v>558</v>
      </c>
      <c r="H276" t="s">
        <v>599</v>
      </c>
      <c r="I276" t="s">
        <v>600</v>
      </c>
    </row>
    <row r="277" spans="2:9">
      <c r="B277">
        <v>16</v>
      </c>
      <c r="C277" t="s">
        <v>184</v>
      </c>
      <c r="D277" t="s">
        <v>528</v>
      </c>
      <c r="E277" t="s">
        <v>497</v>
      </c>
      <c r="F277" t="s">
        <v>694</v>
      </c>
      <c r="G277" t="s">
        <v>602</v>
      </c>
      <c r="H277" t="s">
        <v>603</v>
      </c>
      <c r="I277" t="s">
        <v>604</v>
      </c>
    </row>
    <row r="278" spans="2:9">
      <c r="B278">
        <v>17</v>
      </c>
      <c r="C278" t="s">
        <v>184</v>
      </c>
      <c r="D278" t="s">
        <v>528</v>
      </c>
      <c r="E278" t="s">
        <v>497</v>
      </c>
      <c r="F278" t="s">
        <v>694</v>
      </c>
      <c r="G278" t="s">
        <v>558</v>
      </c>
      <c r="H278" t="s">
        <v>607</v>
      </c>
      <c r="I278" t="s">
        <v>608</v>
      </c>
    </row>
    <row r="279" spans="2:9">
      <c r="B279">
        <v>18</v>
      </c>
      <c r="C279" t="s">
        <v>184</v>
      </c>
      <c r="D279" t="s">
        <v>528</v>
      </c>
      <c r="E279" t="s">
        <v>497</v>
      </c>
      <c r="F279" t="s">
        <v>694</v>
      </c>
      <c r="G279" t="s">
        <v>530</v>
      </c>
      <c r="H279" t="s">
        <v>612</v>
      </c>
      <c r="I279" t="s">
        <v>613</v>
      </c>
    </row>
    <row r="280" spans="2:9">
      <c r="B280">
        <v>19</v>
      </c>
      <c r="C280" t="s">
        <v>184</v>
      </c>
      <c r="D280" t="s">
        <v>528</v>
      </c>
      <c r="E280" t="s">
        <v>497</v>
      </c>
      <c r="F280" t="s">
        <v>694</v>
      </c>
      <c r="G280" t="s">
        <v>617</v>
      </c>
      <c r="H280" t="s">
        <v>618</v>
      </c>
      <c r="I280" t="s">
        <v>703</v>
      </c>
    </row>
    <row r="281" spans="2:9">
      <c r="B281">
        <v>24</v>
      </c>
      <c r="C281" t="s">
        <v>184</v>
      </c>
      <c r="D281" t="s">
        <v>528</v>
      </c>
      <c r="E281" t="s">
        <v>497</v>
      </c>
      <c r="F281" t="s">
        <v>694</v>
      </c>
      <c r="G281" t="s">
        <v>595</v>
      </c>
      <c r="H281" t="s">
        <v>626</v>
      </c>
      <c r="I281" t="s">
        <v>627</v>
      </c>
    </row>
    <row r="282" spans="2:9">
      <c r="B282">
        <v>33</v>
      </c>
      <c r="C282" t="s">
        <v>184</v>
      </c>
      <c r="D282" t="s">
        <v>528</v>
      </c>
      <c r="E282" t="s">
        <v>497</v>
      </c>
      <c r="F282" t="s">
        <v>694</v>
      </c>
      <c r="G282" t="s">
        <v>558</v>
      </c>
      <c r="H282" t="s">
        <v>636</v>
      </c>
      <c r="I282" t="s">
        <v>637</v>
      </c>
    </row>
    <row r="283" spans="2:9">
      <c r="B283">
        <v>20</v>
      </c>
      <c r="C283" t="s">
        <v>184</v>
      </c>
      <c r="D283" t="s">
        <v>528</v>
      </c>
      <c r="E283" t="s">
        <v>497</v>
      </c>
      <c r="F283" t="s">
        <v>694</v>
      </c>
      <c r="G283" t="s">
        <v>558</v>
      </c>
      <c r="H283" t="s">
        <v>475</v>
      </c>
      <c r="I283" t="s">
        <v>725</v>
      </c>
    </row>
    <row r="284" spans="2:9">
      <c r="B284">
        <v>27</v>
      </c>
      <c r="C284" t="s">
        <v>184</v>
      </c>
      <c r="D284" t="s">
        <v>528</v>
      </c>
      <c r="E284" t="s">
        <v>497</v>
      </c>
      <c r="F284" t="s">
        <v>552</v>
      </c>
      <c r="G284" t="s">
        <v>530</v>
      </c>
      <c r="H284" t="s">
        <v>701</v>
      </c>
      <c r="I284" t="s">
        <v>702</v>
      </c>
    </row>
    <row r="285" spans="2:9">
      <c r="B285">
        <v>27</v>
      </c>
      <c r="C285" t="s">
        <v>184</v>
      </c>
      <c r="D285" t="s">
        <v>528</v>
      </c>
      <c r="E285" t="s">
        <v>497</v>
      </c>
      <c r="F285" t="s">
        <v>552</v>
      </c>
      <c r="G285" t="s">
        <v>558</v>
      </c>
      <c r="H285" t="s">
        <v>563</v>
      </c>
      <c r="I285" t="s">
        <v>564</v>
      </c>
    </row>
    <row r="286" spans="2:9">
      <c r="B286">
        <v>27</v>
      </c>
      <c r="C286" t="s">
        <v>184</v>
      </c>
      <c r="D286" t="s">
        <v>528</v>
      </c>
      <c r="E286" t="s">
        <v>497</v>
      </c>
      <c r="F286" t="s">
        <v>552</v>
      </c>
      <c r="G286" t="s">
        <v>558</v>
      </c>
      <c r="H286" t="s">
        <v>567</v>
      </c>
      <c r="I286" t="s">
        <v>568</v>
      </c>
    </row>
    <row r="287" spans="2:9">
      <c r="B287">
        <v>27</v>
      </c>
      <c r="C287" t="s">
        <v>184</v>
      </c>
      <c r="D287" t="s">
        <v>528</v>
      </c>
      <c r="E287" t="s">
        <v>497</v>
      </c>
      <c r="F287" t="s">
        <v>552</v>
      </c>
      <c r="G287" t="s">
        <v>558</v>
      </c>
      <c r="H287" t="s">
        <v>570</v>
      </c>
      <c r="I287" t="s">
        <v>571</v>
      </c>
    </row>
    <row r="288" spans="2:9">
      <c r="B288">
        <v>33</v>
      </c>
      <c r="C288" t="s">
        <v>184</v>
      </c>
      <c r="D288" t="s">
        <v>528</v>
      </c>
      <c r="E288" t="s">
        <v>497</v>
      </c>
      <c r="F288" t="s">
        <v>552</v>
      </c>
      <c r="G288" t="s">
        <v>530</v>
      </c>
      <c r="H288" t="s">
        <v>612</v>
      </c>
      <c r="I288" t="s">
        <v>613</v>
      </c>
    </row>
    <row r="289" spans="2:9">
      <c r="B289">
        <v>33</v>
      </c>
      <c r="C289" t="s">
        <v>184</v>
      </c>
      <c r="D289" t="s">
        <v>528</v>
      </c>
      <c r="E289" t="s">
        <v>497</v>
      </c>
      <c r="F289" t="s">
        <v>552</v>
      </c>
      <c r="G289" t="s">
        <v>617</v>
      </c>
      <c r="H289" t="s">
        <v>618</v>
      </c>
      <c r="I289" t="s">
        <v>703</v>
      </c>
    </row>
    <row r="290" spans="2:9">
      <c r="B290">
        <v>33</v>
      </c>
      <c r="C290" t="s">
        <v>184</v>
      </c>
      <c r="D290" t="s">
        <v>528</v>
      </c>
      <c r="E290" t="s">
        <v>497</v>
      </c>
      <c r="F290" t="s">
        <v>552</v>
      </c>
      <c r="G290" t="s">
        <v>574</v>
      </c>
      <c r="H290" t="s">
        <v>575</v>
      </c>
      <c r="I290" t="s">
        <v>576</v>
      </c>
    </row>
    <row r="291" spans="2:9">
      <c r="B291">
        <v>33</v>
      </c>
      <c r="C291" t="s">
        <v>184</v>
      </c>
      <c r="D291" t="s">
        <v>528</v>
      </c>
      <c r="E291" t="s">
        <v>497</v>
      </c>
      <c r="F291" t="s">
        <v>552</v>
      </c>
      <c r="G291" t="s">
        <v>574</v>
      </c>
      <c r="H291" t="s">
        <v>578</v>
      </c>
      <c r="I291" t="s">
        <v>579</v>
      </c>
    </row>
    <row r="292" spans="2:9">
      <c r="B292">
        <v>13</v>
      </c>
      <c r="C292" t="s">
        <v>184</v>
      </c>
      <c r="D292" t="s">
        <v>528</v>
      </c>
      <c r="E292" t="s">
        <v>497</v>
      </c>
      <c r="F292" t="s">
        <v>552</v>
      </c>
      <c r="G292" t="s">
        <v>553</v>
      </c>
      <c r="H292" t="s">
        <v>591</v>
      </c>
      <c r="I292" t="s">
        <v>592</v>
      </c>
    </row>
    <row r="293" spans="2:9">
      <c r="B293">
        <v>12</v>
      </c>
      <c r="C293" t="s">
        <v>184</v>
      </c>
      <c r="D293" t="s">
        <v>528</v>
      </c>
      <c r="E293" t="s">
        <v>497</v>
      </c>
      <c r="F293" t="s">
        <v>552</v>
      </c>
      <c r="G293" t="s">
        <v>582</v>
      </c>
      <c r="H293" t="s">
        <v>583</v>
      </c>
      <c r="I293" t="s">
        <v>584</v>
      </c>
    </row>
    <row r="294" spans="2:9">
      <c r="B294">
        <v>35</v>
      </c>
      <c r="C294" t="s">
        <v>184</v>
      </c>
      <c r="D294" t="s">
        <v>528</v>
      </c>
      <c r="E294" t="s">
        <v>497</v>
      </c>
      <c r="F294" t="s">
        <v>745</v>
      </c>
      <c r="G294" t="s">
        <v>530</v>
      </c>
      <c r="H294" t="s">
        <v>641</v>
      </c>
      <c r="I294" t="s">
        <v>746</v>
      </c>
    </row>
    <row r="295" spans="2:9">
      <c r="B295">
        <v>39</v>
      </c>
      <c r="C295" t="s">
        <v>184</v>
      </c>
      <c r="D295" t="s">
        <v>528</v>
      </c>
      <c r="E295" t="s">
        <v>497</v>
      </c>
      <c r="F295" t="s">
        <v>745</v>
      </c>
      <c r="G295" t="s">
        <v>582</v>
      </c>
      <c r="H295" t="s">
        <v>652</v>
      </c>
      <c r="I295" t="s">
        <v>747</v>
      </c>
    </row>
    <row r="296" spans="2:9">
      <c r="B296">
        <v>40</v>
      </c>
      <c r="C296" t="s">
        <v>184</v>
      </c>
      <c r="D296" t="s">
        <v>528</v>
      </c>
      <c r="E296" t="s">
        <v>497</v>
      </c>
      <c r="F296" t="s">
        <v>745</v>
      </c>
      <c r="G296" t="s">
        <v>656</v>
      </c>
      <c r="H296" t="s">
        <v>657</v>
      </c>
      <c r="I296" t="s">
        <v>748</v>
      </c>
    </row>
    <row r="297" spans="2:9">
      <c r="B297">
        <v>41</v>
      </c>
      <c r="C297" t="s">
        <v>184</v>
      </c>
      <c r="D297" t="s">
        <v>528</v>
      </c>
      <c r="E297" t="s">
        <v>497</v>
      </c>
      <c r="F297" t="s">
        <v>745</v>
      </c>
      <c r="G297" t="s">
        <v>656</v>
      </c>
      <c r="H297" t="s">
        <v>661</v>
      </c>
      <c r="I297" t="s">
        <v>749</v>
      </c>
    </row>
    <row r="298" spans="2:9">
      <c r="B298">
        <v>42</v>
      </c>
      <c r="C298" t="s">
        <v>184</v>
      </c>
      <c r="D298" t="s">
        <v>528</v>
      </c>
      <c r="E298" t="s">
        <v>497</v>
      </c>
      <c r="F298" t="s">
        <v>745</v>
      </c>
      <c r="G298" t="s">
        <v>656</v>
      </c>
      <c r="H298" t="s">
        <v>665</v>
      </c>
      <c r="I298" t="s">
        <v>750</v>
      </c>
    </row>
    <row r="299" spans="2:9">
      <c r="B299">
        <v>43</v>
      </c>
      <c r="C299" t="s">
        <v>184</v>
      </c>
      <c r="D299" t="s">
        <v>528</v>
      </c>
      <c r="E299" t="s">
        <v>497</v>
      </c>
      <c r="F299" t="s">
        <v>745</v>
      </c>
      <c r="G299" t="s">
        <v>574</v>
      </c>
      <c r="H299" t="s">
        <v>669</v>
      </c>
      <c r="I299" t="s">
        <v>721</v>
      </c>
    </row>
    <row r="300" spans="2:9">
      <c r="B300">
        <v>44</v>
      </c>
      <c r="C300" t="s">
        <v>184</v>
      </c>
      <c r="D300" t="s">
        <v>528</v>
      </c>
      <c r="E300" t="s">
        <v>497</v>
      </c>
      <c r="F300" t="s">
        <v>745</v>
      </c>
      <c r="G300" t="s">
        <v>542</v>
      </c>
      <c r="H300" t="s">
        <v>673</v>
      </c>
      <c r="I300" t="s">
        <v>674</v>
      </c>
    </row>
    <row r="301" spans="2:9">
      <c r="B301">
        <v>46</v>
      </c>
      <c r="C301" t="s">
        <v>184</v>
      </c>
      <c r="D301" t="s">
        <v>528</v>
      </c>
      <c r="E301" t="s">
        <v>497</v>
      </c>
      <c r="F301" t="s">
        <v>745</v>
      </c>
      <c r="G301" t="s">
        <v>656</v>
      </c>
      <c r="H301" t="s">
        <v>682</v>
      </c>
      <c r="I301" t="s">
        <v>751</v>
      </c>
    </row>
    <row r="302" spans="2:9">
      <c r="B302">
        <v>47</v>
      </c>
      <c r="C302" t="s">
        <v>184</v>
      </c>
      <c r="D302" t="s">
        <v>528</v>
      </c>
      <c r="E302" t="s">
        <v>497</v>
      </c>
      <c r="F302" t="s">
        <v>745</v>
      </c>
      <c r="G302" t="s">
        <v>656</v>
      </c>
      <c r="H302" t="s">
        <v>686</v>
      </c>
      <c r="I302" t="s">
        <v>752</v>
      </c>
    </row>
    <row r="303" spans="2:9">
      <c r="B303">
        <v>48</v>
      </c>
      <c r="C303" t="s">
        <v>184</v>
      </c>
      <c r="D303" t="s">
        <v>528</v>
      </c>
      <c r="E303" t="s">
        <v>497</v>
      </c>
      <c r="F303" t="s">
        <v>745</v>
      </c>
      <c r="G303" t="s">
        <v>530</v>
      </c>
      <c r="H303" t="s">
        <v>612</v>
      </c>
      <c r="I303" t="s">
        <v>753</v>
      </c>
    </row>
    <row r="304" spans="2:9">
      <c r="B304">
        <v>1</v>
      </c>
      <c r="C304" t="s">
        <v>184</v>
      </c>
      <c r="D304" t="s">
        <v>528</v>
      </c>
      <c r="E304" t="s">
        <v>498</v>
      </c>
      <c r="F304" t="s">
        <v>529</v>
      </c>
      <c r="G304" t="s">
        <v>530</v>
      </c>
      <c r="H304" t="s">
        <v>531</v>
      </c>
      <c r="I304" t="s">
        <v>532</v>
      </c>
    </row>
    <row r="305" spans="2:9">
      <c r="B305">
        <v>2</v>
      </c>
      <c r="C305" t="s">
        <v>184</v>
      </c>
      <c r="D305" t="s">
        <v>528</v>
      </c>
      <c r="E305" t="s">
        <v>498</v>
      </c>
      <c r="F305" t="s">
        <v>529</v>
      </c>
      <c r="G305" t="s">
        <v>530</v>
      </c>
      <c r="H305" t="s">
        <v>537</v>
      </c>
      <c r="I305" t="s">
        <v>538</v>
      </c>
    </row>
    <row r="306" spans="2:9">
      <c r="B306">
        <v>3</v>
      </c>
      <c r="C306" t="s">
        <v>184</v>
      </c>
      <c r="D306" t="s">
        <v>528</v>
      </c>
      <c r="E306" t="s">
        <v>498</v>
      </c>
      <c r="F306" t="s">
        <v>529</v>
      </c>
      <c r="G306" t="s">
        <v>542</v>
      </c>
      <c r="H306" t="s">
        <v>543</v>
      </c>
      <c r="I306" t="s">
        <v>544</v>
      </c>
    </row>
    <row r="307" spans="2:9">
      <c r="B307">
        <v>4</v>
      </c>
      <c r="C307" t="s">
        <v>184</v>
      </c>
      <c r="D307" t="s">
        <v>528</v>
      </c>
      <c r="E307" t="s">
        <v>498</v>
      </c>
      <c r="F307" t="s">
        <v>529</v>
      </c>
      <c r="G307" t="s">
        <v>542</v>
      </c>
      <c r="H307" t="s">
        <v>548</v>
      </c>
      <c r="I307" t="s">
        <v>549</v>
      </c>
    </row>
    <row r="308" spans="2:9">
      <c r="B308">
        <v>5</v>
      </c>
      <c r="C308" t="s">
        <v>184</v>
      </c>
      <c r="D308" t="s">
        <v>528</v>
      </c>
      <c r="E308" t="s">
        <v>498</v>
      </c>
      <c r="F308" t="s">
        <v>694</v>
      </c>
      <c r="G308" t="s">
        <v>553</v>
      </c>
      <c r="H308" t="s">
        <v>554</v>
      </c>
      <c r="I308" t="s">
        <v>555</v>
      </c>
    </row>
    <row r="309" spans="2:9">
      <c r="B309">
        <v>6</v>
      </c>
      <c r="C309" t="s">
        <v>184</v>
      </c>
      <c r="D309" t="s">
        <v>528</v>
      </c>
      <c r="E309" t="s">
        <v>498</v>
      </c>
      <c r="F309" t="s">
        <v>694</v>
      </c>
      <c r="G309" t="s">
        <v>558</v>
      </c>
      <c r="H309" t="s">
        <v>559</v>
      </c>
      <c r="I309" t="s">
        <v>560</v>
      </c>
    </row>
    <row r="310" spans="2:9">
      <c r="B310">
        <v>7</v>
      </c>
      <c r="C310" t="s">
        <v>184</v>
      </c>
      <c r="D310" t="s">
        <v>528</v>
      </c>
      <c r="E310" t="s">
        <v>498</v>
      </c>
      <c r="F310" t="s">
        <v>694</v>
      </c>
      <c r="G310" t="s">
        <v>558</v>
      </c>
      <c r="H310" t="s">
        <v>695</v>
      </c>
      <c r="I310" t="s">
        <v>696</v>
      </c>
    </row>
    <row r="311" spans="2:9">
      <c r="B311">
        <v>7</v>
      </c>
      <c r="C311" t="s">
        <v>184</v>
      </c>
      <c r="D311" t="s">
        <v>528</v>
      </c>
      <c r="E311" t="s">
        <v>498</v>
      </c>
      <c r="F311" t="s">
        <v>694</v>
      </c>
      <c r="G311" t="s">
        <v>558</v>
      </c>
      <c r="H311" t="s">
        <v>697</v>
      </c>
      <c r="I311" t="s">
        <v>743</v>
      </c>
    </row>
    <row r="312" spans="2:9">
      <c r="B312">
        <v>9</v>
      </c>
      <c r="C312" t="s">
        <v>184</v>
      </c>
      <c r="D312" t="s">
        <v>528</v>
      </c>
      <c r="E312" t="s">
        <v>498</v>
      </c>
      <c r="F312" t="s">
        <v>694</v>
      </c>
      <c r="G312" t="s">
        <v>558</v>
      </c>
      <c r="H312" t="s">
        <v>479</v>
      </c>
      <c r="I312" t="s">
        <v>699</v>
      </c>
    </row>
    <row r="313" spans="2:9">
      <c r="B313">
        <v>9</v>
      </c>
      <c r="C313" t="s">
        <v>184</v>
      </c>
      <c r="D313" t="s">
        <v>528</v>
      </c>
      <c r="E313" t="s">
        <v>498</v>
      </c>
      <c r="F313" t="s">
        <v>694</v>
      </c>
      <c r="G313" t="s">
        <v>558</v>
      </c>
      <c r="H313" t="s">
        <v>633</v>
      </c>
      <c r="I313" t="s">
        <v>700</v>
      </c>
    </row>
    <row r="314" spans="2:9">
      <c r="B314">
        <v>10</v>
      </c>
      <c r="C314" t="s">
        <v>184</v>
      </c>
      <c r="D314" t="s">
        <v>528</v>
      </c>
      <c r="E314" t="s">
        <v>498</v>
      </c>
      <c r="F314" t="s">
        <v>694</v>
      </c>
      <c r="G314" t="s">
        <v>574</v>
      </c>
      <c r="H314" t="s">
        <v>575</v>
      </c>
      <c r="I314" t="s">
        <v>576</v>
      </c>
    </row>
    <row r="315" spans="2:9">
      <c r="B315">
        <v>11</v>
      </c>
      <c r="C315" t="s">
        <v>184</v>
      </c>
      <c r="D315" t="s">
        <v>528</v>
      </c>
      <c r="E315" t="s">
        <v>498</v>
      </c>
      <c r="F315" t="s">
        <v>694</v>
      </c>
      <c r="G315" t="s">
        <v>574</v>
      </c>
      <c r="H315" t="s">
        <v>578</v>
      </c>
      <c r="I315" t="s">
        <v>579</v>
      </c>
    </row>
    <row r="316" spans="2:9">
      <c r="B316">
        <v>12</v>
      </c>
      <c r="C316" t="s">
        <v>184</v>
      </c>
      <c r="D316" t="s">
        <v>528</v>
      </c>
      <c r="E316" t="s">
        <v>498</v>
      </c>
      <c r="F316" t="s">
        <v>694</v>
      </c>
      <c r="G316" t="s">
        <v>582</v>
      </c>
      <c r="H316" t="s">
        <v>583</v>
      </c>
      <c r="I316" t="s">
        <v>584</v>
      </c>
    </row>
    <row r="317" spans="2:9">
      <c r="B317">
        <v>12</v>
      </c>
      <c r="C317" t="s">
        <v>184</v>
      </c>
      <c r="D317" t="s">
        <v>528</v>
      </c>
      <c r="E317" t="s">
        <v>498</v>
      </c>
      <c r="F317" t="s">
        <v>694</v>
      </c>
      <c r="G317" t="s">
        <v>582</v>
      </c>
      <c r="H317" t="s">
        <v>587</v>
      </c>
      <c r="I317" t="s">
        <v>588</v>
      </c>
    </row>
    <row r="318" spans="2:9">
      <c r="B318">
        <v>13</v>
      </c>
      <c r="C318" t="s">
        <v>184</v>
      </c>
      <c r="D318" t="s">
        <v>528</v>
      </c>
      <c r="E318" t="s">
        <v>498</v>
      </c>
      <c r="F318" t="s">
        <v>694</v>
      </c>
      <c r="G318" t="s">
        <v>553</v>
      </c>
      <c r="H318" t="s">
        <v>591</v>
      </c>
      <c r="I318" t="s">
        <v>592</v>
      </c>
    </row>
    <row r="319" spans="2:9">
      <c r="B319">
        <v>14</v>
      </c>
      <c r="C319" t="s">
        <v>184</v>
      </c>
      <c r="D319" t="s">
        <v>528</v>
      </c>
      <c r="E319" t="s">
        <v>498</v>
      </c>
      <c r="F319" t="s">
        <v>694</v>
      </c>
      <c r="G319" t="s">
        <v>595</v>
      </c>
      <c r="H319" t="s">
        <v>596</v>
      </c>
      <c r="I319" t="s">
        <v>597</v>
      </c>
    </row>
    <row r="320" spans="2:9">
      <c r="B320">
        <v>15</v>
      </c>
      <c r="C320" t="s">
        <v>184</v>
      </c>
      <c r="D320" t="s">
        <v>528</v>
      </c>
      <c r="E320" t="s">
        <v>498</v>
      </c>
      <c r="F320" t="s">
        <v>694</v>
      </c>
      <c r="G320" t="s">
        <v>558</v>
      </c>
      <c r="H320" t="s">
        <v>599</v>
      </c>
      <c r="I320" t="s">
        <v>600</v>
      </c>
    </row>
    <row r="321" spans="2:9">
      <c r="B321">
        <v>16</v>
      </c>
      <c r="C321" t="s">
        <v>184</v>
      </c>
      <c r="D321" t="s">
        <v>528</v>
      </c>
      <c r="E321" t="s">
        <v>498</v>
      </c>
      <c r="F321" t="s">
        <v>694</v>
      </c>
      <c r="G321" t="s">
        <v>602</v>
      </c>
      <c r="H321" t="s">
        <v>603</v>
      </c>
      <c r="I321" t="s">
        <v>604</v>
      </c>
    </row>
    <row r="322" spans="2:9">
      <c r="B322">
        <v>17</v>
      </c>
      <c r="C322" t="s">
        <v>184</v>
      </c>
      <c r="D322" t="s">
        <v>528</v>
      </c>
      <c r="E322" t="s">
        <v>498</v>
      </c>
      <c r="F322" t="s">
        <v>694</v>
      </c>
      <c r="G322" t="s">
        <v>558</v>
      </c>
      <c r="H322" t="s">
        <v>607</v>
      </c>
      <c r="I322" t="s">
        <v>608</v>
      </c>
    </row>
    <row r="323" spans="2:9">
      <c r="B323">
        <v>18</v>
      </c>
      <c r="C323" t="s">
        <v>184</v>
      </c>
      <c r="D323" t="s">
        <v>528</v>
      </c>
      <c r="E323" t="s">
        <v>498</v>
      </c>
      <c r="F323" t="s">
        <v>694</v>
      </c>
      <c r="G323" t="s">
        <v>530</v>
      </c>
      <c r="H323" t="s">
        <v>612</v>
      </c>
      <c r="I323" t="s">
        <v>613</v>
      </c>
    </row>
    <row r="324" spans="2:9">
      <c r="B324">
        <v>19</v>
      </c>
      <c r="C324" t="s">
        <v>184</v>
      </c>
      <c r="D324" t="s">
        <v>528</v>
      </c>
      <c r="E324" t="s">
        <v>498</v>
      </c>
      <c r="F324" t="s">
        <v>694</v>
      </c>
      <c r="G324" t="s">
        <v>617</v>
      </c>
      <c r="H324" t="s">
        <v>618</v>
      </c>
      <c r="I324" t="s">
        <v>703</v>
      </c>
    </row>
    <row r="325" spans="2:9">
      <c r="B325">
        <v>19</v>
      </c>
      <c r="C325" t="s">
        <v>184</v>
      </c>
      <c r="D325" t="s">
        <v>528</v>
      </c>
      <c r="E325" t="s">
        <v>498</v>
      </c>
      <c r="F325" t="s">
        <v>694</v>
      </c>
      <c r="G325" t="s">
        <v>617</v>
      </c>
      <c r="H325" t="s">
        <v>618</v>
      </c>
      <c r="I325" t="s">
        <v>619</v>
      </c>
    </row>
    <row r="326" spans="2:9">
      <c r="B326">
        <v>24</v>
      </c>
      <c r="C326" t="s">
        <v>184</v>
      </c>
      <c r="D326" t="s">
        <v>528</v>
      </c>
      <c r="E326" t="s">
        <v>498</v>
      </c>
      <c r="F326" t="s">
        <v>694</v>
      </c>
      <c r="G326" t="s">
        <v>595</v>
      </c>
      <c r="H326" t="s">
        <v>626</v>
      </c>
      <c r="I326" t="s">
        <v>627</v>
      </c>
    </row>
    <row r="327" spans="2:9">
      <c r="B327">
        <v>33</v>
      </c>
      <c r="C327" t="s">
        <v>184</v>
      </c>
      <c r="D327" t="s">
        <v>528</v>
      </c>
      <c r="E327" t="s">
        <v>498</v>
      </c>
      <c r="F327" t="s">
        <v>694</v>
      </c>
      <c r="G327" t="s">
        <v>558</v>
      </c>
      <c r="H327" t="s">
        <v>636</v>
      </c>
      <c r="I327" t="s">
        <v>637</v>
      </c>
    </row>
    <row r="328" spans="2:9">
      <c r="B328">
        <v>20</v>
      </c>
      <c r="C328" t="s">
        <v>184</v>
      </c>
      <c r="D328" t="s">
        <v>528</v>
      </c>
      <c r="E328" t="s">
        <v>498</v>
      </c>
      <c r="F328" t="s">
        <v>694</v>
      </c>
      <c r="G328" t="s">
        <v>558</v>
      </c>
      <c r="H328" t="s">
        <v>475</v>
      </c>
      <c r="I328" t="s">
        <v>725</v>
      </c>
    </row>
    <row r="329" spans="2:9">
      <c r="B329">
        <v>27</v>
      </c>
      <c r="C329" t="s">
        <v>184</v>
      </c>
      <c r="D329" t="s">
        <v>528</v>
      </c>
      <c r="E329" t="s">
        <v>498</v>
      </c>
      <c r="F329" t="s">
        <v>552</v>
      </c>
      <c r="G329" t="s">
        <v>530</v>
      </c>
      <c r="H329" t="s">
        <v>701</v>
      </c>
      <c r="I329" t="s">
        <v>702</v>
      </c>
    </row>
    <row r="330" spans="2:9">
      <c r="B330">
        <v>27</v>
      </c>
      <c r="C330" t="s">
        <v>184</v>
      </c>
      <c r="D330" t="s">
        <v>528</v>
      </c>
      <c r="E330" t="s">
        <v>498</v>
      </c>
      <c r="F330" t="s">
        <v>552</v>
      </c>
      <c r="G330" t="s">
        <v>558</v>
      </c>
      <c r="H330" t="s">
        <v>563</v>
      </c>
      <c r="I330" t="s">
        <v>564</v>
      </c>
    </row>
    <row r="331" spans="2:9">
      <c r="B331">
        <v>27</v>
      </c>
      <c r="C331" t="s">
        <v>184</v>
      </c>
      <c r="D331" t="s">
        <v>528</v>
      </c>
      <c r="E331" t="s">
        <v>498</v>
      </c>
      <c r="F331" t="s">
        <v>552</v>
      </c>
      <c r="G331" t="s">
        <v>558</v>
      </c>
      <c r="H331" t="s">
        <v>567</v>
      </c>
      <c r="I331" t="s">
        <v>568</v>
      </c>
    </row>
    <row r="332" spans="2:9">
      <c r="B332">
        <v>27</v>
      </c>
      <c r="C332" t="s">
        <v>184</v>
      </c>
      <c r="D332" t="s">
        <v>528</v>
      </c>
      <c r="E332" t="s">
        <v>498</v>
      </c>
      <c r="F332" t="s">
        <v>552</v>
      </c>
      <c r="G332" t="s">
        <v>558</v>
      </c>
      <c r="H332" t="s">
        <v>570</v>
      </c>
      <c r="I332" t="s">
        <v>571</v>
      </c>
    </row>
    <row r="333" spans="2:9">
      <c r="B333">
        <v>33</v>
      </c>
      <c r="C333" t="s">
        <v>184</v>
      </c>
      <c r="D333" t="s">
        <v>528</v>
      </c>
      <c r="E333" t="s">
        <v>498</v>
      </c>
      <c r="F333" t="s">
        <v>552</v>
      </c>
      <c r="G333" t="s">
        <v>530</v>
      </c>
      <c r="H333" t="s">
        <v>612</v>
      </c>
      <c r="I333" t="s">
        <v>613</v>
      </c>
    </row>
    <row r="334" spans="2:9">
      <c r="B334">
        <v>33</v>
      </c>
      <c r="C334" t="s">
        <v>184</v>
      </c>
      <c r="D334" t="s">
        <v>528</v>
      </c>
      <c r="E334" t="s">
        <v>498</v>
      </c>
      <c r="F334" t="s">
        <v>552</v>
      </c>
      <c r="G334" t="s">
        <v>617</v>
      </c>
      <c r="H334" t="s">
        <v>618</v>
      </c>
      <c r="I334" t="s">
        <v>703</v>
      </c>
    </row>
    <row r="335" spans="2:9">
      <c r="B335">
        <v>33</v>
      </c>
      <c r="C335" t="s">
        <v>184</v>
      </c>
      <c r="D335" t="s">
        <v>528</v>
      </c>
      <c r="E335" t="s">
        <v>498</v>
      </c>
      <c r="F335" t="s">
        <v>552</v>
      </c>
      <c r="G335" t="s">
        <v>574</v>
      </c>
      <c r="H335" t="s">
        <v>575</v>
      </c>
      <c r="I335" t="s">
        <v>576</v>
      </c>
    </row>
    <row r="336" spans="2:9">
      <c r="B336">
        <v>33</v>
      </c>
      <c r="C336" t="s">
        <v>184</v>
      </c>
      <c r="D336" t="s">
        <v>528</v>
      </c>
      <c r="E336" t="s">
        <v>498</v>
      </c>
      <c r="F336" t="s">
        <v>552</v>
      </c>
      <c r="G336" t="s">
        <v>574</v>
      </c>
      <c r="H336" t="s">
        <v>578</v>
      </c>
      <c r="I336" t="s">
        <v>579</v>
      </c>
    </row>
    <row r="337" spans="2:9">
      <c r="B337">
        <v>13</v>
      </c>
      <c r="C337" t="s">
        <v>184</v>
      </c>
      <c r="D337" t="s">
        <v>528</v>
      </c>
      <c r="E337" t="s">
        <v>498</v>
      </c>
      <c r="F337" t="s">
        <v>552</v>
      </c>
      <c r="G337" t="s">
        <v>553</v>
      </c>
      <c r="H337" t="s">
        <v>591</v>
      </c>
      <c r="I337" t="s">
        <v>592</v>
      </c>
    </row>
    <row r="338" spans="2:9">
      <c r="B338">
        <v>12</v>
      </c>
      <c r="C338" t="s">
        <v>184</v>
      </c>
      <c r="D338" t="s">
        <v>528</v>
      </c>
      <c r="E338" t="s">
        <v>498</v>
      </c>
      <c r="F338" t="s">
        <v>552</v>
      </c>
      <c r="G338" t="s">
        <v>582</v>
      </c>
      <c r="H338" t="s">
        <v>583</v>
      </c>
      <c r="I338" t="s">
        <v>584</v>
      </c>
    </row>
    <row r="339" spans="2:9">
      <c r="B339">
        <v>35</v>
      </c>
      <c r="C339" t="s">
        <v>184</v>
      </c>
      <c r="D339" t="s">
        <v>528</v>
      </c>
      <c r="E339" t="s">
        <v>498</v>
      </c>
      <c r="F339" t="s">
        <v>745</v>
      </c>
      <c r="G339" t="s">
        <v>530</v>
      </c>
      <c r="H339" t="s">
        <v>641</v>
      </c>
      <c r="I339" t="s">
        <v>746</v>
      </c>
    </row>
    <row r="340" spans="2:9">
      <c r="B340">
        <v>39</v>
      </c>
      <c r="C340" t="s">
        <v>184</v>
      </c>
      <c r="D340" t="s">
        <v>528</v>
      </c>
      <c r="E340" t="s">
        <v>498</v>
      </c>
      <c r="F340" t="s">
        <v>745</v>
      </c>
      <c r="G340" t="s">
        <v>582</v>
      </c>
      <c r="H340" t="s">
        <v>652</v>
      </c>
      <c r="I340" t="s">
        <v>747</v>
      </c>
    </row>
    <row r="341" spans="2:9">
      <c r="B341">
        <v>40</v>
      </c>
      <c r="C341" t="s">
        <v>184</v>
      </c>
      <c r="D341" t="s">
        <v>528</v>
      </c>
      <c r="E341" t="s">
        <v>498</v>
      </c>
      <c r="F341" t="s">
        <v>745</v>
      </c>
      <c r="G341" t="s">
        <v>656</v>
      </c>
      <c r="H341" t="s">
        <v>657</v>
      </c>
      <c r="I341" t="s">
        <v>748</v>
      </c>
    </row>
    <row r="342" spans="2:9">
      <c r="B342">
        <v>41</v>
      </c>
      <c r="C342" t="s">
        <v>184</v>
      </c>
      <c r="D342" t="s">
        <v>528</v>
      </c>
      <c r="E342" t="s">
        <v>498</v>
      </c>
      <c r="F342" t="s">
        <v>745</v>
      </c>
      <c r="G342" t="s">
        <v>656</v>
      </c>
      <c r="H342" t="s">
        <v>661</v>
      </c>
      <c r="I342" t="s">
        <v>749</v>
      </c>
    </row>
    <row r="343" spans="2:9">
      <c r="B343">
        <v>42</v>
      </c>
      <c r="C343" t="s">
        <v>184</v>
      </c>
      <c r="D343" t="s">
        <v>528</v>
      </c>
      <c r="E343" t="s">
        <v>498</v>
      </c>
      <c r="F343" t="s">
        <v>745</v>
      </c>
      <c r="G343" t="s">
        <v>656</v>
      </c>
      <c r="H343" t="s">
        <v>665</v>
      </c>
      <c r="I343" t="s">
        <v>750</v>
      </c>
    </row>
    <row r="344" spans="2:9">
      <c r="B344">
        <v>43</v>
      </c>
      <c r="C344" t="s">
        <v>184</v>
      </c>
      <c r="D344" t="s">
        <v>528</v>
      </c>
      <c r="E344" t="s">
        <v>498</v>
      </c>
      <c r="F344" t="s">
        <v>745</v>
      </c>
      <c r="G344" t="s">
        <v>574</v>
      </c>
      <c r="H344" t="s">
        <v>669</v>
      </c>
      <c r="I344" t="s">
        <v>721</v>
      </c>
    </row>
    <row r="345" spans="2:9">
      <c r="B345">
        <v>44</v>
      </c>
      <c r="C345" t="s">
        <v>184</v>
      </c>
      <c r="D345" t="s">
        <v>528</v>
      </c>
      <c r="E345" t="s">
        <v>498</v>
      </c>
      <c r="F345" t="s">
        <v>745</v>
      </c>
      <c r="G345" t="s">
        <v>542</v>
      </c>
      <c r="H345" t="s">
        <v>673</v>
      </c>
      <c r="I345" t="s">
        <v>674</v>
      </c>
    </row>
    <row r="346" spans="2:9">
      <c r="B346">
        <v>46</v>
      </c>
      <c r="C346" t="s">
        <v>184</v>
      </c>
      <c r="D346" t="s">
        <v>528</v>
      </c>
      <c r="E346" t="s">
        <v>498</v>
      </c>
      <c r="F346" t="s">
        <v>745</v>
      </c>
      <c r="G346" t="s">
        <v>656</v>
      </c>
      <c r="H346" t="s">
        <v>682</v>
      </c>
      <c r="I346" t="s">
        <v>751</v>
      </c>
    </row>
    <row r="347" spans="2:9">
      <c r="B347">
        <v>47</v>
      </c>
      <c r="C347" t="s">
        <v>184</v>
      </c>
      <c r="D347" t="s">
        <v>528</v>
      </c>
      <c r="E347" t="s">
        <v>498</v>
      </c>
      <c r="F347" t="s">
        <v>745</v>
      </c>
      <c r="G347" t="s">
        <v>656</v>
      </c>
      <c r="H347" t="s">
        <v>686</v>
      </c>
      <c r="I347" t="s">
        <v>752</v>
      </c>
    </row>
    <row r="348" spans="2:9">
      <c r="B348">
        <v>48</v>
      </c>
      <c r="C348" t="s">
        <v>184</v>
      </c>
      <c r="D348" t="s">
        <v>528</v>
      </c>
      <c r="E348" t="s">
        <v>498</v>
      </c>
      <c r="F348" t="s">
        <v>745</v>
      </c>
      <c r="G348" t="s">
        <v>530</v>
      </c>
      <c r="H348" t="s">
        <v>612</v>
      </c>
      <c r="I348" t="s">
        <v>753</v>
      </c>
    </row>
    <row r="349" spans="2:9">
      <c r="B349">
        <v>1</v>
      </c>
      <c r="C349" t="s">
        <v>184</v>
      </c>
      <c r="D349" t="s">
        <v>528</v>
      </c>
      <c r="E349" t="s">
        <v>499</v>
      </c>
      <c r="F349" t="s">
        <v>529</v>
      </c>
      <c r="G349" t="s">
        <v>530</v>
      </c>
      <c r="H349" t="s">
        <v>531</v>
      </c>
      <c r="I349" t="s">
        <v>532</v>
      </c>
    </row>
    <row r="350" spans="2:9">
      <c r="B350">
        <v>2</v>
      </c>
      <c r="C350" t="s">
        <v>184</v>
      </c>
      <c r="D350" t="s">
        <v>528</v>
      </c>
      <c r="E350" t="s">
        <v>499</v>
      </c>
      <c r="F350" t="s">
        <v>529</v>
      </c>
      <c r="G350" t="s">
        <v>530</v>
      </c>
      <c r="H350" t="s">
        <v>537</v>
      </c>
      <c r="I350" t="s">
        <v>538</v>
      </c>
    </row>
    <row r="351" spans="2:9">
      <c r="B351">
        <v>3</v>
      </c>
      <c r="C351" t="s">
        <v>184</v>
      </c>
      <c r="D351" t="s">
        <v>528</v>
      </c>
      <c r="E351" t="s">
        <v>499</v>
      </c>
      <c r="F351" t="s">
        <v>529</v>
      </c>
      <c r="G351" t="s">
        <v>542</v>
      </c>
      <c r="H351" t="s">
        <v>543</v>
      </c>
      <c r="I351" t="s">
        <v>544</v>
      </c>
    </row>
    <row r="352" spans="2:9">
      <c r="B352">
        <v>4</v>
      </c>
      <c r="C352" t="s">
        <v>184</v>
      </c>
      <c r="D352" t="s">
        <v>528</v>
      </c>
      <c r="E352" t="s">
        <v>499</v>
      </c>
      <c r="F352" t="s">
        <v>529</v>
      </c>
      <c r="G352" t="s">
        <v>542</v>
      </c>
      <c r="H352" t="s">
        <v>548</v>
      </c>
      <c r="I352" t="s">
        <v>549</v>
      </c>
    </row>
    <row r="353" spans="2:9">
      <c r="B353">
        <v>5</v>
      </c>
      <c r="C353" t="s">
        <v>184</v>
      </c>
      <c r="D353" t="s">
        <v>528</v>
      </c>
      <c r="E353" t="s">
        <v>499</v>
      </c>
      <c r="F353" t="s">
        <v>694</v>
      </c>
      <c r="G353" t="s">
        <v>553</v>
      </c>
      <c r="H353" t="s">
        <v>554</v>
      </c>
      <c r="I353" t="s">
        <v>555</v>
      </c>
    </row>
    <row r="354" spans="2:9">
      <c r="B354">
        <v>6</v>
      </c>
      <c r="C354" t="s">
        <v>184</v>
      </c>
      <c r="D354" t="s">
        <v>528</v>
      </c>
      <c r="E354" t="s">
        <v>499</v>
      </c>
      <c r="F354" t="s">
        <v>694</v>
      </c>
      <c r="G354" t="s">
        <v>558</v>
      </c>
      <c r="H354" t="s">
        <v>559</v>
      </c>
      <c r="I354" t="s">
        <v>560</v>
      </c>
    </row>
    <row r="355" spans="2:9">
      <c r="B355">
        <v>7</v>
      </c>
      <c r="C355" t="s">
        <v>184</v>
      </c>
      <c r="D355" t="s">
        <v>528</v>
      </c>
      <c r="E355" t="s">
        <v>499</v>
      </c>
      <c r="F355" t="s">
        <v>694</v>
      </c>
      <c r="G355" t="s">
        <v>558</v>
      </c>
      <c r="H355" t="s">
        <v>695</v>
      </c>
      <c r="I355" t="s">
        <v>696</v>
      </c>
    </row>
    <row r="356" spans="2:9">
      <c r="B356">
        <v>7</v>
      </c>
      <c r="C356" t="s">
        <v>184</v>
      </c>
      <c r="D356" t="s">
        <v>528</v>
      </c>
      <c r="E356" t="s">
        <v>499</v>
      </c>
      <c r="F356" t="s">
        <v>694</v>
      </c>
      <c r="G356" t="s">
        <v>558</v>
      </c>
      <c r="H356" t="s">
        <v>697</v>
      </c>
      <c r="I356" t="s">
        <v>743</v>
      </c>
    </row>
    <row r="357" spans="2:9">
      <c r="B357">
        <v>9</v>
      </c>
      <c r="C357" t="s">
        <v>184</v>
      </c>
      <c r="D357" t="s">
        <v>528</v>
      </c>
      <c r="E357" t="s">
        <v>499</v>
      </c>
      <c r="F357" t="s">
        <v>694</v>
      </c>
      <c r="G357" t="s">
        <v>558</v>
      </c>
      <c r="H357" t="s">
        <v>479</v>
      </c>
      <c r="I357" t="s">
        <v>699</v>
      </c>
    </row>
    <row r="358" spans="2:9">
      <c r="B358">
        <v>9</v>
      </c>
      <c r="C358" t="s">
        <v>184</v>
      </c>
      <c r="D358" t="s">
        <v>528</v>
      </c>
      <c r="E358" t="s">
        <v>499</v>
      </c>
      <c r="F358" t="s">
        <v>694</v>
      </c>
      <c r="G358" t="s">
        <v>558</v>
      </c>
      <c r="H358" t="s">
        <v>633</v>
      </c>
      <c r="I358" t="s">
        <v>700</v>
      </c>
    </row>
    <row r="359" spans="2:9">
      <c r="B359">
        <v>10</v>
      </c>
      <c r="C359" t="s">
        <v>184</v>
      </c>
      <c r="D359" t="s">
        <v>528</v>
      </c>
      <c r="E359" t="s">
        <v>499</v>
      </c>
      <c r="F359" t="s">
        <v>694</v>
      </c>
      <c r="G359" t="s">
        <v>574</v>
      </c>
      <c r="H359" t="s">
        <v>575</v>
      </c>
      <c r="I359" t="s">
        <v>576</v>
      </c>
    </row>
    <row r="360" spans="2:9">
      <c r="B360">
        <v>11</v>
      </c>
      <c r="C360" t="s">
        <v>184</v>
      </c>
      <c r="D360" t="s">
        <v>528</v>
      </c>
      <c r="E360" t="s">
        <v>499</v>
      </c>
      <c r="F360" t="s">
        <v>694</v>
      </c>
      <c r="G360" t="s">
        <v>574</v>
      </c>
      <c r="H360" t="s">
        <v>578</v>
      </c>
      <c r="I360" t="s">
        <v>579</v>
      </c>
    </row>
    <row r="361" spans="2:9">
      <c r="B361">
        <v>12</v>
      </c>
      <c r="C361" t="s">
        <v>184</v>
      </c>
      <c r="D361" t="s">
        <v>528</v>
      </c>
      <c r="E361" t="s">
        <v>499</v>
      </c>
      <c r="F361" t="s">
        <v>694</v>
      </c>
      <c r="G361" t="s">
        <v>582</v>
      </c>
      <c r="H361" t="s">
        <v>583</v>
      </c>
      <c r="I361" t="s">
        <v>584</v>
      </c>
    </row>
    <row r="362" spans="2:9">
      <c r="B362">
        <v>12</v>
      </c>
      <c r="C362" t="s">
        <v>184</v>
      </c>
      <c r="D362" t="s">
        <v>528</v>
      </c>
      <c r="E362" t="s">
        <v>499</v>
      </c>
      <c r="F362" t="s">
        <v>694</v>
      </c>
      <c r="G362" t="s">
        <v>582</v>
      </c>
      <c r="H362" t="s">
        <v>587</v>
      </c>
      <c r="I362" t="s">
        <v>588</v>
      </c>
    </row>
    <row r="363" spans="2:9">
      <c r="B363">
        <v>13</v>
      </c>
      <c r="C363" t="s">
        <v>184</v>
      </c>
      <c r="D363" t="s">
        <v>528</v>
      </c>
      <c r="E363" t="s">
        <v>499</v>
      </c>
      <c r="F363" t="s">
        <v>694</v>
      </c>
      <c r="G363" t="s">
        <v>553</v>
      </c>
      <c r="H363" t="s">
        <v>591</v>
      </c>
      <c r="I363" t="s">
        <v>592</v>
      </c>
    </row>
    <row r="364" spans="2:9">
      <c r="B364">
        <v>14</v>
      </c>
      <c r="C364" t="s">
        <v>184</v>
      </c>
      <c r="D364" t="s">
        <v>528</v>
      </c>
      <c r="E364" t="s">
        <v>499</v>
      </c>
      <c r="F364" t="s">
        <v>694</v>
      </c>
      <c r="G364" t="s">
        <v>595</v>
      </c>
      <c r="H364" t="s">
        <v>596</v>
      </c>
      <c r="I364" t="s">
        <v>597</v>
      </c>
    </row>
    <row r="365" spans="2:9">
      <c r="B365">
        <v>15</v>
      </c>
      <c r="C365" t="s">
        <v>184</v>
      </c>
      <c r="D365" t="s">
        <v>528</v>
      </c>
      <c r="E365" t="s">
        <v>499</v>
      </c>
      <c r="F365" t="s">
        <v>694</v>
      </c>
      <c r="G365" t="s">
        <v>558</v>
      </c>
      <c r="H365" t="s">
        <v>599</v>
      </c>
      <c r="I365" t="s">
        <v>600</v>
      </c>
    </row>
    <row r="366" spans="2:9">
      <c r="B366">
        <v>16</v>
      </c>
      <c r="C366" t="s">
        <v>184</v>
      </c>
      <c r="D366" t="s">
        <v>528</v>
      </c>
      <c r="E366" t="s">
        <v>499</v>
      </c>
      <c r="F366" t="s">
        <v>694</v>
      </c>
      <c r="G366" t="s">
        <v>602</v>
      </c>
      <c r="H366" t="s">
        <v>603</v>
      </c>
      <c r="I366" t="s">
        <v>604</v>
      </c>
    </row>
    <row r="367" spans="2:9">
      <c r="B367">
        <v>17</v>
      </c>
      <c r="C367" t="s">
        <v>184</v>
      </c>
      <c r="D367" t="s">
        <v>528</v>
      </c>
      <c r="E367" t="s">
        <v>499</v>
      </c>
      <c r="F367" t="s">
        <v>694</v>
      </c>
      <c r="G367" t="s">
        <v>558</v>
      </c>
      <c r="H367" t="s">
        <v>607</v>
      </c>
      <c r="I367" t="s">
        <v>608</v>
      </c>
    </row>
    <row r="368" spans="2:9">
      <c r="B368">
        <v>18</v>
      </c>
      <c r="C368" t="s">
        <v>184</v>
      </c>
      <c r="D368" t="s">
        <v>528</v>
      </c>
      <c r="E368" t="s">
        <v>499</v>
      </c>
      <c r="F368" t="s">
        <v>694</v>
      </c>
      <c r="G368" t="s">
        <v>530</v>
      </c>
      <c r="H368" t="s">
        <v>612</v>
      </c>
      <c r="I368" t="s">
        <v>613</v>
      </c>
    </row>
    <row r="369" spans="2:9">
      <c r="B369">
        <v>19</v>
      </c>
      <c r="C369" t="s">
        <v>184</v>
      </c>
      <c r="D369" t="s">
        <v>528</v>
      </c>
      <c r="E369" t="s">
        <v>499</v>
      </c>
      <c r="F369" t="s">
        <v>694</v>
      </c>
      <c r="G369" t="s">
        <v>617</v>
      </c>
      <c r="H369" t="s">
        <v>618</v>
      </c>
      <c r="I369" t="s">
        <v>703</v>
      </c>
    </row>
    <row r="370" spans="2:9">
      <c r="B370">
        <v>24</v>
      </c>
      <c r="C370" t="s">
        <v>184</v>
      </c>
      <c r="D370" t="s">
        <v>528</v>
      </c>
      <c r="E370" t="s">
        <v>499</v>
      </c>
      <c r="F370" t="s">
        <v>694</v>
      </c>
      <c r="G370" t="s">
        <v>595</v>
      </c>
      <c r="H370" t="s">
        <v>626</v>
      </c>
      <c r="I370" t="s">
        <v>627</v>
      </c>
    </row>
    <row r="371" spans="2:9">
      <c r="B371">
        <v>33</v>
      </c>
      <c r="C371" t="s">
        <v>184</v>
      </c>
      <c r="D371" t="s">
        <v>528</v>
      </c>
      <c r="E371" t="s">
        <v>499</v>
      </c>
      <c r="F371" t="s">
        <v>694</v>
      </c>
      <c r="G371" t="s">
        <v>558</v>
      </c>
      <c r="H371" t="s">
        <v>636</v>
      </c>
      <c r="I371" t="s">
        <v>637</v>
      </c>
    </row>
    <row r="372" spans="2:9">
      <c r="B372">
        <v>20</v>
      </c>
      <c r="C372" t="s">
        <v>184</v>
      </c>
      <c r="D372" t="s">
        <v>528</v>
      </c>
      <c r="E372" t="s">
        <v>499</v>
      </c>
      <c r="F372" t="s">
        <v>694</v>
      </c>
      <c r="G372" t="s">
        <v>558</v>
      </c>
      <c r="H372" t="s">
        <v>475</v>
      </c>
      <c r="I372" t="s">
        <v>725</v>
      </c>
    </row>
    <row r="373" spans="2:9">
      <c r="B373">
        <v>20</v>
      </c>
      <c r="C373" t="s">
        <v>184</v>
      </c>
      <c r="D373" t="s">
        <v>528</v>
      </c>
      <c r="E373" t="s">
        <v>499</v>
      </c>
      <c r="F373" t="s">
        <v>694</v>
      </c>
      <c r="G373" t="s">
        <v>574</v>
      </c>
      <c r="H373" t="s">
        <v>480</v>
      </c>
      <c r="I373" t="s">
        <v>754</v>
      </c>
    </row>
    <row r="374" spans="2:9">
      <c r="B374">
        <v>27</v>
      </c>
      <c r="C374" t="s">
        <v>184</v>
      </c>
      <c r="D374" t="s">
        <v>528</v>
      </c>
      <c r="E374" t="s">
        <v>499</v>
      </c>
      <c r="F374" t="s">
        <v>552</v>
      </c>
      <c r="G374" t="s">
        <v>530</v>
      </c>
      <c r="H374" t="s">
        <v>701</v>
      </c>
      <c r="I374" t="s">
        <v>702</v>
      </c>
    </row>
    <row r="375" spans="2:9">
      <c r="B375">
        <v>27</v>
      </c>
      <c r="C375" t="s">
        <v>184</v>
      </c>
      <c r="D375" t="s">
        <v>528</v>
      </c>
      <c r="E375" t="s">
        <v>499</v>
      </c>
      <c r="F375" t="s">
        <v>552</v>
      </c>
      <c r="G375" t="s">
        <v>558</v>
      </c>
      <c r="H375" t="s">
        <v>563</v>
      </c>
      <c r="I375" t="s">
        <v>564</v>
      </c>
    </row>
    <row r="376" spans="2:9">
      <c r="B376">
        <v>27</v>
      </c>
      <c r="C376" t="s">
        <v>184</v>
      </c>
      <c r="D376" t="s">
        <v>528</v>
      </c>
      <c r="E376" t="s">
        <v>499</v>
      </c>
      <c r="F376" t="s">
        <v>552</v>
      </c>
      <c r="G376" t="s">
        <v>558</v>
      </c>
      <c r="H376" t="s">
        <v>567</v>
      </c>
      <c r="I376" t="s">
        <v>568</v>
      </c>
    </row>
    <row r="377" spans="2:9">
      <c r="B377">
        <v>27</v>
      </c>
      <c r="C377" t="s">
        <v>184</v>
      </c>
      <c r="D377" t="s">
        <v>528</v>
      </c>
      <c r="E377" t="s">
        <v>499</v>
      </c>
      <c r="F377" t="s">
        <v>552</v>
      </c>
      <c r="G377" t="s">
        <v>558</v>
      </c>
      <c r="H377" t="s">
        <v>570</v>
      </c>
      <c r="I377" t="s">
        <v>571</v>
      </c>
    </row>
    <row r="378" spans="2:9">
      <c r="B378">
        <v>33</v>
      </c>
      <c r="C378" t="s">
        <v>184</v>
      </c>
      <c r="D378" t="s">
        <v>528</v>
      </c>
      <c r="E378" t="s">
        <v>499</v>
      </c>
      <c r="F378" t="s">
        <v>552</v>
      </c>
      <c r="G378" t="s">
        <v>530</v>
      </c>
      <c r="H378" t="s">
        <v>612</v>
      </c>
      <c r="I378" t="s">
        <v>613</v>
      </c>
    </row>
    <row r="379" spans="2:9">
      <c r="B379">
        <v>33</v>
      </c>
      <c r="C379" t="s">
        <v>184</v>
      </c>
      <c r="D379" t="s">
        <v>528</v>
      </c>
      <c r="E379" t="s">
        <v>499</v>
      </c>
      <c r="F379" t="s">
        <v>552</v>
      </c>
      <c r="G379" t="s">
        <v>617</v>
      </c>
      <c r="H379" t="s">
        <v>618</v>
      </c>
      <c r="I379" t="s">
        <v>703</v>
      </c>
    </row>
    <row r="380" spans="2:9">
      <c r="B380">
        <v>33</v>
      </c>
      <c r="C380" t="s">
        <v>184</v>
      </c>
      <c r="D380" t="s">
        <v>528</v>
      </c>
      <c r="E380" t="s">
        <v>499</v>
      </c>
      <c r="F380" t="s">
        <v>552</v>
      </c>
      <c r="G380" t="s">
        <v>574</v>
      </c>
      <c r="H380" t="s">
        <v>575</v>
      </c>
      <c r="I380" t="s">
        <v>576</v>
      </c>
    </row>
    <row r="381" spans="2:9">
      <c r="B381">
        <v>33</v>
      </c>
      <c r="C381" t="s">
        <v>184</v>
      </c>
      <c r="D381" t="s">
        <v>528</v>
      </c>
      <c r="E381" t="s">
        <v>499</v>
      </c>
      <c r="F381" t="s">
        <v>552</v>
      </c>
      <c r="G381" t="s">
        <v>574</v>
      </c>
      <c r="H381" t="s">
        <v>578</v>
      </c>
      <c r="I381" t="s">
        <v>579</v>
      </c>
    </row>
    <row r="382" spans="2:9">
      <c r="B382">
        <v>13</v>
      </c>
      <c r="C382" t="s">
        <v>184</v>
      </c>
      <c r="D382" t="s">
        <v>528</v>
      </c>
      <c r="E382" t="s">
        <v>499</v>
      </c>
      <c r="F382" t="s">
        <v>552</v>
      </c>
      <c r="G382" t="s">
        <v>553</v>
      </c>
      <c r="H382" t="s">
        <v>591</v>
      </c>
      <c r="I382" t="s">
        <v>592</v>
      </c>
    </row>
    <row r="383" spans="2:9">
      <c r="B383">
        <v>12</v>
      </c>
      <c r="C383" t="s">
        <v>184</v>
      </c>
      <c r="D383" t="s">
        <v>528</v>
      </c>
      <c r="E383" t="s">
        <v>499</v>
      </c>
      <c r="F383" t="s">
        <v>552</v>
      </c>
      <c r="G383" t="s">
        <v>582</v>
      </c>
      <c r="H383" t="s">
        <v>583</v>
      </c>
      <c r="I383" t="s">
        <v>584</v>
      </c>
    </row>
    <row r="384" spans="2:9">
      <c r="B384">
        <v>35</v>
      </c>
      <c r="C384" t="s">
        <v>184</v>
      </c>
      <c r="D384" t="s">
        <v>528</v>
      </c>
      <c r="E384" t="s">
        <v>499</v>
      </c>
      <c r="F384" t="s">
        <v>745</v>
      </c>
      <c r="G384" t="s">
        <v>530</v>
      </c>
      <c r="H384" t="s">
        <v>641</v>
      </c>
      <c r="I384" t="s">
        <v>746</v>
      </c>
    </row>
    <row r="385" spans="2:9">
      <c r="B385">
        <v>39</v>
      </c>
      <c r="C385" t="s">
        <v>184</v>
      </c>
      <c r="D385" t="s">
        <v>528</v>
      </c>
      <c r="E385" t="s">
        <v>499</v>
      </c>
      <c r="F385" t="s">
        <v>745</v>
      </c>
      <c r="G385" t="s">
        <v>582</v>
      </c>
      <c r="H385" t="s">
        <v>652</v>
      </c>
      <c r="I385" t="s">
        <v>747</v>
      </c>
    </row>
    <row r="386" spans="2:9">
      <c r="B386">
        <v>40</v>
      </c>
      <c r="C386" t="s">
        <v>184</v>
      </c>
      <c r="D386" t="s">
        <v>528</v>
      </c>
      <c r="E386" t="s">
        <v>499</v>
      </c>
      <c r="F386" t="s">
        <v>745</v>
      </c>
      <c r="G386" t="s">
        <v>656</v>
      </c>
      <c r="H386" t="s">
        <v>657</v>
      </c>
      <c r="I386" t="s">
        <v>748</v>
      </c>
    </row>
    <row r="387" spans="2:9">
      <c r="B387">
        <v>41</v>
      </c>
      <c r="C387" t="s">
        <v>184</v>
      </c>
      <c r="D387" t="s">
        <v>528</v>
      </c>
      <c r="E387" t="s">
        <v>499</v>
      </c>
      <c r="F387" t="s">
        <v>745</v>
      </c>
      <c r="G387" t="s">
        <v>656</v>
      </c>
      <c r="H387" t="s">
        <v>661</v>
      </c>
      <c r="I387" t="s">
        <v>749</v>
      </c>
    </row>
    <row r="388" spans="2:9">
      <c r="B388">
        <v>42</v>
      </c>
      <c r="C388" t="s">
        <v>184</v>
      </c>
      <c r="D388" t="s">
        <v>528</v>
      </c>
      <c r="E388" t="s">
        <v>499</v>
      </c>
      <c r="F388" t="s">
        <v>745</v>
      </c>
      <c r="G388" t="s">
        <v>656</v>
      </c>
      <c r="H388" t="s">
        <v>665</v>
      </c>
      <c r="I388" t="s">
        <v>750</v>
      </c>
    </row>
    <row r="389" spans="2:9">
      <c r="B389">
        <v>43</v>
      </c>
      <c r="C389" t="s">
        <v>184</v>
      </c>
      <c r="D389" t="s">
        <v>528</v>
      </c>
      <c r="E389" t="s">
        <v>499</v>
      </c>
      <c r="F389" t="s">
        <v>745</v>
      </c>
      <c r="G389" t="s">
        <v>574</v>
      </c>
      <c r="H389" t="s">
        <v>669</v>
      </c>
      <c r="I389" t="s">
        <v>721</v>
      </c>
    </row>
    <row r="390" spans="2:9">
      <c r="B390">
        <v>44</v>
      </c>
      <c r="C390" t="s">
        <v>184</v>
      </c>
      <c r="D390" t="s">
        <v>528</v>
      </c>
      <c r="E390" t="s">
        <v>499</v>
      </c>
      <c r="F390" t="s">
        <v>745</v>
      </c>
      <c r="G390" t="s">
        <v>542</v>
      </c>
      <c r="H390" t="s">
        <v>673</v>
      </c>
      <c r="I390" t="s">
        <v>674</v>
      </c>
    </row>
    <row r="391" spans="2:9">
      <c r="B391">
        <v>46</v>
      </c>
      <c r="C391" t="s">
        <v>184</v>
      </c>
      <c r="D391" t="s">
        <v>528</v>
      </c>
      <c r="E391" t="s">
        <v>499</v>
      </c>
      <c r="F391" t="s">
        <v>745</v>
      </c>
      <c r="G391" t="s">
        <v>656</v>
      </c>
      <c r="H391" t="s">
        <v>682</v>
      </c>
      <c r="I391" t="s">
        <v>751</v>
      </c>
    </row>
    <row r="392" spans="2:9">
      <c r="B392">
        <v>47</v>
      </c>
      <c r="C392" t="s">
        <v>184</v>
      </c>
      <c r="D392" t="s">
        <v>528</v>
      </c>
      <c r="E392" t="s">
        <v>499</v>
      </c>
      <c r="F392" t="s">
        <v>745</v>
      </c>
      <c r="G392" t="s">
        <v>656</v>
      </c>
      <c r="H392" t="s">
        <v>686</v>
      </c>
      <c r="I392" t="s">
        <v>752</v>
      </c>
    </row>
    <row r="393" spans="2:9">
      <c r="B393">
        <v>48</v>
      </c>
      <c r="C393" t="s">
        <v>184</v>
      </c>
      <c r="D393" t="s">
        <v>528</v>
      </c>
      <c r="E393" t="s">
        <v>499</v>
      </c>
      <c r="F393" t="s">
        <v>745</v>
      </c>
      <c r="G393" t="s">
        <v>530</v>
      </c>
      <c r="H393" t="s">
        <v>612</v>
      </c>
      <c r="I393" t="s">
        <v>753</v>
      </c>
    </row>
    <row r="394" spans="2:9">
      <c r="B394">
        <v>1</v>
      </c>
      <c r="C394" t="s">
        <v>184</v>
      </c>
      <c r="D394" t="s">
        <v>528</v>
      </c>
      <c r="E394" t="s">
        <v>500</v>
      </c>
      <c r="F394" t="s">
        <v>529</v>
      </c>
      <c r="G394" t="s">
        <v>530</v>
      </c>
      <c r="H394" t="s">
        <v>531</v>
      </c>
      <c r="I394" t="s">
        <v>532</v>
      </c>
    </row>
    <row r="395" spans="2:9">
      <c r="B395">
        <v>2</v>
      </c>
      <c r="C395" t="s">
        <v>184</v>
      </c>
      <c r="D395" t="s">
        <v>528</v>
      </c>
      <c r="E395" t="s">
        <v>500</v>
      </c>
      <c r="F395" t="s">
        <v>529</v>
      </c>
      <c r="G395" t="s">
        <v>530</v>
      </c>
      <c r="H395" t="s">
        <v>537</v>
      </c>
      <c r="I395" t="s">
        <v>538</v>
      </c>
    </row>
    <row r="396" spans="2:9">
      <c r="B396">
        <v>3</v>
      </c>
      <c r="C396" t="s">
        <v>184</v>
      </c>
      <c r="D396" t="s">
        <v>528</v>
      </c>
      <c r="E396" t="s">
        <v>500</v>
      </c>
      <c r="F396" t="s">
        <v>529</v>
      </c>
      <c r="G396" t="s">
        <v>542</v>
      </c>
      <c r="H396" t="s">
        <v>543</v>
      </c>
      <c r="I396" t="s">
        <v>544</v>
      </c>
    </row>
    <row r="397" spans="2:9">
      <c r="B397">
        <v>4</v>
      </c>
      <c r="C397" t="s">
        <v>184</v>
      </c>
      <c r="D397" t="s">
        <v>528</v>
      </c>
      <c r="E397" t="s">
        <v>500</v>
      </c>
      <c r="F397" t="s">
        <v>529</v>
      </c>
      <c r="G397" t="s">
        <v>542</v>
      </c>
      <c r="H397" t="s">
        <v>548</v>
      </c>
      <c r="I397" t="s">
        <v>549</v>
      </c>
    </row>
    <row r="398" spans="2:9">
      <c r="B398">
        <v>5</v>
      </c>
      <c r="C398" t="s">
        <v>184</v>
      </c>
      <c r="D398" t="s">
        <v>528</v>
      </c>
      <c r="E398" t="s">
        <v>500</v>
      </c>
      <c r="F398" t="s">
        <v>552</v>
      </c>
      <c r="G398" t="s">
        <v>553</v>
      </c>
      <c r="H398" t="s">
        <v>554</v>
      </c>
      <c r="I398" t="s">
        <v>555</v>
      </c>
    </row>
    <row r="399" spans="2:9">
      <c r="B399">
        <v>6</v>
      </c>
      <c r="C399" t="s">
        <v>184</v>
      </c>
      <c r="D399" t="s">
        <v>528</v>
      </c>
      <c r="E399" t="s">
        <v>500</v>
      </c>
      <c r="F399" t="s">
        <v>552</v>
      </c>
      <c r="G399" t="s">
        <v>558</v>
      </c>
      <c r="H399" t="s">
        <v>559</v>
      </c>
      <c r="I399" t="s">
        <v>560</v>
      </c>
    </row>
    <row r="400" spans="2:9">
      <c r="B400">
        <v>27</v>
      </c>
      <c r="C400" t="s">
        <v>184</v>
      </c>
      <c r="D400" t="s">
        <v>528</v>
      </c>
      <c r="E400" t="s">
        <v>500</v>
      </c>
      <c r="F400" t="s">
        <v>552</v>
      </c>
      <c r="G400" t="s">
        <v>558</v>
      </c>
      <c r="H400" t="s">
        <v>563</v>
      </c>
      <c r="I400" t="s">
        <v>564</v>
      </c>
    </row>
    <row r="401" spans="2:9">
      <c r="B401">
        <v>27</v>
      </c>
      <c r="C401" t="s">
        <v>184</v>
      </c>
      <c r="D401" t="s">
        <v>528</v>
      </c>
      <c r="E401" t="s">
        <v>500</v>
      </c>
      <c r="F401" t="s">
        <v>552</v>
      </c>
      <c r="G401" t="s">
        <v>558</v>
      </c>
      <c r="H401" t="s">
        <v>567</v>
      </c>
      <c r="I401" t="s">
        <v>568</v>
      </c>
    </row>
    <row r="402" spans="2:9">
      <c r="B402">
        <v>27</v>
      </c>
      <c r="C402" t="s">
        <v>184</v>
      </c>
      <c r="D402" t="s">
        <v>528</v>
      </c>
      <c r="E402" t="s">
        <v>500</v>
      </c>
      <c r="F402" t="s">
        <v>552</v>
      </c>
      <c r="G402" t="s">
        <v>558</v>
      </c>
      <c r="H402" t="s">
        <v>570</v>
      </c>
      <c r="I402" t="s">
        <v>571</v>
      </c>
    </row>
    <row r="403" spans="2:9">
      <c r="B403">
        <v>10</v>
      </c>
      <c r="C403" t="s">
        <v>184</v>
      </c>
      <c r="D403" t="s">
        <v>528</v>
      </c>
      <c r="E403" t="s">
        <v>500</v>
      </c>
      <c r="F403" t="s">
        <v>552</v>
      </c>
      <c r="G403" t="s">
        <v>574</v>
      </c>
      <c r="H403" t="s">
        <v>575</v>
      </c>
      <c r="I403" t="s">
        <v>576</v>
      </c>
    </row>
    <row r="404" spans="2:9">
      <c r="B404">
        <v>11</v>
      </c>
      <c r="C404" t="s">
        <v>184</v>
      </c>
      <c r="D404" t="s">
        <v>528</v>
      </c>
      <c r="E404" t="s">
        <v>500</v>
      </c>
      <c r="F404" t="s">
        <v>552</v>
      </c>
      <c r="G404" t="s">
        <v>574</v>
      </c>
      <c r="H404" t="s">
        <v>578</v>
      </c>
      <c r="I404" t="s">
        <v>579</v>
      </c>
    </row>
    <row r="405" spans="2:9">
      <c r="B405">
        <v>12</v>
      </c>
      <c r="C405" t="s">
        <v>184</v>
      </c>
      <c r="D405" t="s">
        <v>528</v>
      </c>
      <c r="E405" t="s">
        <v>500</v>
      </c>
      <c r="F405" t="s">
        <v>552</v>
      </c>
      <c r="G405" t="s">
        <v>582</v>
      </c>
      <c r="H405" t="s">
        <v>583</v>
      </c>
      <c r="I405" t="s">
        <v>584</v>
      </c>
    </row>
    <row r="406" spans="2:9">
      <c r="B406">
        <v>12</v>
      </c>
      <c r="C406" t="s">
        <v>184</v>
      </c>
      <c r="D406" t="s">
        <v>528</v>
      </c>
      <c r="E406" t="s">
        <v>500</v>
      </c>
      <c r="F406" t="s">
        <v>552</v>
      </c>
      <c r="G406" t="s">
        <v>582</v>
      </c>
      <c r="H406" t="s">
        <v>587</v>
      </c>
      <c r="I406" t="s">
        <v>588</v>
      </c>
    </row>
    <row r="407" spans="2:9">
      <c r="B407">
        <v>13</v>
      </c>
      <c r="C407" t="s">
        <v>184</v>
      </c>
      <c r="D407" t="s">
        <v>528</v>
      </c>
      <c r="E407" t="s">
        <v>500</v>
      </c>
      <c r="F407" t="s">
        <v>552</v>
      </c>
      <c r="G407" t="s">
        <v>553</v>
      </c>
      <c r="H407" t="s">
        <v>591</v>
      </c>
      <c r="I407" t="s">
        <v>592</v>
      </c>
    </row>
    <row r="408" spans="2:9">
      <c r="B408">
        <v>14</v>
      </c>
      <c r="C408" t="s">
        <v>184</v>
      </c>
      <c r="D408" t="s">
        <v>528</v>
      </c>
      <c r="E408" t="s">
        <v>500</v>
      </c>
      <c r="F408" t="s">
        <v>552</v>
      </c>
      <c r="G408" t="s">
        <v>595</v>
      </c>
      <c r="H408" t="s">
        <v>596</v>
      </c>
      <c r="I408" t="s">
        <v>597</v>
      </c>
    </row>
    <row r="409" spans="2:9">
      <c r="B409">
        <v>15</v>
      </c>
      <c r="C409" t="s">
        <v>184</v>
      </c>
      <c r="D409" t="s">
        <v>528</v>
      </c>
      <c r="E409" t="s">
        <v>500</v>
      </c>
      <c r="F409" t="s">
        <v>552</v>
      </c>
      <c r="G409" t="s">
        <v>558</v>
      </c>
      <c r="H409" t="s">
        <v>599</v>
      </c>
      <c r="I409" t="s">
        <v>600</v>
      </c>
    </row>
    <row r="410" spans="2:9">
      <c r="B410">
        <v>16</v>
      </c>
      <c r="C410" t="s">
        <v>184</v>
      </c>
      <c r="D410" t="s">
        <v>528</v>
      </c>
      <c r="E410" t="s">
        <v>500</v>
      </c>
      <c r="F410" t="s">
        <v>552</v>
      </c>
      <c r="G410" t="s">
        <v>602</v>
      </c>
      <c r="H410" t="s">
        <v>603</v>
      </c>
      <c r="I410" t="s">
        <v>604</v>
      </c>
    </row>
    <row r="411" spans="2:9">
      <c r="B411">
        <v>17</v>
      </c>
      <c r="C411" t="s">
        <v>184</v>
      </c>
      <c r="D411" t="s">
        <v>528</v>
      </c>
      <c r="E411" t="s">
        <v>500</v>
      </c>
      <c r="F411" t="s">
        <v>552</v>
      </c>
      <c r="G411" t="s">
        <v>558</v>
      </c>
      <c r="H411" t="s">
        <v>607</v>
      </c>
      <c r="I411" t="s">
        <v>608</v>
      </c>
    </row>
    <row r="412" spans="2:9">
      <c r="B412">
        <v>18</v>
      </c>
      <c r="C412" t="s">
        <v>184</v>
      </c>
      <c r="D412" t="s">
        <v>528</v>
      </c>
      <c r="E412" t="s">
        <v>500</v>
      </c>
      <c r="F412" t="s">
        <v>552</v>
      </c>
      <c r="G412" t="s">
        <v>530</v>
      </c>
      <c r="H412" t="s">
        <v>612</v>
      </c>
      <c r="I412" t="s">
        <v>613</v>
      </c>
    </row>
    <row r="413" spans="2:9">
      <c r="B413">
        <v>33</v>
      </c>
      <c r="C413" t="s">
        <v>184</v>
      </c>
      <c r="D413" t="s">
        <v>528</v>
      </c>
      <c r="E413" t="s">
        <v>500</v>
      </c>
      <c r="F413" t="s">
        <v>552</v>
      </c>
      <c r="G413" t="s">
        <v>617</v>
      </c>
      <c r="H413" t="s">
        <v>618</v>
      </c>
      <c r="I413" t="s">
        <v>619</v>
      </c>
    </row>
    <row r="414" spans="2:9">
      <c r="B414">
        <v>20</v>
      </c>
      <c r="C414" t="s">
        <v>184</v>
      </c>
      <c r="D414" t="s">
        <v>528</v>
      </c>
      <c r="E414" t="s">
        <v>500</v>
      </c>
      <c r="F414" t="s">
        <v>552</v>
      </c>
      <c r="G414" t="s">
        <v>558</v>
      </c>
      <c r="H414" t="s">
        <v>475</v>
      </c>
      <c r="I414" t="s">
        <v>622</v>
      </c>
    </row>
    <row r="415" spans="2:9">
      <c r="B415">
        <v>24</v>
      </c>
      <c r="C415" t="s">
        <v>184</v>
      </c>
      <c r="D415" t="s">
        <v>528</v>
      </c>
      <c r="E415" t="s">
        <v>500</v>
      </c>
      <c r="F415" t="s">
        <v>552</v>
      </c>
      <c r="G415" t="s">
        <v>595</v>
      </c>
      <c r="H415" t="s">
        <v>626</v>
      </c>
      <c r="I415" t="s">
        <v>627</v>
      </c>
    </row>
    <row r="416" spans="2:9">
      <c r="B416">
        <v>26</v>
      </c>
      <c r="C416" t="s">
        <v>184</v>
      </c>
      <c r="D416" t="s">
        <v>528</v>
      </c>
      <c r="E416" t="s">
        <v>500</v>
      </c>
      <c r="F416" t="s">
        <v>552</v>
      </c>
      <c r="G416" t="s">
        <v>558</v>
      </c>
      <c r="H416" t="s">
        <v>476</v>
      </c>
      <c r="I416" t="s">
        <v>630</v>
      </c>
    </row>
    <row r="417" spans="2:9">
      <c r="B417">
        <v>27</v>
      </c>
      <c r="C417" t="s">
        <v>184</v>
      </c>
      <c r="D417" t="s">
        <v>528</v>
      </c>
      <c r="E417" t="s">
        <v>500</v>
      </c>
      <c r="F417" t="s">
        <v>552</v>
      </c>
      <c r="G417" t="s">
        <v>558</v>
      </c>
      <c r="H417" t="s">
        <v>633</v>
      </c>
      <c r="I417" t="s">
        <v>634</v>
      </c>
    </row>
    <row r="418" spans="2:9">
      <c r="B418">
        <v>33</v>
      </c>
      <c r="C418" t="s">
        <v>184</v>
      </c>
      <c r="D418" t="s">
        <v>528</v>
      </c>
      <c r="E418" t="s">
        <v>500</v>
      </c>
      <c r="F418" t="s">
        <v>552</v>
      </c>
      <c r="G418" t="s">
        <v>558</v>
      </c>
      <c r="H418" t="s">
        <v>636</v>
      </c>
      <c r="I418" t="s">
        <v>637</v>
      </c>
    </row>
    <row r="419" spans="2:9">
      <c r="B419">
        <v>39</v>
      </c>
      <c r="C419" t="s">
        <v>184</v>
      </c>
      <c r="D419" t="s">
        <v>528</v>
      </c>
      <c r="E419" t="s">
        <v>500</v>
      </c>
      <c r="F419" t="s">
        <v>552</v>
      </c>
      <c r="G419" t="s">
        <v>558</v>
      </c>
      <c r="H419" t="s">
        <v>695</v>
      </c>
      <c r="I419" t="s">
        <v>744</v>
      </c>
    </row>
    <row r="420" spans="2:9">
      <c r="B420">
        <v>45</v>
      </c>
      <c r="C420" t="s">
        <v>184</v>
      </c>
      <c r="D420" t="s">
        <v>528</v>
      </c>
      <c r="E420" t="s">
        <v>500</v>
      </c>
      <c r="F420" t="s">
        <v>552</v>
      </c>
      <c r="G420" t="s">
        <v>558</v>
      </c>
      <c r="H420" t="s">
        <v>697</v>
      </c>
      <c r="I420" t="s">
        <v>698</v>
      </c>
    </row>
    <row r="421" spans="2:9">
      <c r="B421">
        <v>35</v>
      </c>
      <c r="C421" t="s">
        <v>184</v>
      </c>
      <c r="D421" t="s">
        <v>528</v>
      </c>
      <c r="E421" t="s">
        <v>500</v>
      </c>
      <c r="F421" t="s">
        <v>745</v>
      </c>
      <c r="G421" t="s">
        <v>530</v>
      </c>
      <c r="H421" t="s">
        <v>641</v>
      </c>
      <c r="I421" t="s">
        <v>746</v>
      </c>
    </row>
    <row r="422" spans="2:9">
      <c r="B422">
        <v>39</v>
      </c>
      <c r="C422" t="s">
        <v>184</v>
      </c>
      <c r="D422" t="s">
        <v>528</v>
      </c>
      <c r="E422" t="s">
        <v>500</v>
      </c>
      <c r="F422" t="s">
        <v>745</v>
      </c>
      <c r="G422" t="s">
        <v>582</v>
      </c>
      <c r="H422" t="s">
        <v>652</v>
      </c>
      <c r="I422" t="s">
        <v>747</v>
      </c>
    </row>
    <row r="423" spans="2:9">
      <c r="B423">
        <v>40</v>
      </c>
      <c r="C423" t="s">
        <v>184</v>
      </c>
      <c r="D423" t="s">
        <v>528</v>
      </c>
      <c r="E423" t="s">
        <v>500</v>
      </c>
      <c r="F423" t="s">
        <v>745</v>
      </c>
      <c r="G423" t="s">
        <v>656</v>
      </c>
      <c r="H423" t="s">
        <v>657</v>
      </c>
      <c r="I423" t="s">
        <v>748</v>
      </c>
    </row>
    <row r="424" spans="2:9">
      <c r="B424">
        <v>41</v>
      </c>
      <c r="C424" t="s">
        <v>184</v>
      </c>
      <c r="D424" t="s">
        <v>528</v>
      </c>
      <c r="E424" t="s">
        <v>500</v>
      </c>
      <c r="F424" t="s">
        <v>745</v>
      </c>
      <c r="G424" t="s">
        <v>656</v>
      </c>
      <c r="H424" t="s">
        <v>661</v>
      </c>
      <c r="I424" t="s">
        <v>749</v>
      </c>
    </row>
    <row r="425" spans="2:9">
      <c r="B425">
        <v>42</v>
      </c>
      <c r="C425" t="s">
        <v>184</v>
      </c>
      <c r="D425" t="s">
        <v>528</v>
      </c>
      <c r="E425" t="s">
        <v>500</v>
      </c>
      <c r="F425" t="s">
        <v>745</v>
      </c>
      <c r="G425" t="s">
        <v>656</v>
      </c>
      <c r="H425" t="s">
        <v>665</v>
      </c>
      <c r="I425" t="s">
        <v>750</v>
      </c>
    </row>
    <row r="426" spans="2:9">
      <c r="B426">
        <v>43</v>
      </c>
      <c r="C426" t="s">
        <v>184</v>
      </c>
      <c r="D426" t="s">
        <v>528</v>
      </c>
      <c r="E426" t="s">
        <v>500</v>
      </c>
      <c r="F426" t="s">
        <v>745</v>
      </c>
      <c r="G426" t="s">
        <v>574</v>
      </c>
      <c r="H426" t="s">
        <v>669</v>
      </c>
      <c r="I426" t="s">
        <v>670</v>
      </c>
    </row>
    <row r="427" spans="2:9">
      <c r="B427">
        <v>44</v>
      </c>
      <c r="C427" t="s">
        <v>184</v>
      </c>
      <c r="D427" t="s">
        <v>528</v>
      </c>
      <c r="E427" t="s">
        <v>500</v>
      </c>
      <c r="F427" t="s">
        <v>745</v>
      </c>
      <c r="G427" t="s">
        <v>542</v>
      </c>
      <c r="H427" t="s">
        <v>673</v>
      </c>
      <c r="I427" t="s">
        <v>674</v>
      </c>
    </row>
    <row r="428" spans="2:9">
      <c r="B428">
        <v>46</v>
      </c>
      <c r="C428" t="s">
        <v>184</v>
      </c>
      <c r="D428" t="s">
        <v>528</v>
      </c>
      <c r="E428" t="s">
        <v>500</v>
      </c>
      <c r="F428" t="s">
        <v>745</v>
      </c>
      <c r="G428" t="s">
        <v>656</v>
      </c>
      <c r="H428" t="s">
        <v>682</v>
      </c>
      <c r="I428" t="s">
        <v>751</v>
      </c>
    </row>
    <row r="429" spans="2:9">
      <c r="B429">
        <v>47</v>
      </c>
      <c r="C429" t="s">
        <v>184</v>
      </c>
      <c r="D429" t="s">
        <v>528</v>
      </c>
      <c r="E429" t="s">
        <v>500</v>
      </c>
      <c r="F429" t="s">
        <v>745</v>
      </c>
      <c r="G429" t="s">
        <v>656</v>
      </c>
      <c r="H429" t="s">
        <v>686</v>
      </c>
      <c r="I429" t="s">
        <v>752</v>
      </c>
    </row>
    <row r="430" spans="2:9">
      <c r="B430">
        <v>48</v>
      </c>
      <c r="C430" t="s">
        <v>184</v>
      </c>
      <c r="D430" t="s">
        <v>528</v>
      </c>
      <c r="E430" t="s">
        <v>500</v>
      </c>
      <c r="F430" t="s">
        <v>745</v>
      </c>
      <c r="G430" t="s">
        <v>530</v>
      </c>
      <c r="H430" t="s">
        <v>612</v>
      </c>
      <c r="I430" t="s">
        <v>753</v>
      </c>
    </row>
    <row r="431" spans="2:9">
      <c r="B431">
        <v>1</v>
      </c>
      <c r="C431" t="s">
        <v>184</v>
      </c>
      <c r="D431" t="s">
        <v>528</v>
      </c>
      <c r="E431" t="s">
        <v>501</v>
      </c>
      <c r="F431" t="s">
        <v>529</v>
      </c>
      <c r="G431" t="s">
        <v>530</v>
      </c>
      <c r="H431" t="s">
        <v>531</v>
      </c>
      <c r="I431" t="s">
        <v>532</v>
      </c>
    </row>
    <row r="432" spans="2:9">
      <c r="B432">
        <v>2</v>
      </c>
      <c r="C432" t="s">
        <v>184</v>
      </c>
      <c r="D432" t="s">
        <v>528</v>
      </c>
      <c r="E432" t="s">
        <v>501</v>
      </c>
      <c r="F432" t="s">
        <v>529</v>
      </c>
      <c r="G432" t="s">
        <v>530</v>
      </c>
      <c r="H432" t="s">
        <v>537</v>
      </c>
      <c r="I432" t="s">
        <v>538</v>
      </c>
    </row>
    <row r="433" spans="2:9">
      <c r="B433">
        <v>3</v>
      </c>
      <c r="C433" t="s">
        <v>184</v>
      </c>
      <c r="D433" t="s">
        <v>528</v>
      </c>
      <c r="E433" t="s">
        <v>501</v>
      </c>
      <c r="F433" t="s">
        <v>529</v>
      </c>
      <c r="G433" t="s">
        <v>542</v>
      </c>
      <c r="H433" t="s">
        <v>543</v>
      </c>
      <c r="I433" t="s">
        <v>544</v>
      </c>
    </row>
    <row r="434" spans="2:9">
      <c r="B434">
        <v>4</v>
      </c>
      <c r="C434" t="s">
        <v>184</v>
      </c>
      <c r="D434" t="s">
        <v>528</v>
      </c>
      <c r="E434" t="s">
        <v>501</v>
      </c>
      <c r="F434" t="s">
        <v>529</v>
      </c>
      <c r="G434" t="s">
        <v>542</v>
      </c>
      <c r="H434" t="s">
        <v>548</v>
      </c>
      <c r="I434" t="s">
        <v>549</v>
      </c>
    </row>
    <row r="435" spans="2:9">
      <c r="B435">
        <v>5</v>
      </c>
      <c r="C435" t="s">
        <v>184</v>
      </c>
      <c r="D435" t="s">
        <v>528</v>
      </c>
      <c r="E435" t="s">
        <v>501</v>
      </c>
      <c r="F435" t="s">
        <v>694</v>
      </c>
      <c r="G435" t="s">
        <v>553</v>
      </c>
      <c r="H435" t="s">
        <v>554</v>
      </c>
      <c r="I435" t="s">
        <v>555</v>
      </c>
    </row>
    <row r="436" spans="2:9">
      <c r="B436">
        <v>6</v>
      </c>
      <c r="C436" t="s">
        <v>184</v>
      </c>
      <c r="D436" t="s">
        <v>528</v>
      </c>
      <c r="E436" t="s">
        <v>501</v>
      </c>
      <c r="F436" t="s">
        <v>694</v>
      </c>
      <c r="G436" t="s">
        <v>558</v>
      </c>
      <c r="H436" t="s">
        <v>559</v>
      </c>
      <c r="I436" t="s">
        <v>560</v>
      </c>
    </row>
    <row r="437" spans="2:9">
      <c r="B437">
        <v>7</v>
      </c>
      <c r="C437" t="s">
        <v>184</v>
      </c>
      <c r="D437" t="s">
        <v>528</v>
      </c>
      <c r="E437" t="s">
        <v>501</v>
      </c>
      <c r="F437" t="s">
        <v>694</v>
      </c>
      <c r="G437" t="s">
        <v>558</v>
      </c>
      <c r="H437" t="s">
        <v>695</v>
      </c>
      <c r="I437" t="s">
        <v>696</v>
      </c>
    </row>
    <row r="438" spans="2:9">
      <c r="B438">
        <v>7</v>
      </c>
      <c r="C438" t="s">
        <v>184</v>
      </c>
      <c r="D438" t="s">
        <v>528</v>
      </c>
      <c r="E438" t="s">
        <v>501</v>
      </c>
      <c r="F438" t="s">
        <v>694</v>
      </c>
      <c r="G438" t="s">
        <v>558</v>
      </c>
      <c r="H438" t="s">
        <v>697</v>
      </c>
      <c r="I438" t="s">
        <v>698</v>
      </c>
    </row>
    <row r="439" spans="2:9">
      <c r="B439">
        <v>9</v>
      </c>
      <c r="C439" t="s">
        <v>184</v>
      </c>
      <c r="D439" t="s">
        <v>528</v>
      </c>
      <c r="E439" t="s">
        <v>501</v>
      </c>
      <c r="F439" t="s">
        <v>694</v>
      </c>
      <c r="G439" t="s">
        <v>558</v>
      </c>
      <c r="H439" t="s">
        <v>479</v>
      </c>
      <c r="I439" t="s">
        <v>699</v>
      </c>
    </row>
    <row r="440" spans="2:9">
      <c r="B440">
        <v>9</v>
      </c>
      <c r="C440" t="s">
        <v>184</v>
      </c>
      <c r="D440" t="s">
        <v>528</v>
      </c>
      <c r="E440" t="s">
        <v>501</v>
      </c>
      <c r="F440" t="s">
        <v>694</v>
      </c>
      <c r="G440" t="s">
        <v>558</v>
      </c>
      <c r="H440" t="s">
        <v>633</v>
      </c>
      <c r="I440" t="s">
        <v>700</v>
      </c>
    </row>
    <row r="441" spans="2:9">
      <c r="B441">
        <v>10</v>
      </c>
      <c r="C441" t="s">
        <v>184</v>
      </c>
      <c r="D441" t="s">
        <v>528</v>
      </c>
      <c r="E441" t="s">
        <v>501</v>
      </c>
      <c r="F441" t="s">
        <v>694</v>
      </c>
      <c r="G441" t="s">
        <v>574</v>
      </c>
      <c r="H441" t="s">
        <v>575</v>
      </c>
      <c r="I441" t="s">
        <v>576</v>
      </c>
    </row>
    <row r="442" spans="2:9">
      <c r="B442">
        <v>11</v>
      </c>
      <c r="C442" t="s">
        <v>184</v>
      </c>
      <c r="D442" t="s">
        <v>528</v>
      </c>
      <c r="E442" t="s">
        <v>501</v>
      </c>
      <c r="F442" t="s">
        <v>694</v>
      </c>
      <c r="G442" t="s">
        <v>574</v>
      </c>
      <c r="H442" t="s">
        <v>578</v>
      </c>
      <c r="I442" t="s">
        <v>579</v>
      </c>
    </row>
    <row r="443" spans="2:9">
      <c r="B443">
        <v>12</v>
      </c>
      <c r="C443" t="s">
        <v>184</v>
      </c>
      <c r="D443" t="s">
        <v>528</v>
      </c>
      <c r="E443" t="s">
        <v>501</v>
      </c>
      <c r="F443" t="s">
        <v>694</v>
      </c>
      <c r="G443" t="s">
        <v>582</v>
      </c>
      <c r="H443" t="s">
        <v>583</v>
      </c>
      <c r="I443" t="s">
        <v>584</v>
      </c>
    </row>
    <row r="444" spans="2:9">
      <c r="B444">
        <v>12</v>
      </c>
      <c r="C444" t="s">
        <v>184</v>
      </c>
      <c r="D444" t="s">
        <v>528</v>
      </c>
      <c r="E444" t="s">
        <v>501</v>
      </c>
      <c r="F444" t="s">
        <v>694</v>
      </c>
      <c r="G444" t="s">
        <v>582</v>
      </c>
      <c r="H444" t="s">
        <v>587</v>
      </c>
      <c r="I444" t="s">
        <v>588</v>
      </c>
    </row>
    <row r="445" spans="2:9">
      <c r="B445">
        <v>13</v>
      </c>
      <c r="C445" t="s">
        <v>184</v>
      </c>
      <c r="D445" t="s">
        <v>528</v>
      </c>
      <c r="E445" t="s">
        <v>501</v>
      </c>
      <c r="F445" t="s">
        <v>694</v>
      </c>
      <c r="G445" t="s">
        <v>553</v>
      </c>
      <c r="H445" t="s">
        <v>591</v>
      </c>
      <c r="I445" t="s">
        <v>592</v>
      </c>
    </row>
    <row r="446" spans="2:9">
      <c r="B446">
        <v>14</v>
      </c>
      <c r="C446" t="s">
        <v>184</v>
      </c>
      <c r="D446" t="s">
        <v>528</v>
      </c>
      <c r="E446" t="s">
        <v>501</v>
      </c>
      <c r="F446" t="s">
        <v>694</v>
      </c>
      <c r="G446" t="s">
        <v>595</v>
      </c>
      <c r="H446" t="s">
        <v>596</v>
      </c>
      <c r="I446" t="s">
        <v>597</v>
      </c>
    </row>
    <row r="447" spans="2:9">
      <c r="B447">
        <v>15</v>
      </c>
      <c r="C447" t="s">
        <v>184</v>
      </c>
      <c r="D447" t="s">
        <v>528</v>
      </c>
      <c r="E447" t="s">
        <v>501</v>
      </c>
      <c r="F447" t="s">
        <v>694</v>
      </c>
      <c r="G447" t="s">
        <v>558</v>
      </c>
      <c r="H447" t="s">
        <v>599</v>
      </c>
      <c r="I447" t="s">
        <v>600</v>
      </c>
    </row>
    <row r="448" spans="2:9">
      <c r="B448">
        <v>16</v>
      </c>
      <c r="C448" t="s">
        <v>184</v>
      </c>
      <c r="D448" t="s">
        <v>528</v>
      </c>
      <c r="E448" t="s">
        <v>501</v>
      </c>
      <c r="F448" t="s">
        <v>694</v>
      </c>
      <c r="G448" t="s">
        <v>602</v>
      </c>
      <c r="H448" t="s">
        <v>603</v>
      </c>
      <c r="I448" t="s">
        <v>604</v>
      </c>
    </row>
    <row r="449" spans="2:9">
      <c r="B449">
        <v>17</v>
      </c>
      <c r="C449" t="s">
        <v>184</v>
      </c>
      <c r="D449" t="s">
        <v>528</v>
      </c>
      <c r="E449" t="s">
        <v>501</v>
      </c>
      <c r="F449" t="s">
        <v>694</v>
      </c>
      <c r="G449" t="s">
        <v>558</v>
      </c>
      <c r="H449" t="s">
        <v>607</v>
      </c>
      <c r="I449" t="s">
        <v>608</v>
      </c>
    </row>
    <row r="450" spans="2:9">
      <c r="B450">
        <v>18</v>
      </c>
      <c r="C450" t="s">
        <v>184</v>
      </c>
      <c r="D450" t="s">
        <v>528</v>
      </c>
      <c r="E450" t="s">
        <v>501</v>
      </c>
      <c r="F450" t="s">
        <v>694</v>
      </c>
      <c r="G450" t="s">
        <v>530</v>
      </c>
      <c r="H450" t="s">
        <v>612</v>
      </c>
      <c r="I450" t="s">
        <v>613</v>
      </c>
    </row>
    <row r="451" spans="2:9">
      <c r="B451">
        <v>19</v>
      </c>
      <c r="C451" t="s">
        <v>184</v>
      </c>
      <c r="D451" t="s">
        <v>528</v>
      </c>
      <c r="E451" t="s">
        <v>501</v>
      </c>
      <c r="F451" t="s">
        <v>694</v>
      </c>
      <c r="G451" t="s">
        <v>617</v>
      </c>
      <c r="H451" t="s">
        <v>618</v>
      </c>
      <c r="I451" t="s">
        <v>619</v>
      </c>
    </row>
    <row r="452" spans="2:9">
      <c r="B452">
        <v>24</v>
      </c>
      <c r="C452" t="s">
        <v>184</v>
      </c>
      <c r="D452" t="s">
        <v>528</v>
      </c>
      <c r="E452" t="s">
        <v>501</v>
      </c>
      <c r="F452" t="s">
        <v>694</v>
      </c>
      <c r="G452" t="s">
        <v>595</v>
      </c>
      <c r="H452" t="s">
        <v>626</v>
      </c>
      <c r="I452" t="s">
        <v>627</v>
      </c>
    </row>
    <row r="453" spans="2:9">
      <c r="B453">
        <v>33</v>
      </c>
      <c r="C453" t="s">
        <v>184</v>
      </c>
      <c r="D453" t="s">
        <v>528</v>
      </c>
      <c r="E453" t="s">
        <v>501</v>
      </c>
      <c r="F453" t="s">
        <v>694</v>
      </c>
      <c r="G453" t="s">
        <v>558</v>
      </c>
      <c r="H453" t="s">
        <v>636</v>
      </c>
      <c r="I453" t="s">
        <v>637</v>
      </c>
    </row>
    <row r="454" spans="2:9">
      <c r="B454">
        <v>20</v>
      </c>
      <c r="C454" t="s">
        <v>184</v>
      </c>
      <c r="D454" t="s">
        <v>528</v>
      </c>
      <c r="E454" t="s">
        <v>501</v>
      </c>
      <c r="F454" t="s">
        <v>694</v>
      </c>
      <c r="G454" t="s">
        <v>558</v>
      </c>
      <c r="H454" t="s">
        <v>475</v>
      </c>
      <c r="I454" t="s">
        <v>622</v>
      </c>
    </row>
    <row r="455" spans="2:9">
      <c r="B455">
        <v>27</v>
      </c>
      <c r="C455" t="s">
        <v>184</v>
      </c>
      <c r="D455" t="s">
        <v>528</v>
      </c>
      <c r="E455" t="s">
        <v>501</v>
      </c>
      <c r="F455" t="s">
        <v>552</v>
      </c>
      <c r="G455" t="s">
        <v>530</v>
      </c>
      <c r="H455" t="s">
        <v>701</v>
      </c>
      <c r="I455" t="s">
        <v>702</v>
      </c>
    </row>
    <row r="456" spans="2:9">
      <c r="B456">
        <v>27</v>
      </c>
      <c r="C456" t="s">
        <v>184</v>
      </c>
      <c r="D456" t="s">
        <v>528</v>
      </c>
      <c r="E456" t="s">
        <v>501</v>
      </c>
      <c r="F456" t="s">
        <v>552</v>
      </c>
      <c r="G456" t="s">
        <v>558</v>
      </c>
      <c r="H456" t="s">
        <v>563</v>
      </c>
      <c r="I456" t="s">
        <v>564</v>
      </c>
    </row>
    <row r="457" spans="2:9">
      <c r="B457">
        <v>27</v>
      </c>
      <c r="C457" t="s">
        <v>184</v>
      </c>
      <c r="D457" t="s">
        <v>528</v>
      </c>
      <c r="E457" t="s">
        <v>501</v>
      </c>
      <c r="F457" t="s">
        <v>552</v>
      </c>
      <c r="G457" t="s">
        <v>558</v>
      </c>
      <c r="H457" t="s">
        <v>567</v>
      </c>
      <c r="I457" t="s">
        <v>568</v>
      </c>
    </row>
    <row r="458" spans="2:9">
      <c r="B458">
        <v>27</v>
      </c>
      <c r="C458" t="s">
        <v>184</v>
      </c>
      <c r="D458" t="s">
        <v>528</v>
      </c>
      <c r="E458" t="s">
        <v>501</v>
      </c>
      <c r="F458" t="s">
        <v>552</v>
      </c>
      <c r="G458" t="s">
        <v>558</v>
      </c>
      <c r="H458" t="s">
        <v>695</v>
      </c>
      <c r="I458" t="s">
        <v>744</v>
      </c>
    </row>
    <row r="459" spans="2:9">
      <c r="B459">
        <v>27</v>
      </c>
      <c r="C459" t="s">
        <v>184</v>
      </c>
      <c r="D459" t="s">
        <v>528</v>
      </c>
      <c r="E459" t="s">
        <v>501</v>
      </c>
      <c r="F459" t="s">
        <v>552</v>
      </c>
      <c r="G459" t="s">
        <v>558</v>
      </c>
      <c r="H459" t="s">
        <v>697</v>
      </c>
      <c r="I459" t="s">
        <v>698</v>
      </c>
    </row>
    <row r="460" spans="2:9">
      <c r="B460">
        <v>27</v>
      </c>
      <c r="C460" t="s">
        <v>184</v>
      </c>
      <c r="D460" t="s">
        <v>528</v>
      </c>
      <c r="E460" t="s">
        <v>501</v>
      </c>
      <c r="F460" t="s">
        <v>552</v>
      </c>
      <c r="G460" t="s">
        <v>558</v>
      </c>
      <c r="H460" t="s">
        <v>476</v>
      </c>
      <c r="I460" t="s">
        <v>630</v>
      </c>
    </row>
    <row r="461" spans="2:9">
      <c r="B461">
        <v>27</v>
      </c>
      <c r="C461" t="s">
        <v>184</v>
      </c>
      <c r="D461" t="s">
        <v>528</v>
      </c>
      <c r="E461" t="s">
        <v>501</v>
      </c>
      <c r="F461" t="s">
        <v>552</v>
      </c>
      <c r="G461" t="s">
        <v>558</v>
      </c>
      <c r="H461" t="s">
        <v>633</v>
      </c>
      <c r="I461" t="s">
        <v>634</v>
      </c>
    </row>
    <row r="462" spans="2:9">
      <c r="B462">
        <v>27</v>
      </c>
      <c r="C462" t="s">
        <v>184</v>
      </c>
      <c r="D462" t="s">
        <v>528</v>
      </c>
      <c r="E462" t="s">
        <v>501</v>
      </c>
      <c r="F462" t="s">
        <v>552</v>
      </c>
      <c r="G462" t="s">
        <v>558</v>
      </c>
      <c r="H462" t="s">
        <v>570</v>
      </c>
      <c r="I462" t="s">
        <v>571</v>
      </c>
    </row>
    <row r="463" spans="2:9">
      <c r="B463">
        <v>33</v>
      </c>
      <c r="C463" t="s">
        <v>184</v>
      </c>
      <c r="D463" t="s">
        <v>528</v>
      </c>
      <c r="E463" t="s">
        <v>501</v>
      </c>
      <c r="F463" t="s">
        <v>552</v>
      </c>
      <c r="G463" t="s">
        <v>530</v>
      </c>
      <c r="H463" t="s">
        <v>612</v>
      </c>
      <c r="I463" t="s">
        <v>613</v>
      </c>
    </row>
    <row r="464" spans="2:9">
      <c r="B464">
        <v>33</v>
      </c>
      <c r="C464" t="s">
        <v>184</v>
      </c>
      <c r="D464" t="s">
        <v>528</v>
      </c>
      <c r="E464" t="s">
        <v>501</v>
      </c>
      <c r="F464" t="s">
        <v>552</v>
      </c>
      <c r="G464" t="s">
        <v>617</v>
      </c>
      <c r="H464" t="s">
        <v>618</v>
      </c>
      <c r="I464" t="s">
        <v>703</v>
      </c>
    </row>
    <row r="465" spans="2:9">
      <c r="B465">
        <v>33</v>
      </c>
      <c r="C465" t="s">
        <v>184</v>
      </c>
      <c r="D465" t="s">
        <v>528</v>
      </c>
      <c r="E465" t="s">
        <v>501</v>
      </c>
      <c r="F465" t="s">
        <v>552</v>
      </c>
      <c r="G465" t="s">
        <v>574</v>
      </c>
      <c r="H465" t="s">
        <v>575</v>
      </c>
      <c r="I465" t="s">
        <v>576</v>
      </c>
    </row>
    <row r="466" spans="2:9">
      <c r="B466">
        <v>33</v>
      </c>
      <c r="C466" t="s">
        <v>184</v>
      </c>
      <c r="D466" t="s">
        <v>528</v>
      </c>
      <c r="E466" t="s">
        <v>501</v>
      </c>
      <c r="F466" t="s">
        <v>552</v>
      </c>
      <c r="G466" t="s">
        <v>574</v>
      </c>
      <c r="H466" t="s">
        <v>578</v>
      </c>
      <c r="I466" t="s">
        <v>579</v>
      </c>
    </row>
    <row r="467" spans="2:9">
      <c r="B467">
        <v>13</v>
      </c>
      <c r="C467" t="s">
        <v>184</v>
      </c>
      <c r="D467" t="s">
        <v>528</v>
      </c>
      <c r="E467" t="s">
        <v>501</v>
      </c>
      <c r="F467" t="s">
        <v>552</v>
      </c>
      <c r="G467" t="s">
        <v>553</v>
      </c>
      <c r="H467" t="s">
        <v>591</v>
      </c>
      <c r="I467" t="s">
        <v>592</v>
      </c>
    </row>
    <row r="468" spans="2:9">
      <c r="B468">
        <v>12</v>
      </c>
      <c r="C468" t="s">
        <v>184</v>
      </c>
      <c r="D468" t="s">
        <v>528</v>
      </c>
      <c r="E468" t="s">
        <v>501</v>
      </c>
      <c r="F468" t="s">
        <v>552</v>
      </c>
      <c r="G468" t="s">
        <v>582</v>
      </c>
      <c r="H468" t="s">
        <v>583</v>
      </c>
      <c r="I468" t="s">
        <v>584</v>
      </c>
    </row>
    <row r="469" spans="2:9">
      <c r="B469">
        <v>35</v>
      </c>
      <c r="C469" t="s">
        <v>184</v>
      </c>
      <c r="D469" t="s">
        <v>528</v>
      </c>
      <c r="E469" t="s">
        <v>501</v>
      </c>
      <c r="F469" t="s">
        <v>640</v>
      </c>
      <c r="G469" t="s">
        <v>530</v>
      </c>
      <c r="H469" t="s">
        <v>641</v>
      </c>
      <c r="I469" t="s">
        <v>642</v>
      </c>
    </row>
    <row r="470" spans="2:9">
      <c r="B470">
        <v>37</v>
      </c>
      <c r="C470" t="s">
        <v>184</v>
      </c>
      <c r="D470" t="s">
        <v>528</v>
      </c>
      <c r="E470" t="s">
        <v>501</v>
      </c>
      <c r="F470" t="s">
        <v>640</v>
      </c>
      <c r="G470" t="s">
        <v>574</v>
      </c>
      <c r="H470" t="s">
        <v>645</v>
      </c>
      <c r="I470" t="s">
        <v>646</v>
      </c>
    </row>
    <row r="471" spans="2:9">
      <c r="B471">
        <v>38</v>
      </c>
      <c r="C471" t="s">
        <v>184</v>
      </c>
      <c r="D471" t="s">
        <v>528</v>
      </c>
      <c r="E471" t="s">
        <v>501</v>
      </c>
      <c r="F471" t="s">
        <v>640</v>
      </c>
      <c r="G471" t="s">
        <v>558</v>
      </c>
      <c r="H471" t="s">
        <v>649</v>
      </c>
      <c r="I471" t="s">
        <v>650</v>
      </c>
    </row>
    <row r="472" spans="2:9">
      <c r="B472">
        <v>39</v>
      </c>
      <c r="C472" t="s">
        <v>184</v>
      </c>
      <c r="D472" t="s">
        <v>528</v>
      </c>
      <c r="E472" t="s">
        <v>501</v>
      </c>
      <c r="F472" t="s">
        <v>640</v>
      </c>
      <c r="G472" t="s">
        <v>582</v>
      </c>
      <c r="H472" t="s">
        <v>652</v>
      </c>
      <c r="I472" t="s">
        <v>653</v>
      </c>
    </row>
    <row r="473" spans="2:9">
      <c r="B473">
        <v>40</v>
      </c>
      <c r="C473" t="s">
        <v>184</v>
      </c>
      <c r="D473" t="s">
        <v>528</v>
      </c>
      <c r="E473" t="s">
        <v>501</v>
      </c>
      <c r="F473" t="s">
        <v>640</v>
      </c>
      <c r="G473" t="s">
        <v>656</v>
      </c>
      <c r="H473" t="s">
        <v>657</v>
      </c>
      <c r="I473" t="s">
        <v>658</v>
      </c>
    </row>
    <row r="474" spans="2:9">
      <c r="B474">
        <v>41</v>
      </c>
      <c r="C474" t="s">
        <v>184</v>
      </c>
      <c r="D474" t="s">
        <v>528</v>
      </c>
      <c r="E474" t="s">
        <v>501</v>
      </c>
      <c r="F474" t="s">
        <v>640</v>
      </c>
      <c r="G474" t="s">
        <v>656</v>
      </c>
      <c r="H474" t="s">
        <v>661</v>
      </c>
      <c r="I474" t="s">
        <v>662</v>
      </c>
    </row>
    <row r="475" spans="2:9">
      <c r="B475">
        <v>42</v>
      </c>
      <c r="C475" t="s">
        <v>184</v>
      </c>
      <c r="D475" t="s">
        <v>528</v>
      </c>
      <c r="E475" t="s">
        <v>501</v>
      </c>
      <c r="F475" t="s">
        <v>640</v>
      </c>
      <c r="G475" t="s">
        <v>656</v>
      </c>
      <c r="H475" t="s">
        <v>665</v>
      </c>
      <c r="I475" t="s">
        <v>666</v>
      </c>
    </row>
    <row r="476" spans="2:9">
      <c r="B476">
        <v>43</v>
      </c>
      <c r="C476" t="s">
        <v>184</v>
      </c>
      <c r="D476" t="s">
        <v>528</v>
      </c>
      <c r="E476" t="s">
        <v>501</v>
      </c>
      <c r="F476" t="s">
        <v>640</v>
      </c>
      <c r="G476" t="s">
        <v>574</v>
      </c>
      <c r="H476" t="s">
        <v>669</v>
      </c>
      <c r="I476" t="s">
        <v>721</v>
      </c>
    </row>
    <row r="477" spans="2:9">
      <c r="B477">
        <v>44</v>
      </c>
      <c r="C477" t="s">
        <v>184</v>
      </c>
      <c r="D477" t="s">
        <v>528</v>
      </c>
      <c r="E477" t="s">
        <v>501</v>
      </c>
      <c r="F477" t="s">
        <v>640</v>
      </c>
      <c r="G477" t="s">
        <v>542</v>
      </c>
      <c r="H477" t="s">
        <v>673</v>
      </c>
      <c r="I477" t="s">
        <v>674</v>
      </c>
    </row>
    <row r="478" spans="2:9">
      <c r="B478">
        <v>45</v>
      </c>
      <c r="C478" t="s">
        <v>184</v>
      </c>
      <c r="D478" t="s">
        <v>528</v>
      </c>
      <c r="E478" t="s">
        <v>501</v>
      </c>
      <c r="F478" t="s">
        <v>640</v>
      </c>
      <c r="G478" t="s">
        <v>656</v>
      </c>
      <c r="H478" t="s">
        <v>677</v>
      </c>
      <c r="I478" t="s">
        <v>678</v>
      </c>
    </row>
    <row r="479" spans="2:9">
      <c r="B479">
        <v>46</v>
      </c>
      <c r="C479" t="s">
        <v>184</v>
      </c>
      <c r="D479" t="s">
        <v>528</v>
      </c>
      <c r="E479" t="s">
        <v>501</v>
      </c>
      <c r="F479" t="s">
        <v>640</v>
      </c>
      <c r="G479" t="s">
        <v>656</v>
      </c>
      <c r="H479" t="s">
        <v>682</v>
      </c>
      <c r="I479" t="s">
        <v>683</v>
      </c>
    </row>
    <row r="480" spans="2:9">
      <c r="B480">
        <v>47</v>
      </c>
      <c r="C480" t="s">
        <v>184</v>
      </c>
      <c r="D480" t="s">
        <v>528</v>
      </c>
      <c r="E480" t="s">
        <v>501</v>
      </c>
      <c r="F480" t="s">
        <v>640</v>
      </c>
      <c r="G480" t="s">
        <v>656</v>
      </c>
      <c r="H480" t="s">
        <v>686</v>
      </c>
      <c r="I480" t="s">
        <v>687</v>
      </c>
    </row>
    <row r="481" spans="2:9">
      <c r="B481">
        <v>1</v>
      </c>
      <c r="C481" t="s">
        <v>184</v>
      </c>
      <c r="D481" t="s">
        <v>528</v>
      </c>
      <c r="E481" t="s">
        <v>502</v>
      </c>
      <c r="F481" t="s">
        <v>529</v>
      </c>
      <c r="G481" t="s">
        <v>530</v>
      </c>
      <c r="H481" t="s">
        <v>531</v>
      </c>
      <c r="I481" t="s">
        <v>532</v>
      </c>
    </row>
    <row r="482" spans="2:9">
      <c r="B482">
        <v>2</v>
      </c>
      <c r="C482" t="s">
        <v>184</v>
      </c>
      <c r="D482" t="s">
        <v>528</v>
      </c>
      <c r="E482" t="s">
        <v>502</v>
      </c>
      <c r="F482" t="s">
        <v>529</v>
      </c>
      <c r="G482" t="s">
        <v>530</v>
      </c>
      <c r="H482" t="s">
        <v>537</v>
      </c>
      <c r="I482" t="s">
        <v>538</v>
      </c>
    </row>
    <row r="483" spans="2:9">
      <c r="B483">
        <v>3</v>
      </c>
      <c r="C483" t="s">
        <v>184</v>
      </c>
      <c r="D483" t="s">
        <v>528</v>
      </c>
      <c r="E483" t="s">
        <v>502</v>
      </c>
      <c r="F483" t="s">
        <v>529</v>
      </c>
      <c r="G483" t="s">
        <v>542</v>
      </c>
      <c r="H483" t="s">
        <v>543</v>
      </c>
      <c r="I483" t="s">
        <v>544</v>
      </c>
    </row>
    <row r="484" spans="2:9">
      <c r="B484">
        <v>4</v>
      </c>
      <c r="C484" t="s">
        <v>184</v>
      </c>
      <c r="D484" t="s">
        <v>528</v>
      </c>
      <c r="E484" t="s">
        <v>502</v>
      </c>
      <c r="F484" t="s">
        <v>529</v>
      </c>
      <c r="G484" t="s">
        <v>542</v>
      </c>
      <c r="H484" t="s">
        <v>548</v>
      </c>
      <c r="I484" t="s">
        <v>549</v>
      </c>
    </row>
    <row r="485" spans="2:9">
      <c r="B485">
        <v>5</v>
      </c>
      <c r="C485" t="s">
        <v>184</v>
      </c>
      <c r="D485" t="s">
        <v>528</v>
      </c>
      <c r="E485" t="s">
        <v>502</v>
      </c>
      <c r="F485" t="s">
        <v>552</v>
      </c>
      <c r="G485" t="s">
        <v>553</v>
      </c>
      <c r="H485" t="s">
        <v>554</v>
      </c>
      <c r="I485" t="s">
        <v>555</v>
      </c>
    </row>
    <row r="486" spans="2:9">
      <c r="B486">
        <v>6</v>
      </c>
      <c r="C486" t="s">
        <v>184</v>
      </c>
      <c r="D486" t="s">
        <v>528</v>
      </c>
      <c r="E486" t="s">
        <v>502</v>
      </c>
      <c r="F486" t="s">
        <v>552</v>
      </c>
      <c r="G486" t="s">
        <v>558</v>
      </c>
      <c r="H486" t="s">
        <v>559</v>
      </c>
      <c r="I486" t="s">
        <v>560</v>
      </c>
    </row>
    <row r="487" spans="2:9">
      <c r="B487">
        <v>27</v>
      </c>
      <c r="C487" t="s">
        <v>184</v>
      </c>
      <c r="D487" t="s">
        <v>528</v>
      </c>
      <c r="E487" t="s">
        <v>502</v>
      </c>
      <c r="F487" t="s">
        <v>552</v>
      </c>
      <c r="G487" t="s">
        <v>558</v>
      </c>
      <c r="H487" t="s">
        <v>563</v>
      </c>
      <c r="I487" t="s">
        <v>564</v>
      </c>
    </row>
    <row r="488" spans="2:9">
      <c r="B488">
        <v>27</v>
      </c>
      <c r="C488" t="s">
        <v>184</v>
      </c>
      <c r="D488" t="s">
        <v>528</v>
      </c>
      <c r="E488" t="s">
        <v>502</v>
      </c>
      <c r="F488" t="s">
        <v>552</v>
      </c>
      <c r="G488" t="s">
        <v>558</v>
      </c>
      <c r="H488" t="s">
        <v>567</v>
      </c>
      <c r="I488" t="s">
        <v>568</v>
      </c>
    </row>
    <row r="489" spans="2:9">
      <c r="B489">
        <v>27</v>
      </c>
      <c r="C489" t="s">
        <v>184</v>
      </c>
      <c r="D489" t="s">
        <v>528</v>
      </c>
      <c r="E489" t="s">
        <v>502</v>
      </c>
      <c r="F489" t="s">
        <v>552</v>
      </c>
      <c r="G489" t="s">
        <v>558</v>
      </c>
      <c r="H489" t="s">
        <v>570</v>
      </c>
      <c r="I489" t="s">
        <v>571</v>
      </c>
    </row>
    <row r="490" spans="2:9">
      <c r="B490">
        <v>27</v>
      </c>
      <c r="C490" t="s">
        <v>184</v>
      </c>
      <c r="D490" t="s">
        <v>528</v>
      </c>
      <c r="E490" t="s">
        <v>502</v>
      </c>
      <c r="F490" t="s">
        <v>552</v>
      </c>
      <c r="G490" t="s">
        <v>558</v>
      </c>
      <c r="H490" t="s">
        <v>695</v>
      </c>
      <c r="I490" t="s">
        <v>744</v>
      </c>
    </row>
    <row r="491" spans="2:9">
      <c r="B491">
        <v>27</v>
      </c>
      <c r="C491" t="s">
        <v>184</v>
      </c>
      <c r="D491" t="s">
        <v>528</v>
      </c>
      <c r="E491" t="s">
        <v>502</v>
      </c>
      <c r="F491" t="s">
        <v>552</v>
      </c>
      <c r="G491" t="s">
        <v>558</v>
      </c>
      <c r="H491" t="s">
        <v>697</v>
      </c>
      <c r="I491" t="s">
        <v>698</v>
      </c>
    </row>
    <row r="492" spans="2:9">
      <c r="B492">
        <v>10</v>
      </c>
      <c r="C492" t="s">
        <v>184</v>
      </c>
      <c r="D492" t="s">
        <v>528</v>
      </c>
      <c r="E492" t="s">
        <v>502</v>
      </c>
      <c r="F492" t="s">
        <v>552</v>
      </c>
      <c r="G492" t="s">
        <v>574</v>
      </c>
      <c r="H492" t="s">
        <v>575</v>
      </c>
      <c r="I492" t="s">
        <v>576</v>
      </c>
    </row>
    <row r="493" spans="2:9">
      <c r="B493">
        <v>11</v>
      </c>
      <c r="C493" t="s">
        <v>184</v>
      </c>
      <c r="D493" t="s">
        <v>528</v>
      </c>
      <c r="E493" t="s">
        <v>502</v>
      </c>
      <c r="F493" t="s">
        <v>552</v>
      </c>
      <c r="G493" t="s">
        <v>574</v>
      </c>
      <c r="H493" t="s">
        <v>578</v>
      </c>
      <c r="I493" t="s">
        <v>579</v>
      </c>
    </row>
    <row r="494" spans="2:9">
      <c r="B494">
        <v>12</v>
      </c>
      <c r="C494" t="s">
        <v>184</v>
      </c>
      <c r="D494" t="s">
        <v>528</v>
      </c>
      <c r="E494" t="s">
        <v>502</v>
      </c>
      <c r="F494" t="s">
        <v>552</v>
      </c>
      <c r="G494" t="s">
        <v>582</v>
      </c>
      <c r="H494" t="s">
        <v>583</v>
      </c>
      <c r="I494" t="s">
        <v>584</v>
      </c>
    </row>
    <row r="495" spans="2:9">
      <c r="B495">
        <v>12</v>
      </c>
      <c r="C495" t="s">
        <v>184</v>
      </c>
      <c r="D495" t="s">
        <v>528</v>
      </c>
      <c r="E495" t="s">
        <v>502</v>
      </c>
      <c r="F495" t="s">
        <v>552</v>
      </c>
      <c r="G495" t="s">
        <v>582</v>
      </c>
      <c r="H495" t="s">
        <v>587</v>
      </c>
      <c r="I495" t="s">
        <v>588</v>
      </c>
    </row>
    <row r="496" spans="2:9">
      <c r="B496">
        <v>13</v>
      </c>
      <c r="C496" t="s">
        <v>184</v>
      </c>
      <c r="D496" t="s">
        <v>528</v>
      </c>
      <c r="E496" t="s">
        <v>502</v>
      </c>
      <c r="F496" t="s">
        <v>552</v>
      </c>
      <c r="G496" t="s">
        <v>553</v>
      </c>
      <c r="H496" t="s">
        <v>591</v>
      </c>
      <c r="I496" t="s">
        <v>592</v>
      </c>
    </row>
    <row r="497" spans="2:9">
      <c r="B497">
        <v>14</v>
      </c>
      <c r="C497" t="s">
        <v>184</v>
      </c>
      <c r="D497" t="s">
        <v>528</v>
      </c>
      <c r="E497" t="s">
        <v>502</v>
      </c>
      <c r="F497" t="s">
        <v>552</v>
      </c>
      <c r="G497" t="s">
        <v>595</v>
      </c>
      <c r="H497" t="s">
        <v>596</v>
      </c>
      <c r="I497" t="s">
        <v>597</v>
      </c>
    </row>
    <row r="498" spans="2:9">
      <c r="B498">
        <v>15</v>
      </c>
      <c r="C498" t="s">
        <v>184</v>
      </c>
      <c r="D498" t="s">
        <v>528</v>
      </c>
      <c r="E498" t="s">
        <v>502</v>
      </c>
      <c r="F498" t="s">
        <v>552</v>
      </c>
      <c r="G498" t="s">
        <v>558</v>
      </c>
      <c r="H498" t="s">
        <v>599</v>
      </c>
      <c r="I498" t="s">
        <v>600</v>
      </c>
    </row>
    <row r="499" spans="2:9">
      <c r="B499">
        <v>16</v>
      </c>
      <c r="C499" t="s">
        <v>184</v>
      </c>
      <c r="D499" t="s">
        <v>528</v>
      </c>
      <c r="E499" t="s">
        <v>502</v>
      </c>
      <c r="F499" t="s">
        <v>552</v>
      </c>
      <c r="G499" t="s">
        <v>602</v>
      </c>
      <c r="H499" t="s">
        <v>603</v>
      </c>
      <c r="I499" t="s">
        <v>604</v>
      </c>
    </row>
    <row r="500" spans="2:9">
      <c r="B500">
        <v>17</v>
      </c>
      <c r="C500" t="s">
        <v>184</v>
      </c>
      <c r="D500" t="s">
        <v>528</v>
      </c>
      <c r="E500" t="s">
        <v>502</v>
      </c>
      <c r="F500" t="s">
        <v>552</v>
      </c>
      <c r="G500" t="s">
        <v>558</v>
      </c>
      <c r="H500" t="s">
        <v>607</v>
      </c>
      <c r="I500" t="s">
        <v>608</v>
      </c>
    </row>
    <row r="501" spans="2:9">
      <c r="B501">
        <v>18</v>
      </c>
      <c r="C501" t="s">
        <v>184</v>
      </c>
      <c r="D501" t="s">
        <v>528</v>
      </c>
      <c r="E501" t="s">
        <v>502</v>
      </c>
      <c r="F501" t="s">
        <v>552</v>
      </c>
      <c r="G501" t="s">
        <v>530</v>
      </c>
      <c r="H501" t="s">
        <v>612</v>
      </c>
      <c r="I501" t="s">
        <v>613</v>
      </c>
    </row>
    <row r="502" spans="2:9">
      <c r="B502">
        <v>33</v>
      </c>
      <c r="C502" t="s">
        <v>184</v>
      </c>
      <c r="D502" t="s">
        <v>528</v>
      </c>
      <c r="E502" t="s">
        <v>502</v>
      </c>
      <c r="F502" t="s">
        <v>552</v>
      </c>
      <c r="G502" t="s">
        <v>617</v>
      </c>
      <c r="H502" t="s">
        <v>618</v>
      </c>
      <c r="I502" t="s">
        <v>703</v>
      </c>
    </row>
    <row r="503" spans="2:9">
      <c r="B503">
        <v>20</v>
      </c>
      <c r="C503" t="s">
        <v>184</v>
      </c>
      <c r="D503" t="s">
        <v>528</v>
      </c>
      <c r="E503" t="s">
        <v>502</v>
      </c>
      <c r="F503" t="s">
        <v>552</v>
      </c>
      <c r="G503" t="s">
        <v>558</v>
      </c>
      <c r="H503" t="s">
        <v>475</v>
      </c>
      <c r="I503" t="s">
        <v>622</v>
      </c>
    </row>
    <row r="504" spans="2:9">
      <c r="B504">
        <v>24</v>
      </c>
      <c r="C504" t="s">
        <v>184</v>
      </c>
      <c r="D504" t="s">
        <v>528</v>
      </c>
      <c r="E504" t="s">
        <v>502</v>
      </c>
      <c r="F504" t="s">
        <v>552</v>
      </c>
      <c r="G504" t="s">
        <v>595</v>
      </c>
      <c r="H504" t="s">
        <v>626</v>
      </c>
      <c r="I504" t="s">
        <v>627</v>
      </c>
    </row>
    <row r="505" spans="2:9">
      <c r="B505">
        <v>26</v>
      </c>
      <c r="C505" t="s">
        <v>184</v>
      </c>
      <c r="D505" t="s">
        <v>528</v>
      </c>
      <c r="E505" t="s">
        <v>502</v>
      </c>
      <c r="F505" t="s">
        <v>552</v>
      </c>
      <c r="G505" t="s">
        <v>558</v>
      </c>
      <c r="H505" t="s">
        <v>476</v>
      </c>
      <c r="I505" t="s">
        <v>630</v>
      </c>
    </row>
    <row r="506" spans="2:9">
      <c r="B506">
        <v>27</v>
      </c>
      <c r="C506" t="s">
        <v>184</v>
      </c>
      <c r="D506" t="s">
        <v>528</v>
      </c>
      <c r="E506" t="s">
        <v>502</v>
      </c>
      <c r="F506" t="s">
        <v>552</v>
      </c>
      <c r="G506" t="s">
        <v>558</v>
      </c>
      <c r="H506" t="s">
        <v>633</v>
      </c>
      <c r="I506" t="s">
        <v>634</v>
      </c>
    </row>
    <row r="507" spans="2:9">
      <c r="B507">
        <v>33</v>
      </c>
      <c r="C507" t="s">
        <v>184</v>
      </c>
      <c r="D507" t="s">
        <v>528</v>
      </c>
      <c r="E507" t="s">
        <v>502</v>
      </c>
      <c r="F507" t="s">
        <v>552</v>
      </c>
      <c r="G507" t="s">
        <v>558</v>
      </c>
      <c r="H507" t="s">
        <v>636</v>
      </c>
      <c r="I507" t="s">
        <v>637</v>
      </c>
    </row>
    <row r="508" spans="2:9">
      <c r="B508">
        <v>35</v>
      </c>
      <c r="C508" t="s">
        <v>184</v>
      </c>
      <c r="D508" t="s">
        <v>528</v>
      </c>
      <c r="E508" t="s">
        <v>502</v>
      </c>
      <c r="F508" t="s">
        <v>640</v>
      </c>
      <c r="G508" t="s">
        <v>530</v>
      </c>
      <c r="H508" t="s">
        <v>641</v>
      </c>
      <c r="I508" t="s">
        <v>642</v>
      </c>
    </row>
    <row r="509" spans="2:9">
      <c r="B509">
        <v>37</v>
      </c>
      <c r="C509" t="s">
        <v>184</v>
      </c>
      <c r="D509" t="s">
        <v>528</v>
      </c>
      <c r="E509" t="s">
        <v>502</v>
      </c>
      <c r="F509" t="s">
        <v>640</v>
      </c>
      <c r="G509" t="s">
        <v>574</v>
      </c>
      <c r="H509" t="s">
        <v>645</v>
      </c>
      <c r="I509" t="s">
        <v>646</v>
      </c>
    </row>
    <row r="510" spans="2:9">
      <c r="B510">
        <v>38</v>
      </c>
      <c r="C510" t="s">
        <v>184</v>
      </c>
      <c r="D510" t="s">
        <v>528</v>
      </c>
      <c r="E510" t="s">
        <v>502</v>
      </c>
      <c r="F510" t="s">
        <v>640</v>
      </c>
      <c r="G510" t="s">
        <v>558</v>
      </c>
      <c r="H510" t="s">
        <v>649</v>
      </c>
      <c r="I510" t="s">
        <v>650</v>
      </c>
    </row>
    <row r="511" spans="2:9">
      <c r="B511">
        <v>39</v>
      </c>
      <c r="C511" t="s">
        <v>184</v>
      </c>
      <c r="D511" t="s">
        <v>528</v>
      </c>
      <c r="E511" t="s">
        <v>502</v>
      </c>
      <c r="F511" t="s">
        <v>640</v>
      </c>
      <c r="G511" t="s">
        <v>582</v>
      </c>
      <c r="H511" t="s">
        <v>652</v>
      </c>
      <c r="I511" t="s">
        <v>653</v>
      </c>
    </row>
    <row r="512" spans="2:9">
      <c r="B512">
        <v>40</v>
      </c>
      <c r="C512" t="s">
        <v>184</v>
      </c>
      <c r="D512" t="s">
        <v>528</v>
      </c>
      <c r="E512" t="s">
        <v>502</v>
      </c>
      <c r="F512" t="s">
        <v>640</v>
      </c>
      <c r="G512" t="s">
        <v>656</v>
      </c>
      <c r="H512" t="s">
        <v>657</v>
      </c>
      <c r="I512" t="s">
        <v>658</v>
      </c>
    </row>
    <row r="513" spans="2:9">
      <c r="B513">
        <v>41</v>
      </c>
      <c r="C513" t="s">
        <v>184</v>
      </c>
      <c r="D513" t="s">
        <v>528</v>
      </c>
      <c r="E513" t="s">
        <v>502</v>
      </c>
      <c r="F513" t="s">
        <v>640</v>
      </c>
      <c r="G513" t="s">
        <v>656</v>
      </c>
      <c r="H513" t="s">
        <v>661</v>
      </c>
      <c r="I513" t="s">
        <v>662</v>
      </c>
    </row>
    <row r="514" spans="2:9">
      <c r="B514">
        <v>42</v>
      </c>
      <c r="C514" t="s">
        <v>184</v>
      </c>
      <c r="D514" t="s">
        <v>528</v>
      </c>
      <c r="E514" t="s">
        <v>502</v>
      </c>
      <c r="F514" t="s">
        <v>640</v>
      </c>
      <c r="G514" t="s">
        <v>656</v>
      </c>
      <c r="H514" t="s">
        <v>665</v>
      </c>
      <c r="I514" t="s">
        <v>666</v>
      </c>
    </row>
    <row r="515" spans="2:9">
      <c r="B515">
        <v>43</v>
      </c>
      <c r="C515" t="s">
        <v>184</v>
      </c>
      <c r="D515" t="s">
        <v>528</v>
      </c>
      <c r="E515" t="s">
        <v>502</v>
      </c>
      <c r="F515" t="s">
        <v>640</v>
      </c>
      <c r="G515" t="s">
        <v>574</v>
      </c>
      <c r="H515" t="s">
        <v>669</v>
      </c>
      <c r="I515" t="s">
        <v>670</v>
      </c>
    </row>
    <row r="516" spans="2:9">
      <c r="B516">
        <v>44</v>
      </c>
      <c r="C516" t="s">
        <v>184</v>
      </c>
      <c r="D516" t="s">
        <v>528</v>
      </c>
      <c r="E516" t="s">
        <v>502</v>
      </c>
      <c r="F516" t="s">
        <v>640</v>
      </c>
      <c r="G516" t="s">
        <v>542</v>
      </c>
      <c r="H516" t="s">
        <v>673</v>
      </c>
      <c r="I516" t="s">
        <v>674</v>
      </c>
    </row>
    <row r="517" spans="2:9">
      <c r="B517">
        <v>45</v>
      </c>
      <c r="C517" t="s">
        <v>184</v>
      </c>
      <c r="D517" t="s">
        <v>528</v>
      </c>
      <c r="E517" t="s">
        <v>502</v>
      </c>
      <c r="F517" t="s">
        <v>640</v>
      </c>
      <c r="G517" t="s">
        <v>656</v>
      </c>
      <c r="H517" t="s">
        <v>677</v>
      </c>
      <c r="I517" t="s">
        <v>678</v>
      </c>
    </row>
    <row r="518" spans="2:9">
      <c r="B518">
        <v>46</v>
      </c>
      <c r="C518" t="s">
        <v>184</v>
      </c>
      <c r="D518" t="s">
        <v>528</v>
      </c>
      <c r="E518" t="s">
        <v>502</v>
      </c>
      <c r="F518" t="s">
        <v>640</v>
      </c>
      <c r="G518" t="s">
        <v>656</v>
      </c>
      <c r="H518" t="s">
        <v>682</v>
      </c>
      <c r="I518" t="s">
        <v>683</v>
      </c>
    </row>
    <row r="519" spans="2:9">
      <c r="B519">
        <v>47</v>
      </c>
      <c r="C519" t="s">
        <v>184</v>
      </c>
      <c r="D519" t="s">
        <v>528</v>
      </c>
      <c r="E519" t="s">
        <v>502</v>
      </c>
      <c r="F519" t="s">
        <v>640</v>
      </c>
      <c r="G519" t="s">
        <v>656</v>
      </c>
      <c r="H519" t="s">
        <v>686</v>
      </c>
      <c r="I519" t="s">
        <v>687</v>
      </c>
    </row>
    <row r="520" spans="2:9">
      <c r="B520">
        <v>1</v>
      </c>
      <c r="C520" t="s">
        <v>184</v>
      </c>
      <c r="D520" t="s">
        <v>528</v>
      </c>
      <c r="E520" t="s">
        <v>755</v>
      </c>
      <c r="F520" t="s">
        <v>529</v>
      </c>
      <c r="G520" t="s">
        <v>530</v>
      </c>
      <c r="H520" t="s">
        <v>531</v>
      </c>
      <c r="I520" t="s">
        <v>532</v>
      </c>
    </row>
    <row r="521" spans="2:9">
      <c r="B521">
        <v>2</v>
      </c>
      <c r="C521" t="s">
        <v>184</v>
      </c>
      <c r="D521" t="s">
        <v>528</v>
      </c>
      <c r="E521" t="s">
        <v>755</v>
      </c>
      <c r="F521" t="s">
        <v>529</v>
      </c>
      <c r="G521" t="s">
        <v>530</v>
      </c>
      <c r="H521" t="s">
        <v>537</v>
      </c>
      <c r="I521" t="s">
        <v>538</v>
      </c>
    </row>
    <row r="522" spans="2:9">
      <c r="B522">
        <v>3</v>
      </c>
      <c r="C522" t="s">
        <v>184</v>
      </c>
      <c r="D522" t="s">
        <v>528</v>
      </c>
      <c r="E522" t="s">
        <v>755</v>
      </c>
      <c r="F522" t="s">
        <v>529</v>
      </c>
      <c r="G522" t="s">
        <v>542</v>
      </c>
      <c r="H522" t="s">
        <v>543</v>
      </c>
      <c r="I522" t="s">
        <v>544</v>
      </c>
    </row>
    <row r="523" spans="2:9">
      <c r="B523">
        <v>4</v>
      </c>
      <c r="C523" t="s">
        <v>184</v>
      </c>
      <c r="D523" t="s">
        <v>528</v>
      </c>
      <c r="E523" t="s">
        <v>755</v>
      </c>
      <c r="F523" t="s">
        <v>529</v>
      </c>
      <c r="G523" t="s">
        <v>542</v>
      </c>
      <c r="H523" t="s">
        <v>548</v>
      </c>
      <c r="I523" t="s">
        <v>549</v>
      </c>
    </row>
    <row r="524" spans="2:9">
      <c r="B524">
        <v>5</v>
      </c>
      <c r="C524" t="s">
        <v>184</v>
      </c>
      <c r="D524" t="s">
        <v>528</v>
      </c>
      <c r="E524" t="s">
        <v>755</v>
      </c>
      <c r="F524" t="s">
        <v>552</v>
      </c>
      <c r="G524" t="s">
        <v>553</v>
      </c>
      <c r="H524" t="s">
        <v>554</v>
      </c>
      <c r="I524" t="s">
        <v>555</v>
      </c>
    </row>
    <row r="525" spans="2:9">
      <c r="B525">
        <v>6</v>
      </c>
      <c r="C525" t="s">
        <v>184</v>
      </c>
      <c r="D525" t="s">
        <v>528</v>
      </c>
      <c r="E525" t="s">
        <v>755</v>
      </c>
      <c r="F525" t="s">
        <v>552</v>
      </c>
      <c r="G525" t="s">
        <v>558</v>
      </c>
      <c r="H525" t="s">
        <v>559</v>
      </c>
      <c r="I525" t="s">
        <v>560</v>
      </c>
    </row>
    <row r="526" spans="2:9">
      <c r="B526">
        <v>27</v>
      </c>
      <c r="C526" t="s">
        <v>184</v>
      </c>
      <c r="D526" t="s">
        <v>528</v>
      </c>
      <c r="E526" t="s">
        <v>755</v>
      </c>
      <c r="F526" t="s">
        <v>552</v>
      </c>
      <c r="G526" t="s">
        <v>558</v>
      </c>
      <c r="H526" t="s">
        <v>563</v>
      </c>
      <c r="I526" t="s">
        <v>564</v>
      </c>
    </row>
    <row r="527" spans="2:9">
      <c r="B527">
        <v>27</v>
      </c>
      <c r="C527" t="s">
        <v>184</v>
      </c>
      <c r="D527" t="s">
        <v>528</v>
      </c>
      <c r="E527" t="s">
        <v>755</v>
      </c>
      <c r="F527" t="s">
        <v>552</v>
      </c>
      <c r="G527" t="s">
        <v>558</v>
      </c>
      <c r="H527" t="s">
        <v>567</v>
      </c>
      <c r="I527" t="s">
        <v>568</v>
      </c>
    </row>
    <row r="528" spans="2:9">
      <c r="B528">
        <v>27</v>
      </c>
      <c r="C528" t="s">
        <v>184</v>
      </c>
      <c r="D528" t="s">
        <v>528</v>
      </c>
      <c r="E528" t="s">
        <v>755</v>
      </c>
      <c r="F528" t="s">
        <v>552</v>
      </c>
      <c r="G528" t="s">
        <v>558</v>
      </c>
      <c r="H528" t="s">
        <v>570</v>
      </c>
      <c r="I528" t="s">
        <v>571</v>
      </c>
    </row>
    <row r="529" spans="2:9">
      <c r="B529">
        <v>10</v>
      </c>
      <c r="C529" t="s">
        <v>184</v>
      </c>
      <c r="D529" t="s">
        <v>528</v>
      </c>
      <c r="E529" t="s">
        <v>755</v>
      </c>
      <c r="F529" t="s">
        <v>552</v>
      </c>
      <c r="G529" t="s">
        <v>574</v>
      </c>
      <c r="H529" t="s">
        <v>575</v>
      </c>
      <c r="I529" t="s">
        <v>576</v>
      </c>
    </row>
    <row r="530" spans="2:9">
      <c r="B530">
        <v>11</v>
      </c>
      <c r="C530" t="s">
        <v>184</v>
      </c>
      <c r="D530" t="s">
        <v>528</v>
      </c>
      <c r="E530" t="s">
        <v>755</v>
      </c>
      <c r="F530" t="s">
        <v>552</v>
      </c>
      <c r="G530" t="s">
        <v>574</v>
      </c>
      <c r="H530" t="s">
        <v>578</v>
      </c>
      <c r="I530" t="s">
        <v>579</v>
      </c>
    </row>
    <row r="531" spans="2:9">
      <c r="B531">
        <v>12</v>
      </c>
      <c r="C531" t="s">
        <v>184</v>
      </c>
      <c r="D531" t="s">
        <v>528</v>
      </c>
      <c r="E531" t="s">
        <v>755</v>
      </c>
      <c r="F531" t="s">
        <v>552</v>
      </c>
      <c r="G531" t="s">
        <v>582</v>
      </c>
      <c r="H531" t="s">
        <v>583</v>
      </c>
      <c r="I531" t="s">
        <v>584</v>
      </c>
    </row>
    <row r="532" spans="2:9">
      <c r="B532">
        <v>12</v>
      </c>
      <c r="C532" t="s">
        <v>184</v>
      </c>
      <c r="D532" t="s">
        <v>528</v>
      </c>
      <c r="E532" t="s">
        <v>755</v>
      </c>
      <c r="F532" t="s">
        <v>552</v>
      </c>
      <c r="G532" t="s">
        <v>582</v>
      </c>
      <c r="H532" t="s">
        <v>587</v>
      </c>
      <c r="I532" t="s">
        <v>588</v>
      </c>
    </row>
    <row r="533" spans="2:9">
      <c r="B533">
        <v>13</v>
      </c>
      <c r="C533" t="s">
        <v>184</v>
      </c>
      <c r="D533" t="s">
        <v>528</v>
      </c>
      <c r="E533" t="s">
        <v>755</v>
      </c>
      <c r="F533" t="s">
        <v>552</v>
      </c>
      <c r="G533" t="s">
        <v>553</v>
      </c>
      <c r="H533" t="s">
        <v>591</v>
      </c>
      <c r="I533" t="s">
        <v>592</v>
      </c>
    </row>
    <row r="534" spans="2:9">
      <c r="B534">
        <v>14</v>
      </c>
      <c r="C534" t="s">
        <v>184</v>
      </c>
      <c r="D534" t="s">
        <v>528</v>
      </c>
      <c r="E534" t="s">
        <v>755</v>
      </c>
      <c r="F534" t="s">
        <v>552</v>
      </c>
      <c r="G534" t="s">
        <v>595</v>
      </c>
      <c r="H534" t="s">
        <v>596</v>
      </c>
      <c r="I534" t="s">
        <v>597</v>
      </c>
    </row>
    <row r="535" spans="2:9">
      <c r="B535">
        <v>15</v>
      </c>
      <c r="C535" t="s">
        <v>184</v>
      </c>
      <c r="D535" t="s">
        <v>528</v>
      </c>
      <c r="E535" t="s">
        <v>755</v>
      </c>
      <c r="F535" t="s">
        <v>552</v>
      </c>
      <c r="G535" t="s">
        <v>558</v>
      </c>
      <c r="H535" t="s">
        <v>599</v>
      </c>
      <c r="I535" t="s">
        <v>600</v>
      </c>
    </row>
    <row r="536" spans="2:9">
      <c r="B536">
        <v>16</v>
      </c>
      <c r="C536" t="s">
        <v>184</v>
      </c>
      <c r="D536" t="s">
        <v>528</v>
      </c>
      <c r="E536" t="s">
        <v>755</v>
      </c>
      <c r="F536" t="s">
        <v>552</v>
      </c>
      <c r="G536" t="s">
        <v>602</v>
      </c>
      <c r="H536" t="s">
        <v>603</v>
      </c>
      <c r="I536" t="s">
        <v>604</v>
      </c>
    </row>
    <row r="537" spans="2:9">
      <c r="B537">
        <v>17</v>
      </c>
      <c r="C537" t="s">
        <v>184</v>
      </c>
      <c r="D537" t="s">
        <v>528</v>
      </c>
      <c r="E537" t="s">
        <v>755</v>
      </c>
      <c r="F537" t="s">
        <v>552</v>
      </c>
      <c r="G537" t="s">
        <v>558</v>
      </c>
      <c r="H537" t="s">
        <v>607</v>
      </c>
      <c r="I537" t="s">
        <v>608</v>
      </c>
    </row>
    <row r="538" spans="2:9">
      <c r="B538">
        <v>18</v>
      </c>
      <c r="C538" t="s">
        <v>184</v>
      </c>
      <c r="D538" t="s">
        <v>528</v>
      </c>
      <c r="E538" t="s">
        <v>755</v>
      </c>
      <c r="F538" t="s">
        <v>552</v>
      </c>
      <c r="G538" t="s">
        <v>530</v>
      </c>
      <c r="H538" t="s">
        <v>612</v>
      </c>
      <c r="I538" t="s">
        <v>613</v>
      </c>
    </row>
    <row r="539" spans="2:9">
      <c r="B539">
        <v>33</v>
      </c>
      <c r="C539" t="s">
        <v>184</v>
      </c>
      <c r="D539" t="s">
        <v>528</v>
      </c>
      <c r="E539" t="s">
        <v>755</v>
      </c>
      <c r="F539" t="s">
        <v>552</v>
      </c>
      <c r="G539" t="s">
        <v>617</v>
      </c>
      <c r="H539" t="s">
        <v>618</v>
      </c>
      <c r="I539" t="s">
        <v>703</v>
      </c>
    </row>
    <row r="540" spans="2:9">
      <c r="B540">
        <v>33</v>
      </c>
      <c r="C540" t="s">
        <v>184</v>
      </c>
      <c r="D540" t="s">
        <v>528</v>
      </c>
      <c r="E540" t="s">
        <v>755</v>
      </c>
      <c r="F540" t="s">
        <v>552</v>
      </c>
      <c r="G540" t="s">
        <v>617</v>
      </c>
      <c r="H540" t="s">
        <v>618</v>
      </c>
      <c r="I540" t="s">
        <v>619</v>
      </c>
    </row>
    <row r="541" spans="2:9">
      <c r="B541">
        <v>20</v>
      </c>
      <c r="C541" t="s">
        <v>184</v>
      </c>
      <c r="D541" t="s">
        <v>528</v>
      </c>
      <c r="E541" t="s">
        <v>755</v>
      </c>
      <c r="F541" t="s">
        <v>552</v>
      </c>
      <c r="G541" t="s">
        <v>558</v>
      </c>
      <c r="H541" t="s">
        <v>475</v>
      </c>
      <c r="I541" t="s">
        <v>622</v>
      </c>
    </row>
    <row r="542" spans="2:9">
      <c r="B542">
        <v>24</v>
      </c>
      <c r="C542" t="s">
        <v>184</v>
      </c>
      <c r="D542" t="s">
        <v>528</v>
      </c>
      <c r="E542" t="s">
        <v>755</v>
      </c>
      <c r="F542" t="s">
        <v>552</v>
      </c>
      <c r="G542" t="s">
        <v>595</v>
      </c>
      <c r="H542" t="s">
        <v>626</v>
      </c>
      <c r="I542" t="s">
        <v>627</v>
      </c>
    </row>
    <row r="543" spans="2:9">
      <c r="B543">
        <v>26</v>
      </c>
      <c r="C543" t="s">
        <v>184</v>
      </c>
      <c r="D543" t="s">
        <v>528</v>
      </c>
      <c r="E543" t="s">
        <v>755</v>
      </c>
      <c r="F543" t="s">
        <v>552</v>
      </c>
      <c r="G543" t="s">
        <v>558</v>
      </c>
      <c r="H543" t="s">
        <v>476</v>
      </c>
      <c r="I543" t="s">
        <v>630</v>
      </c>
    </row>
    <row r="544" spans="2:9">
      <c r="B544">
        <v>27</v>
      </c>
      <c r="C544" t="s">
        <v>184</v>
      </c>
      <c r="D544" t="s">
        <v>528</v>
      </c>
      <c r="E544" t="s">
        <v>755</v>
      </c>
      <c r="F544" t="s">
        <v>552</v>
      </c>
      <c r="G544" t="s">
        <v>558</v>
      </c>
      <c r="H544" t="s">
        <v>633</v>
      </c>
      <c r="I544" t="s">
        <v>634</v>
      </c>
    </row>
    <row r="545" spans="2:9">
      <c r="B545">
        <v>33</v>
      </c>
      <c r="C545" t="s">
        <v>184</v>
      </c>
      <c r="D545" t="s">
        <v>528</v>
      </c>
      <c r="E545" t="s">
        <v>755</v>
      </c>
      <c r="F545" t="s">
        <v>552</v>
      </c>
      <c r="G545" t="s">
        <v>558</v>
      </c>
      <c r="H545" t="s">
        <v>636</v>
      </c>
      <c r="I545" t="s">
        <v>637</v>
      </c>
    </row>
    <row r="546" spans="2:9">
      <c r="B546">
        <v>35</v>
      </c>
      <c r="C546" t="s">
        <v>184</v>
      </c>
      <c r="D546" t="s">
        <v>528</v>
      </c>
      <c r="E546" t="s">
        <v>755</v>
      </c>
      <c r="F546" t="s">
        <v>745</v>
      </c>
      <c r="G546" t="s">
        <v>530</v>
      </c>
      <c r="H546" t="s">
        <v>641</v>
      </c>
      <c r="I546" t="s">
        <v>746</v>
      </c>
    </row>
    <row r="547" spans="2:9">
      <c r="B547">
        <v>35</v>
      </c>
      <c r="C547" t="s">
        <v>184</v>
      </c>
      <c r="D547" t="s">
        <v>528</v>
      </c>
      <c r="E547" t="s">
        <v>755</v>
      </c>
      <c r="F547" t="s">
        <v>745</v>
      </c>
      <c r="G547" t="s">
        <v>530</v>
      </c>
      <c r="H547" t="s">
        <v>612</v>
      </c>
      <c r="I547" t="s">
        <v>753</v>
      </c>
    </row>
    <row r="548" spans="2:9">
      <c r="B548">
        <v>39</v>
      </c>
      <c r="C548" t="s">
        <v>184</v>
      </c>
      <c r="D548" t="s">
        <v>528</v>
      </c>
      <c r="E548" t="s">
        <v>755</v>
      </c>
      <c r="F548" t="s">
        <v>745</v>
      </c>
      <c r="G548" t="s">
        <v>582</v>
      </c>
      <c r="H548" t="s">
        <v>652</v>
      </c>
      <c r="I548" t="s">
        <v>747</v>
      </c>
    </row>
    <row r="549" spans="2:9">
      <c r="B549">
        <v>40</v>
      </c>
      <c r="C549" t="s">
        <v>184</v>
      </c>
      <c r="D549" t="s">
        <v>528</v>
      </c>
      <c r="E549" t="s">
        <v>755</v>
      </c>
      <c r="F549" t="s">
        <v>745</v>
      </c>
      <c r="G549" t="s">
        <v>656</v>
      </c>
      <c r="H549" t="s">
        <v>657</v>
      </c>
      <c r="I549" t="s">
        <v>748</v>
      </c>
    </row>
    <row r="550" spans="2:9">
      <c r="B550">
        <v>41</v>
      </c>
      <c r="C550" t="s">
        <v>184</v>
      </c>
      <c r="D550" t="s">
        <v>528</v>
      </c>
      <c r="E550" t="s">
        <v>755</v>
      </c>
      <c r="F550" t="s">
        <v>745</v>
      </c>
      <c r="G550" t="s">
        <v>656</v>
      </c>
      <c r="H550" t="s">
        <v>661</v>
      </c>
      <c r="I550" t="s">
        <v>749</v>
      </c>
    </row>
    <row r="551" spans="2:9">
      <c r="B551">
        <v>42</v>
      </c>
      <c r="C551" t="s">
        <v>184</v>
      </c>
      <c r="D551" t="s">
        <v>528</v>
      </c>
      <c r="E551" t="s">
        <v>755</v>
      </c>
      <c r="F551" t="s">
        <v>745</v>
      </c>
      <c r="G551" t="s">
        <v>656</v>
      </c>
      <c r="H551" t="s">
        <v>665</v>
      </c>
      <c r="I551" t="s">
        <v>750</v>
      </c>
    </row>
    <row r="552" spans="2:9">
      <c r="B552">
        <v>43</v>
      </c>
      <c r="C552" t="s">
        <v>184</v>
      </c>
      <c r="D552" t="s">
        <v>528</v>
      </c>
      <c r="E552" t="s">
        <v>755</v>
      </c>
      <c r="F552" t="s">
        <v>745</v>
      </c>
      <c r="G552" t="s">
        <v>574</v>
      </c>
      <c r="H552" t="s">
        <v>669</v>
      </c>
      <c r="I552" t="s">
        <v>670</v>
      </c>
    </row>
    <row r="553" spans="2:9">
      <c r="B553">
        <v>44</v>
      </c>
      <c r="C553" t="s">
        <v>184</v>
      </c>
      <c r="D553" t="s">
        <v>528</v>
      </c>
      <c r="E553" t="s">
        <v>755</v>
      </c>
      <c r="F553" t="s">
        <v>745</v>
      </c>
      <c r="G553" t="s">
        <v>542</v>
      </c>
      <c r="H553" t="s">
        <v>673</v>
      </c>
      <c r="I553" t="s">
        <v>674</v>
      </c>
    </row>
    <row r="554" spans="2:9">
      <c r="B554">
        <v>46</v>
      </c>
      <c r="C554" t="s">
        <v>184</v>
      </c>
      <c r="D554" t="s">
        <v>528</v>
      </c>
      <c r="E554" t="s">
        <v>755</v>
      </c>
      <c r="F554" t="s">
        <v>745</v>
      </c>
      <c r="G554" t="s">
        <v>656</v>
      </c>
      <c r="H554" t="s">
        <v>682</v>
      </c>
      <c r="I554" t="s">
        <v>751</v>
      </c>
    </row>
    <row r="555" spans="2:9">
      <c r="B555">
        <v>47</v>
      </c>
      <c r="C555" t="s">
        <v>184</v>
      </c>
      <c r="D555" t="s">
        <v>528</v>
      </c>
      <c r="E555" t="s">
        <v>755</v>
      </c>
      <c r="F555" t="s">
        <v>745</v>
      </c>
      <c r="G555" t="s">
        <v>656</v>
      </c>
      <c r="H555" t="s">
        <v>686</v>
      </c>
      <c r="I555" t="s">
        <v>752</v>
      </c>
    </row>
  </sheetData>
  <conditionalFormatting sqref="I5:I157">
    <cfRule type="containsText" dxfId="1" priority="1" operator="between" text="灭火器03">
      <formula>NOT(ISERROR(SEARCH("灭火器03",I5)))</formula>
    </cfRule>
    <cfRule type="containsText" dxfId="1" priority="2" operator="between" text="灭火器04">
      <formula>NOT(ISERROR(SEARCH("灭火器04",I5)))</formula>
    </cfRule>
    <cfRule type="containsText" dxfId="1" priority="3" operator="between" text="电热水器04">
      <formula>NOT(ISERROR(SEARCH("电热水器04",I5)))</formula>
    </cfRule>
    <cfRule type="containsText" dxfId="1" priority="4" operator="between" text="双人餐桌">
      <formula>NOT(ISERROR(SEARCH("双人餐桌",I5)))</formula>
    </cfRule>
    <cfRule type="containsText" dxfId="1" priority="5" operator="between" text="操作台08">
      <formula>NOT(ISERROR(SEARCH("操作台08",I5)))</formula>
    </cfRule>
    <cfRule type="containsText" dxfId="1" priority="6" operator="between" text="操作台07">
      <formula>NOT(ISERROR(SEARCH("操作台07",I5)))</formula>
    </cfRule>
    <cfRule type="containsText" dxfId="1" priority="7" operator="between" text="标准床06">
      <formula>NOT(ISERROR(SEARCH("标准床06",I5)))</formula>
    </cfRule>
    <cfRule type="containsText" dxfId="1" priority="8" operator="between" text="标准床05">
      <formula>NOT(ISERROR(SEARCH("标准床05",I5)))</formula>
    </cfRule>
    <cfRule type="containsText" dxfId="1" priority="9" operator="between" text="标准床05,操作台07">
      <formula>NOT(ISERROR(SEARCH("标准床05,操作台07",I5)))</formula>
    </cfRule>
  </conditionalFormatting>
  <dataValidations count="2">
    <dataValidation type="list" allowBlank="1" showInputMessage="1" showErrorMessage="1" sqref="H5:H157">
      <formula1>INDIRECT($G5)</formula1>
    </dataValidation>
    <dataValidation type="list" allowBlank="1" showInputMessage="1" showErrorMessage="1" sqref="I5:I157">
      <formula1>INDIRECT($H5)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P50"/>
  <sheetViews>
    <sheetView zoomScale="70" zoomScaleNormal="70" topLeftCell="A13" workbookViewId="0">
      <selection activeCell="Q20" sqref="Q20"/>
    </sheetView>
  </sheetViews>
  <sheetFormatPr defaultColWidth="12.25" defaultRowHeight="13.8"/>
  <cols>
    <col min="1" max="6" width="10.75" customWidth="1"/>
  </cols>
  <sheetData>
    <row r="1" ht="14.25" customHeight="1" spans="1:16">
      <c r="A1" s="16" t="str">
        <f>"安居乐寓"&amp;'【2】运营中心填-基本信息&amp;审核标准'!C2&amp;'【2】运营中心填-基本信息&amp;审核标准'!E2&amp;"公寓定价"</f>
        <v>安居乐寓福围广生福围广生7-16、17栋公寓定价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14.25" customHeight="1" spans="1:16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ht="16.2" spans="1:16">
      <c r="A3" s="20" t="s">
        <v>756</v>
      </c>
      <c r="B3" s="21" t="s">
        <v>757</v>
      </c>
      <c r="C3" s="22">
        <v>201</v>
      </c>
      <c r="D3" s="22">
        <v>202</v>
      </c>
      <c r="E3" s="22">
        <v>203</v>
      </c>
      <c r="F3" s="22">
        <v>204</v>
      </c>
      <c r="G3" s="22">
        <v>205</v>
      </c>
      <c r="H3" s="22">
        <v>206</v>
      </c>
      <c r="I3" s="22">
        <v>207</v>
      </c>
      <c r="J3" s="22">
        <v>208</v>
      </c>
      <c r="K3" s="22">
        <v>209</v>
      </c>
      <c r="L3" s="22">
        <v>210</v>
      </c>
      <c r="M3" s="22">
        <v>211</v>
      </c>
      <c r="N3" s="22">
        <v>212</v>
      </c>
      <c r="O3" s="22">
        <v>213</v>
      </c>
      <c r="P3" s="22">
        <v>214</v>
      </c>
    </row>
    <row r="4" ht="16.2" spans="1:16">
      <c r="A4" s="20"/>
      <c r="B4" s="21" t="s">
        <v>359</v>
      </c>
      <c r="C4" s="4" t="str">
        <f>VLOOKUP(C3,'【3-2】大区&amp;运营中心填-房间模型价'!$H:$AM,2,0)</f>
        <v>B</v>
      </c>
      <c r="D4" s="4" t="str">
        <f>VLOOKUP(D3,'【3-2】大区&amp;运营中心填-房间模型价'!$H:$AM,2,0)</f>
        <v>A</v>
      </c>
      <c r="E4" s="4" t="str">
        <f>VLOOKUP(E3,'【3-2】大区&amp;运营中心填-房间模型价'!$H:$AM,2,0)</f>
        <v>A</v>
      </c>
      <c r="F4" s="4" t="str">
        <f>VLOOKUP(F3,'【3-2】大区&amp;运营中心填-房间模型价'!$H:$AM,2,0)</f>
        <v>B</v>
      </c>
      <c r="G4" s="4" t="str">
        <f>VLOOKUP(G3,'【3-2】大区&amp;运营中心填-房间模型价'!$H:$AM,2,0)</f>
        <v>C</v>
      </c>
      <c r="H4" s="4" t="str">
        <f>VLOOKUP(H3,'【3-2】大区&amp;运营中心填-房间模型价'!$H:$AM,2,0)</f>
        <v>D</v>
      </c>
      <c r="I4" s="4" t="str">
        <f>VLOOKUP(I3,'【3-2】大区&amp;运营中心填-房间模型价'!$H:$AM,2,0)</f>
        <v>A</v>
      </c>
      <c r="J4" s="4" t="str">
        <f>VLOOKUP(J3,'【3-2】大区&amp;运营中心填-房间模型价'!$H:$AM,2,0)</f>
        <v>A</v>
      </c>
      <c r="K4" s="4" t="str">
        <f>VLOOKUP(K3,'【3-2】大区&amp;运营中心填-房间模型价'!$H:$AM,2,0)</f>
        <v>E</v>
      </c>
      <c r="L4" s="4" t="str">
        <f>VLOOKUP(L3,'【3-2】大区&amp;运营中心填-房间模型价'!$H:$AM,2,0)</f>
        <v>A</v>
      </c>
      <c r="M4" s="4" t="str">
        <f>VLOOKUP(M3,'【3-2】大区&amp;运营中心填-房间模型价'!$H:$AM,2,0)</f>
        <v>A</v>
      </c>
      <c r="N4" s="4" t="str">
        <f>VLOOKUP(N3,'【3-2】大区&amp;运营中心填-房间模型价'!$H:$AM,2,0)</f>
        <v>D</v>
      </c>
      <c r="O4" s="4" t="str">
        <f>VLOOKUP(O3,'【3-2】大区&amp;运营中心填-房间模型价'!$H:$AM,2,0)</f>
        <v>C</v>
      </c>
      <c r="P4" s="4" t="str">
        <f>VLOOKUP(P3,'【3-2】大区&amp;运营中心填-房间模型价'!$H:$AM,2,0)</f>
        <v>B</v>
      </c>
    </row>
    <row r="5" ht="16.2" spans="1:16">
      <c r="A5" s="23"/>
      <c r="B5" s="24" t="s">
        <v>758</v>
      </c>
      <c r="C5" s="25">
        <f>VLOOKUP(C3,'【3-2】大区&amp;运营中心填-房间模型价'!$H:$AM,32,0)</f>
        <v>2068.19</v>
      </c>
      <c r="D5" s="25">
        <f>VLOOKUP(D3,'【3-2】大区&amp;运营中心填-房间模型价'!$H:$AM,32,0)</f>
        <v>1588</v>
      </c>
      <c r="E5" s="25">
        <f>VLOOKUP(E3,'【3-2】大区&amp;运营中心填-房间模型价'!$H:$AM,32,0)</f>
        <v>1350</v>
      </c>
      <c r="F5" s="25">
        <f>VLOOKUP(F3,'【3-2】大区&amp;运营中心填-房间模型价'!$H:$AM,32,0)</f>
        <v>1900</v>
      </c>
      <c r="G5" s="25">
        <f>VLOOKUP(G3,'【3-2】大区&amp;运营中心填-房间模型价'!$H:$AM,32,0)</f>
        <v>1930</v>
      </c>
      <c r="H5" s="25">
        <f>VLOOKUP(H3,'【3-2】大区&amp;运营中心填-房间模型价'!$H:$AM,32,0)</f>
        <v>1448</v>
      </c>
      <c r="I5" s="25">
        <f>VLOOKUP(I3,'【3-2】大区&amp;运营中心填-房间模型价'!$H:$AM,32,0)</f>
        <v>1448</v>
      </c>
      <c r="J5" s="25">
        <f>VLOOKUP(J3,'【3-2】大区&amp;运营中心填-房间模型价'!$H:$AM,32,0)</f>
        <v>1448</v>
      </c>
      <c r="K5" s="25">
        <f>VLOOKUP(K3,'【3-2】大区&amp;运营中心填-房间模型价'!$H:$AM,32,0)</f>
        <v>2298.19</v>
      </c>
      <c r="L5" s="25">
        <f>VLOOKUP(L3,'【3-2】大区&amp;运营中心填-房间模型价'!$H:$AM,32,0)</f>
        <v>1400</v>
      </c>
      <c r="M5" s="25">
        <f>VLOOKUP(M3,'【3-2】大区&amp;运营中心填-房间模型价'!$H:$AM,32,0)</f>
        <v>1448</v>
      </c>
      <c r="N5" s="25">
        <f>VLOOKUP(N3,'【3-2】大区&amp;运营中心填-房间模型价'!$H:$AM,32,0)</f>
        <v>1528</v>
      </c>
      <c r="O5" s="25">
        <f>VLOOKUP(O3,'【3-2】大区&amp;运营中心填-房间模型价'!$H:$AM,32,0)</f>
        <v>2080</v>
      </c>
      <c r="P5" s="25">
        <f>VLOOKUP(P3,'【3-2】大区&amp;运营中心填-房间模型价'!$H:$AM,32,0)</f>
        <v>2050</v>
      </c>
    </row>
    <row r="6" ht="17.4" spans="1:16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ht="16.2" spans="1:16">
      <c r="A7" s="20" t="s">
        <v>759</v>
      </c>
      <c r="B7" s="21" t="s">
        <v>757</v>
      </c>
      <c r="C7" s="29">
        <v>301</v>
      </c>
      <c r="D7" s="29">
        <v>302</v>
      </c>
      <c r="E7" s="29">
        <v>303</v>
      </c>
      <c r="F7" s="29">
        <v>304</v>
      </c>
      <c r="G7" s="29">
        <v>305</v>
      </c>
      <c r="H7" s="29">
        <v>306</v>
      </c>
      <c r="I7" s="29">
        <v>307</v>
      </c>
      <c r="J7" s="29">
        <v>308</v>
      </c>
      <c r="K7" s="29">
        <v>309</v>
      </c>
      <c r="L7" s="29">
        <v>310</v>
      </c>
      <c r="M7" s="29">
        <v>311</v>
      </c>
      <c r="N7" s="29">
        <v>312</v>
      </c>
      <c r="O7" s="29">
        <v>313</v>
      </c>
      <c r="P7" s="29">
        <v>314</v>
      </c>
    </row>
    <row r="8" ht="16.2" spans="1:16">
      <c r="A8" s="20"/>
      <c r="B8" s="21" t="s">
        <v>359</v>
      </c>
      <c r="C8" s="25" t="str">
        <f>VLOOKUP(C7,'【3-2】大区&amp;运营中心填-房间模型价'!$H:$AM,2,0)</f>
        <v>B</v>
      </c>
      <c r="D8" s="25" t="str">
        <f>VLOOKUP(D7,'【3-2】大区&amp;运营中心填-房间模型价'!$H:$AM,2,0)</f>
        <v>A</v>
      </c>
      <c r="E8" s="25" t="str">
        <f>VLOOKUP(E7,'【3-2】大区&amp;运营中心填-房间模型价'!$H:$AM,2,0)</f>
        <v>A</v>
      </c>
      <c r="F8" s="25" t="str">
        <f>VLOOKUP(F7,'【3-2】大区&amp;运营中心填-房间模型价'!$H:$AM,2,0)</f>
        <v>B</v>
      </c>
      <c r="G8" s="25" t="str">
        <f>VLOOKUP(G7,'【3-2】大区&amp;运营中心填-房间模型价'!$H:$AM,2,0)</f>
        <v>C</v>
      </c>
      <c r="H8" s="25" t="str">
        <f>VLOOKUP(H7,'【3-2】大区&amp;运营中心填-房间模型价'!$H:$AM,2,0)</f>
        <v>D</v>
      </c>
      <c r="I8" s="25" t="str">
        <f>VLOOKUP(I7,'【3-2】大区&amp;运营中心填-房间模型价'!$H:$AM,2,0)</f>
        <v>A</v>
      </c>
      <c r="J8" s="25" t="str">
        <f>VLOOKUP(J7,'【3-2】大区&amp;运营中心填-房间模型价'!$H:$AM,2,0)</f>
        <v>A</v>
      </c>
      <c r="K8" s="25" t="str">
        <f>VLOOKUP(K7,'【3-2】大区&amp;运营中心填-房间模型价'!$H:$AM,2,0)</f>
        <v>E</v>
      </c>
      <c r="L8" s="25" t="str">
        <f>VLOOKUP(L7,'【3-2】大区&amp;运营中心填-房间模型价'!$H:$AM,2,0)</f>
        <v>A</v>
      </c>
      <c r="M8" s="25" t="str">
        <f>VLOOKUP(M7,'【3-2】大区&amp;运营中心填-房间模型价'!$H:$AM,2,0)</f>
        <v>A</v>
      </c>
      <c r="N8" s="25" t="str">
        <f>VLOOKUP(N7,'【3-2】大区&amp;运营中心填-房间模型价'!$H:$AM,2,0)</f>
        <v>D</v>
      </c>
      <c r="O8" s="25" t="str">
        <f>VLOOKUP(O7,'【3-2】大区&amp;运营中心填-房间模型价'!$H:$AM,2,0)</f>
        <v>C</v>
      </c>
      <c r="P8" s="25" t="str">
        <f>VLOOKUP(P7,'【3-2】大区&amp;运营中心填-房间模型价'!$H:$AM,2,0)</f>
        <v>B</v>
      </c>
    </row>
    <row r="9" ht="16.2" spans="1:16">
      <c r="A9" s="23"/>
      <c r="B9" s="24" t="s">
        <v>758</v>
      </c>
      <c r="C9" s="25">
        <f>VLOOKUP(C7,'【3-2】大区&amp;运营中心填-房间模型价'!$H:$AM,32,0)</f>
        <v>2068.19</v>
      </c>
      <c r="D9" s="25">
        <f>VLOOKUP(D7,'【3-2】大区&amp;运营中心填-房间模型价'!$H:$AM,32,0)</f>
        <v>1588</v>
      </c>
      <c r="E9" s="25">
        <f>VLOOKUP(E7,'【3-2】大区&amp;运营中心填-房间模型价'!$H:$AM,32,0)</f>
        <v>1400</v>
      </c>
      <c r="F9" s="25">
        <f>VLOOKUP(F7,'【3-2】大区&amp;运营中心填-房间模型价'!$H:$AM,32,0)</f>
        <v>1900</v>
      </c>
      <c r="G9" s="25">
        <f>VLOOKUP(G7,'【3-2】大区&amp;运营中心填-房间模型价'!$H:$AM,32,0)</f>
        <v>1930</v>
      </c>
      <c r="H9" s="25">
        <f>VLOOKUP(H7,'【3-2】大区&amp;运营中心填-房间模型价'!$H:$AM,32,0)</f>
        <v>1368</v>
      </c>
      <c r="I9" s="25">
        <f>VLOOKUP(I7,'【3-2】大区&amp;运营中心填-房间模型价'!$H:$AM,32,0)</f>
        <v>1350</v>
      </c>
      <c r="J9" s="25">
        <f>VLOOKUP(J7,'【3-2】大区&amp;运营中心填-房间模型价'!$H:$AM,32,0)</f>
        <v>1448</v>
      </c>
      <c r="K9" s="25">
        <f>VLOOKUP(K7,'【3-2】大区&amp;运营中心填-房间模型价'!$H:$AM,32,0)</f>
        <v>2298.19</v>
      </c>
      <c r="L9" s="25">
        <f>VLOOKUP(L7,'【3-2】大区&amp;运营中心填-房间模型价'!$H:$AM,32,0)</f>
        <v>1448</v>
      </c>
      <c r="M9" s="25">
        <f>VLOOKUP(M7,'【3-2】大区&amp;运营中心填-房间模型价'!$H:$AM,32,0)</f>
        <v>1448</v>
      </c>
      <c r="N9" s="25">
        <f>VLOOKUP(N7,'【3-2】大区&amp;运营中心填-房间模型价'!$H:$AM,32,0)</f>
        <v>1448</v>
      </c>
      <c r="O9" s="25">
        <f>VLOOKUP(O7,'【3-2】大区&amp;运营中心填-房间模型价'!$H:$AM,32,0)</f>
        <v>2080</v>
      </c>
      <c r="P9" s="25">
        <f>VLOOKUP(P7,'【3-2】大区&amp;运营中心填-房间模型价'!$H:$AM,32,0)</f>
        <v>2248.19</v>
      </c>
    </row>
    <row r="10" ht="17.4" spans="1:16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ht="16.2" spans="1:16">
      <c r="A11" s="20" t="s">
        <v>760</v>
      </c>
      <c r="B11" s="21" t="s">
        <v>757</v>
      </c>
      <c r="C11" s="29">
        <v>401</v>
      </c>
      <c r="D11" s="29">
        <v>402</v>
      </c>
      <c r="E11" s="29">
        <v>403</v>
      </c>
      <c r="F11" s="29">
        <v>404</v>
      </c>
      <c r="G11" s="29">
        <v>405</v>
      </c>
      <c r="H11" s="29">
        <v>406</v>
      </c>
      <c r="I11" s="29">
        <v>407</v>
      </c>
      <c r="J11" s="29">
        <v>408</v>
      </c>
      <c r="K11" s="29">
        <v>409</v>
      </c>
      <c r="L11" s="29">
        <v>410</v>
      </c>
      <c r="M11" s="29">
        <v>411</v>
      </c>
      <c r="N11" s="29">
        <v>412</v>
      </c>
      <c r="O11" s="29">
        <v>413</v>
      </c>
      <c r="P11" s="29">
        <v>414</v>
      </c>
    </row>
    <row r="12" ht="16.2" spans="1:16">
      <c r="A12" s="20"/>
      <c r="B12" s="21" t="s">
        <v>359</v>
      </c>
      <c r="C12" s="25" t="str">
        <f>VLOOKUP(C11,'【3-2】大区&amp;运营中心填-房间模型价'!$H:$AM,2,0)</f>
        <v>B</v>
      </c>
      <c r="D12" s="25" t="str">
        <f>VLOOKUP(D11,'【3-2】大区&amp;运营中心填-房间模型价'!$H:$AM,2,0)</f>
        <v>A</v>
      </c>
      <c r="E12" s="25" t="str">
        <f>VLOOKUP(E11,'【3-2】大区&amp;运营中心填-房间模型价'!$H:$AM,2,0)</f>
        <v>A</v>
      </c>
      <c r="F12" s="25" t="str">
        <f>VLOOKUP(F11,'【3-2】大区&amp;运营中心填-房间模型价'!$H:$AM,2,0)</f>
        <v>B</v>
      </c>
      <c r="G12" s="25" t="str">
        <f>VLOOKUP(G11,'【3-2】大区&amp;运营中心填-房间模型价'!$H:$AM,2,0)</f>
        <v>C</v>
      </c>
      <c r="H12" s="25" t="str">
        <f>VLOOKUP(H11,'【3-2】大区&amp;运营中心填-房间模型价'!$H:$AM,2,0)</f>
        <v>D</v>
      </c>
      <c r="I12" s="25" t="str">
        <f>VLOOKUP(I11,'【3-2】大区&amp;运营中心填-房间模型价'!$H:$AM,2,0)</f>
        <v>A</v>
      </c>
      <c r="J12" s="25" t="str">
        <f>VLOOKUP(J11,'【3-2】大区&amp;运营中心填-房间模型价'!$H:$AM,2,0)</f>
        <v>A</v>
      </c>
      <c r="K12" s="25" t="str">
        <f>VLOOKUP(K11,'【3-2】大区&amp;运营中心填-房间模型价'!$H:$AM,2,0)</f>
        <v>E</v>
      </c>
      <c r="L12" s="25" t="str">
        <f>VLOOKUP(L11,'【3-2】大区&amp;运营中心填-房间模型价'!$H:$AM,2,0)</f>
        <v>A</v>
      </c>
      <c r="M12" s="25" t="str">
        <f>VLOOKUP(M11,'【3-2】大区&amp;运营中心填-房间模型价'!$H:$AM,2,0)</f>
        <v>A</v>
      </c>
      <c r="N12" s="25" t="str">
        <f>VLOOKUP(N11,'【3-2】大区&amp;运营中心填-房间模型价'!$H:$AM,2,0)</f>
        <v>D</v>
      </c>
      <c r="O12" s="25" t="str">
        <f>VLOOKUP(O11,'【3-2】大区&amp;运营中心填-房间模型价'!$H:$AM,2,0)</f>
        <v>C</v>
      </c>
      <c r="P12" s="25" t="str">
        <f>VLOOKUP(P11,'【3-2】大区&amp;运营中心填-房间模型价'!$H:$AM,2,0)</f>
        <v>B</v>
      </c>
    </row>
    <row r="13" ht="16.2" spans="1:16">
      <c r="A13" s="23"/>
      <c r="B13" s="24" t="s">
        <v>758</v>
      </c>
      <c r="C13" s="25">
        <f>VLOOKUP(C11,'【3-2】大区&amp;运营中心填-房间模型价'!$H:$AM,32,0)</f>
        <v>2068.19</v>
      </c>
      <c r="D13" s="25">
        <f>VLOOKUP(D11,'【3-2】大区&amp;运营中心填-房间模型价'!$H:$AM,32,0)</f>
        <v>1458</v>
      </c>
      <c r="E13" s="25">
        <f>VLOOKUP(E11,'【3-2】大区&amp;运营中心填-房间模型价'!$H:$AM,32,0)</f>
        <v>1400</v>
      </c>
      <c r="F13" s="25">
        <f>VLOOKUP(F11,'【3-2】大区&amp;运营中心填-房间模型价'!$H:$AM,32,0)</f>
        <v>1950</v>
      </c>
      <c r="G13" s="25">
        <f>VLOOKUP(G11,'【3-2】大区&amp;运营中心填-房间模型价'!$H:$AM,32,0)</f>
        <v>1980</v>
      </c>
      <c r="H13" s="25">
        <f>VLOOKUP(H11,'【3-2】大区&amp;运营中心填-房间模型价'!$H:$AM,32,0)</f>
        <v>1388</v>
      </c>
      <c r="I13" s="25">
        <f>VLOOKUP(I11,'【3-2】大区&amp;运营中心填-房间模型价'!$H:$AM,32,0)</f>
        <v>1458</v>
      </c>
      <c r="J13" s="25">
        <f>VLOOKUP(J11,'【3-2】大区&amp;运营中心填-房间模型价'!$H:$AM,32,0)</f>
        <v>1458</v>
      </c>
      <c r="K13" s="25">
        <f>VLOOKUP(K11,'【3-2】大区&amp;运营中心填-房间模型价'!$H:$AM,32,0)</f>
        <v>2298.19</v>
      </c>
      <c r="L13" s="25">
        <f>VLOOKUP(L11,'【3-2】大区&amp;运营中心填-房间模型价'!$H:$AM,32,0)</f>
        <v>1458</v>
      </c>
      <c r="M13" s="25">
        <f>VLOOKUP(M11,'【3-2】大区&amp;运营中心填-房间模型价'!$H:$AM,32,0)</f>
        <v>1458</v>
      </c>
      <c r="N13" s="25">
        <f>VLOOKUP(N11,'【3-2】大区&amp;运营中心填-房间模型价'!$H:$AM,32,0)</f>
        <v>1458</v>
      </c>
      <c r="O13" s="25">
        <f>VLOOKUP(O11,'【3-2】大区&amp;运营中心填-房间模型价'!$H:$AM,32,0)</f>
        <v>2248.19</v>
      </c>
      <c r="P13" s="25">
        <f>VLOOKUP(P11,'【3-2】大区&amp;运营中心填-房间模型价'!$H:$AM,32,0)</f>
        <v>2100</v>
      </c>
    </row>
    <row r="14" ht="17.4" spans="1:16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ht="16.2" spans="1:16">
      <c r="A15" s="20" t="s">
        <v>761</v>
      </c>
      <c r="B15" s="21" t="s">
        <v>757</v>
      </c>
      <c r="C15" s="29">
        <v>501</v>
      </c>
      <c r="D15" s="29">
        <v>502</v>
      </c>
      <c r="E15" s="29">
        <v>503</v>
      </c>
      <c r="F15" s="29">
        <v>504</v>
      </c>
      <c r="G15" s="29">
        <v>505</v>
      </c>
      <c r="H15" s="29">
        <v>506</v>
      </c>
      <c r="I15" s="29">
        <v>507</v>
      </c>
      <c r="J15" s="29">
        <v>508</v>
      </c>
      <c r="K15" s="29">
        <v>509</v>
      </c>
      <c r="L15" s="29">
        <v>510</v>
      </c>
      <c r="M15" s="29">
        <v>511</v>
      </c>
      <c r="N15" s="29">
        <v>512</v>
      </c>
      <c r="O15" s="29">
        <v>513</v>
      </c>
      <c r="P15" s="29">
        <v>514</v>
      </c>
    </row>
    <row r="16" ht="16.2" spans="1:16">
      <c r="A16" s="20"/>
      <c r="B16" s="21" t="s">
        <v>359</v>
      </c>
      <c r="C16" s="25" t="str">
        <f>VLOOKUP(C15,'【3-2】大区&amp;运营中心填-房间模型价'!$H:$AM,2,0)</f>
        <v>B</v>
      </c>
      <c r="D16" s="25" t="str">
        <f>VLOOKUP(D15,'【3-2】大区&amp;运营中心填-房间模型价'!$H:$AM,2,0)</f>
        <v>A</v>
      </c>
      <c r="E16" s="25" t="str">
        <f>VLOOKUP(E15,'【3-2】大区&amp;运营中心填-房间模型价'!$H:$AM,2,0)</f>
        <v>A</v>
      </c>
      <c r="F16" s="25" t="str">
        <f>VLOOKUP(F15,'【3-2】大区&amp;运营中心填-房间模型价'!$H:$AM,2,0)</f>
        <v>B</v>
      </c>
      <c r="G16" s="25" t="str">
        <f>VLOOKUP(G15,'【3-2】大区&amp;运营中心填-房间模型价'!$H:$AM,2,0)</f>
        <v>C</v>
      </c>
      <c r="H16" s="25" t="str">
        <f>VLOOKUP(H15,'【3-2】大区&amp;运营中心填-房间模型价'!$H:$AM,2,0)</f>
        <v>D</v>
      </c>
      <c r="I16" s="25" t="str">
        <f>VLOOKUP(I15,'【3-2】大区&amp;运营中心填-房间模型价'!$H:$AM,2,0)</f>
        <v>A</v>
      </c>
      <c r="J16" s="25" t="str">
        <f>VLOOKUP(J15,'【3-2】大区&amp;运营中心填-房间模型价'!$H:$AM,2,0)</f>
        <v>A</v>
      </c>
      <c r="K16" s="25" t="str">
        <f>VLOOKUP(K15,'【3-2】大区&amp;运营中心填-房间模型价'!$H:$AM,2,0)</f>
        <v>E</v>
      </c>
      <c r="L16" s="25" t="str">
        <f>VLOOKUP(L15,'【3-2】大区&amp;运营中心填-房间模型价'!$H:$AM,2,0)</f>
        <v>A</v>
      </c>
      <c r="M16" s="25" t="str">
        <f>VLOOKUP(M15,'【3-2】大区&amp;运营中心填-房间模型价'!$H:$AM,2,0)</f>
        <v>A</v>
      </c>
      <c r="N16" s="25" t="str">
        <f>VLOOKUP(N15,'【3-2】大区&amp;运营中心填-房间模型价'!$H:$AM,2,0)</f>
        <v>D</v>
      </c>
      <c r="O16" s="25" t="str">
        <f>VLOOKUP(O15,'【3-2】大区&amp;运营中心填-房间模型价'!$H:$AM,2,0)</f>
        <v>C</v>
      </c>
      <c r="P16" s="25" t="str">
        <f>VLOOKUP(P15,'【3-2】大区&amp;运营中心填-房间模型价'!$H:$AM,2,0)</f>
        <v>B</v>
      </c>
    </row>
    <row r="17" ht="16.2" spans="1:16">
      <c r="A17" s="23"/>
      <c r="B17" s="24" t="s">
        <v>758</v>
      </c>
      <c r="C17" s="25">
        <f>VLOOKUP(C15,'【3-2】大区&amp;运营中心填-房间模型价'!$H:$AM,32,0)</f>
        <v>2148</v>
      </c>
      <c r="D17" s="25">
        <f>VLOOKUP(D15,'【3-2】大区&amp;运营中心填-房间模型价'!$H:$AM,32,0)</f>
        <v>1468</v>
      </c>
      <c r="E17" s="25">
        <f>VLOOKUP(E15,'【3-2】大区&amp;运营中心填-房间模型价'!$H:$AM,32,0)</f>
        <v>1450</v>
      </c>
      <c r="F17" s="25">
        <f>VLOOKUP(F15,'【3-2】大区&amp;运营中心填-房间模型价'!$H:$AM,32,0)</f>
        <v>2050</v>
      </c>
      <c r="G17" s="25">
        <f>VLOOKUP(G15,'【3-2】大区&amp;运营中心填-房间模型价'!$H:$AM,32,0)</f>
        <v>2080</v>
      </c>
      <c r="H17" s="25">
        <f>VLOOKUP(H15,'【3-2】大区&amp;运营中心填-房间模型价'!$H:$AM,32,0)</f>
        <v>1528</v>
      </c>
      <c r="I17" s="25">
        <f>VLOOKUP(I15,'【3-2】大区&amp;运营中心填-房间模型价'!$H:$AM,32,0)</f>
        <v>1528</v>
      </c>
      <c r="J17" s="25">
        <f>VLOOKUP(J15,'【3-2】大区&amp;运营中心填-房间模型价'!$H:$AM,32,0)</f>
        <v>1528</v>
      </c>
      <c r="K17" s="25">
        <f>VLOOKUP(K15,'【3-2】大区&amp;运营中心填-房间模型价'!$H:$AM,32,0)</f>
        <v>2318</v>
      </c>
      <c r="L17" s="25">
        <f>VLOOKUP(L15,'【3-2】大区&amp;运营中心填-房间模型价'!$H:$AM,32,0)</f>
        <v>1468</v>
      </c>
      <c r="M17" s="25">
        <f>VLOOKUP(M15,'【3-2】大区&amp;运营中心填-房间模型价'!$H:$AM,32,0)</f>
        <v>1468</v>
      </c>
      <c r="N17" s="25">
        <f>VLOOKUP(N15,'【3-2】大区&amp;运营中心填-房间模型价'!$H:$AM,32,0)</f>
        <v>1468</v>
      </c>
      <c r="O17" s="25">
        <f>VLOOKUP(O15,'【3-2】大区&amp;运营中心填-房间模型价'!$H:$AM,32,0)</f>
        <v>2180</v>
      </c>
      <c r="P17" s="25">
        <f>VLOOKUP(P15,'【3-2】大区&amp;运营中心填-房间模型价'!$H:$AM,32,0)</f>
        <v>2268</v>
      </c>
    </row>
    <row r="18" ht="17.4" spans="1:16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ht="16.2" spans="1:16">
      <c r="A19" s="20" t="s">
        <v>762</v>
      </c>
      <c r="B19" s="21" t="s">
        <v>757</v>
      </c>
      <c r="C19" s="29">
        <v>601</v>
      </c>
      <c r="D19" s="29">
        <v>602</v>
      </c>
      <c r="E19" s="29">
        <v>603</v>
      </c>
      <c r="F19" s="29">
        <v>604</v>
      </c>
      <c r="G19" s="29">
        <v>605</v>
      </c>
      <c r="H19" s="29">
        <v>606</v>
      </c>
      <c r="I19" s="29">
        <v>607</v>
      </c>
      <c r="J19" s="29">
        <v>608</v>
      </c>
      <c r="K19" s="29">
        <v>609</v>
      </c>
      <c r="L19" s="29">
        <v>610</v>
      </c>
      <c r="M19" s="29">
        <v>611</v>
      </c>
      <c r="N19" s="29">
        <v>612</v>
      </c>
      <c r="O19" s="29">
        <v>613</v>
      </c>
      <c r="P19" s="29">
        <v>614</v>
      </c>
    </row>
    <row r="20" ht="16.2" spans="1:16">
      <c r="A20" s="20"/>
      <c r="B20" s="21" t="s">
        <v>359</v>
      </c>
      <c r="C20" s="25" t="str">
        <f>VLOOKUP(C19,'【3-2】大区&amp;运营中心填-房间模型价'!$H:$AM,2,0)</f>
        <v>B</v>
      </c>
      <c r="D20" s="25" t="str">
        <f>VLOOKUP(D19,'【3-2】大区&amp;运营中心填-房间模型价'!$H:$AM,2,0)</f>
        <v>A</v>
      </c>
      <c r="E20" s="25" t="str">
        <f>VLOOKUP(E19,'【3-2】大区&amp;运营中心填-房间模型价'!$H:$AM,2,0)</f>
        <v>A</v>
      </c>
      <c r="F20" s="25" t="str">
        <f>VLOOKUP(F19,'【3-2】大区&amp;运营中心填-房间模型价'!$H:$AM,2,0)</f>
        <v>B</v>
      </c>
      <c r="G20" s="25" t="str">
        <f>VLOOKUP(G19,'【3-2】大区&amp;运营中心填-房间模型价'!$H:$AM,2,0)</f>
        <v>C</v>
      </c>
      <c r="H20" s="25" t="str">
        <f>VLOOKUP(H19,'【3-2】大区&amp;运营中心填-房间模型价'!$H:$AM,2,0)</f>
        <v>D</v>
      </c>
      <c r="I20" s="25" t="str">
        <f>VLOOKUP(I19,'【3-2】大区&amp;运营中心填-房间模型价'!$H:$AM,2,0)</f>
        <v>A</v>
      </c>
      <c r="J20" s="25" t="str">
        <f>VLOOKUP(J19,'【3-2】大区&amp;运营中心填-房间模型价'!$H:$AM,2,0)</f>
        <v>A</v>
      </c>
      <c r="K20" s="25" t="str">
        <f>VLOOKUP(K19,'【3-2】大区&amp;运营中心填-房间模型价'!$H:$AM,2,0)</f>
        <v>E</v>
      </c>
      <c r="L20" s="25" t="str">
        <f>VLOOKUP(L19,'【3-2】大区&amp;运营中心填-房间模型价'!$H:$AM,2,0)</f>
        <v>A</v>
      </c>
      <c r="M20" s="25" t="str">
        <f>VLOOKUP(M19,'【3-2】大区&amp;运营中心填-房间模型价'!$H:$AM,2,0)</f>
        <v>A</v>
      </c>
      <c r="N20" s="25" t="str">
        <f>VLOOKUP(N19,'【3-2】大区&amp;运营中心填-房间模型价'!$H:$AM,2,0)</f>
        <v>D</v>
      </c>
      <c r="O20" s="25" t="str">
        <f>VLOOKUP(O19,'【3-2】大区&amp;运营中心填-房间模型价'!$H:$AM,2,0)</f>
        <v>C</v>
      </c>
      <c r="P20" s="25" t="str">
        <f>VLOOKUP(P19,'【3-2】大区&amp;运营中心填-房间模型价'!$H:$AM,2,0)</f>
        <v>B</v>
      </c>
    </row>
    <row r="21" ht="16.2" spans="1:16">
      <c r="A21" s="23"/>
      <c r="B21" s="24" t="s">
        <v>758</v>
      </c>
      <c r="C21" s="25">
        <f>VLOOKUP(C19,'【3-2】大区&amp;运营中心填-房间模型价'!$H:$AM,32,0)</f>
        <v>2178</v>
      </c>
      <c r="D21" s="25">
        <f>VLOOKUP(D19,'【3-2】大区&amp;运营中心填-房间模型价'!$H:$AM,32,0)</f>
        <v>1468</v>
      </c>
      <c r="E21" s="25">
        <f>VLOOKUP(E19,'【3-2】大区&amp;运营中心填-房间模型价'!$H:$AM,32,0)</f>
        <v>1468</v>
      </c>
      <c r="F21" s="25">
        <f>VLOOKUP(F19,'【3-2】大区&amp;运营中心填-房间模型价'!$H:$AM,32,0)</f>
        <v>2050</v>
      </c>
      <c r="G21" s="25">
        <f>VLOOKUP(G19,'【3-2】大区&amp;运营中心填-房间模型价'!$H:$AM,32,0)</f>
        <v>2080</v>
      </c>
      <c r="H21" s="25">
        <f>VLOOKUP(H19,'【3-2】大区&amp;运营中心填-房间模型价'!$H:$AM,32,0)</f>
        <v>1528</v>
      </c>
      <c r="I21" s="25">
        <f>VLOOKUP(I19,'【3-2】大区&amp;运营中心填-房间模型价'!$H:$AM,32,0)</f>
        <v>1468</v>
      </c>
      <c r="J21" s="25">
        <f>VLOOKUP(J19,'【3-2】大区&amp;运营中心填-房间模型价'!$H:$AM,32,0)</f>
        <v>1468</v>
      </c>
      <c r="K21" s="25">
        <f>VLOOKUP(K19,'【3-2】大区&amp;运营中心填-房间模型价'!$H:$AM,32,0)</f>
        <v>2318</v>
      </c>
      <c r="L21" s="25">
        <f>VLOOKUP(L19,'【3-2】大区&amp;运营中心填-房间模型价'!$H:$AM,32,0)</f>
        <v>1468</v>
      </c>
      <c r="M21" s="25">
        <f>VLOOKUP(M19,'【3-2】大区&amp;运营中心填-房间模型价'!$H:$AM,32,0)</f>
        <v>1468</v>
      </c>
      <c r="N21" s="25">
        <f>VLOOKUP(N19,'【3-2】大区&amp;运营中心填-房间模型价'!$H:$AM,32,0)</f>
        <v>1468</v>
      </c>
      <c r="O21" s="25">
        <f>VLOOKUP(O19,'【3-2】大区&amp;运营中心填-房间模型价'!$H:$AM,32,0)</f>
        <v>2268</v>
      </c>
      <c r="P21" s="25">
        <f>VLOOKUP(P19,'【3-2】大区&amp;运营中心填-房间模型价'!$H:$AM,32,0)</f>
        <v>2268</v>
      </c>
    </row>
    <row r="22" ht="17.4" spans="1:16">
      <c r="A22" s="26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ht="16.2" spans="1:16">
      <c r="A23" s="20" t="s">
        <v>763</v>
      </c>
      <c r="B23" s="21" t="s">
        <v>757</v>
      </c>
      <c r="C23" s="29">
        <v>701</v>
      </c>
      <c r="D23" s="29">
        <v>702</v>
      </c>
      <c r="E23" s="29">
        <v>703</v>
      </c>
      <c r="F23" s="29">
        <v>704</v>
      </c>
      <c r="G23" s="29">
        <v>705</v>
      </c>
      <c r="H23" s="29">
        <v>706</v>
      </c>
      <c r="I23" s="29">
        <v>707</v>
      </c>
      <c r="J23" s="29">
        <v>708</v>
      </c>
      <c r="K23" s="29">
        <v>709</v>
      </c>
      <c r="L23" s="29">
        <v>710</v>
      </c>
      <c r="M23" s="29">
        <v>711</v>
      </c>
      <c r="N23" s="29">
        <v>712</v>
      </c>
      <c r="O23" s="29">
        <v>713</v>
      </c>
      <c r="P23" s="29">
        <v>714</v>
      </c>
    </row>
    <row r="24" ht="16.2" spans="1:16">
      <c r="A24" s="20"/>
      <c r="B24" s="21" t="s">
        <v>359</v>
      </c>
      <c r="C24" s="25" t="str">
        <f>VLOOKUP(C23,'【3-2】大区&amp;运营中心填-房间模型价'!$H:$AM,2,0)</f>
        <v>B</v>
      </c>
      <c r="D24" s="25" t="str">
        <f>VLOOKUP(D23,'【3-2】大区&amp;运营中心填-房间模型价'!$H:$AM,2,0)</f>
        <v>A</v>
      </c>
      <c r="E24" s="25" t="str">
        <f>VLOOKUP(E23,'【3-2】大区&amp;运营中心填-房间模型价'!$H:$AM,2,0)</f>
        <v>A</v>
      </c>
      <c r="F24" s="25" t="str">
        <f>VLOOKUP(F23,'【3-2】大区&amp;运营中心填-房间模型价'!$H:$AM,2,0)</f>
        <v>B</v>
      </c>
      <c r="G24" s="25" t="str">
        <f>VLOOKUP(G23,'【3-2】大区&amp;运营中心填-房间模型价'!$H:$AM,2,0)</f>
        <v>C</v>
      </c>
      <c r="H24" s="25" t="str">
        <f>VLOOKUP(H23,'【3-2】大区&amp;运营中心填-房间模型价'!$H:$AM,2,0)</f>
        <v>D</v>
      </c>
      <c r="I24" s="25" t="str">
        <f>VLOOKUP(I23,'【3-2】大区&amp;运营中心填-房间模型价'!$H:$AM,2,0)</f>
        <v>A</v>
      </c>
      <c r="J24" s="25" t="str">
        <f>VLOOKUP(J23,'【3-2】大区&amp;运营中心填-房间模型价'!$H:$AM,2,0)</f>
        <v>A</v>
      </c>
      <c r="K24" s="25" t="str">
        <f>VLOOKUP(K23,'【3-2】大区&amp;运营中心填-房间模型价'!$H:$AM,2,0)</f>
        <v>E</v>
      </c>
      <c r="L24" s="25" t="str">
        <f>VLOOKUP(L23,'【3-2】大区&amp;运营中心填-房间模型价'!$H:$AM,2,0)</f>
        <v>A</v>
      </c>
      <c r="M24" s="25" t="str">
        <f>VLOOKUP(M23,'【3-2】大区&amp;运营中心填-房间模型价'!$H:$AM,2,0)</f>
        <v>A</v>
      </c>
      <c r="N24" s="25" t="str">
        <f>VLOOKUP(N23,'【3-2】大区&amp;运营中心填-房间模型价'!$H:$AM,2,0)</f>
        <v>D</v>
      </c>
      <c r="O24" s="25" t="str">
        <f>VLOOKUP(O23,'【3-2】大区&amp;运营中心填-房间模型价'!$H:$AM,2,0)</f>
        <v>C</v>
      </c>
      <c r="P24" s="25" t="str">
        <f>VLOOKUP(P23,'【3-2】大区&amp;运营中心填-房间模型价'!$H:$AM,2,0)</f>
        <v>B</v>
      </c>
    </row>
    <row r="25" ht="16.2" spans="1:16">
      <c r="A25" s="23"/>
      <c r="B25" s="24" t="s">
        <v>758</v>
      </c>
      <c r="C25" s="25">
        <f>VLOOKUP(C23,'【3-2】大区&amp;运营中心填-房间模型价'!$H:$AM,32,0)</f>
        <v>2208</v>
      </c>
      <c r="D25" s="25">
        <f>VLOOKUP(D23,'【3-2】大区&amp;运营中心填-房间模型价'!$H:$AM,32,0)</f>
        <v>1488</v>
      </c>
      <c r="E25" s="25">
        <f>VLOOKUP(E23,'【3-2】大区&amp;运营中心填-房间模型价'!$H:$AM,32,0)</f>
        <v>1488</v>
      </c>
      <c r="F25" s="25">
        <f>VLOOKUP(F23,'【3-2】大区&amp;运营中心填-房间模型价'!$H:$AM,32,0)</f>
        <v>2050</v>
      </c>
      <c r="G25" s="25">
        <f>VLOOKUP(G23,'【3-2】大区&amp;运营中心填-房间模型价'!$H:$AM,32,0)</f>
        <v>2080</v>
      </c>
      <c r="H25" s="25">
        <f>VLOOKUP(H23,'【3-2】大区&amp;运营中心填-房间模型价'!$H:$AM,32,0)</f>
        <v>1548</v>
      </c>
      <c r="I25" s="25">
        <f>VLOOKUP(I23,'【3-2】大区&amp;运营中心填-房间模型价'!$H:$AM,32,0)</f>
        <v>1488</v>
      </c>
      <c r="J25" s="25">
        <f>VLOOKUP(J23,'【3-2】大区&amp;运营中心填-房间模型价'!$H:$AM,32,0)</f>
        <v>1488</v>
      </c>
      <c r="K25" s="25">
        <f>VLOOKUP(K23,'【3-2】大区&amp;运营中心填-房间模型价'!$H:$AM,32,0)</f>
        <v>2318</v>
      </c>
      <c r="L25" s="25">
        <f>VLOOKUP(L23,'【3-2】大区&amp;运营中心填-房间模型价'!$H:$AM,32,0)</f>
        <v>1488</v>
      </c>
      <c r="M25" s="25">
        <f>VLOOKUP(M23,'【3-2】大区&amp;运营中心填-房间模型价'!$H:$AM,32,0)</f>
        <v>1488</v>
      </c>
      <c r="N25" s="25">
        <f>VLOOKUP(N23,'【3-2】大区&amp;运营中心填-房间模型价'!$H:$AM,32,0)</f>
        <v>1488</v>
      </c>
      <c r="O25" s="25">
        <f>VLOOKUP(O23,'【3-2】大区&amp;运营中心填-房间模型价'!$H:$AM,32,0)</f>
        <v>2180</v>
      </c>
      <c r="P25" s="25">
        <f>VLOOKUP(P23,'【3-2】大区&amp;运营中心填-房间模型价'!$H:$AM,32,0)</f>
        <v>2268</v>
      </c>
    </row>
    <row r="26" ht="17.4" spans="1:16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ht="16.2" spans="1:16">
      <c r="A27" s="20" t="s">
        <v>764</v>
      </c>
      <c r="B27" s="21" t="s">
        <v>757</v>
      </c>
      <c r="C27" s="29">
        <v>801</v>
      </c>
      <c r="D27" s="29">
        <v>802</v>
      </c>
      <c r="E27" s="29">
        <v>803</v>
      </c>
      <c r="F27" s="29">
        <v>804</v>
      </c>
      <c r="G27" s="29">
        <v>805</v>
      </c>
      <c r="H27" s="29">
        <v>806</v>
      </c>
      <c r="I27" s="29">
        <v>807</v>
      </c>
      <c r="J27" s="29">
        <v>808</v>
      </c>
      <c r="K27" s="29">
        <v>809</v>
      </c>
      <c r="L27" s="29">
        <v>810</v>
      </c>
      <c r="M27" s="29">
        <v>811</v>
      </c>
      <c r="N27" s="29">
        <v>812</v>
      </c>
      <c r="O27" s="29">
        <v>813</v>
      </c>
      <c r="P27" s="29">
        <v>814</v>
      </c>
    </row>
    <row r="28" ht="16.2" spans="1:16">
      <c r="A28" s="20"/>
      <c r="B28" s="21" t="s">
        <v>359</v>
      </c>
      <c r="C28" s="25" t="str">
        <f>VLOOKUP(C27,'【3-2】大区&amp;运营中心填-房间模型价'!$H:$AM,2,0)</f>
        <v>B</v>
      </c>
      <c r="D28" s="25" t="str">
        <f>VLOOKUP(D27,'【3-2】大区&amp;运营中心填-房间模型价'!$H:$AM,2,0)</f>
        <v>A</v>
      </c>
      <c r="E28" s="25" t="str">
        <f>VLOOKUP(E27,'【3-2】大区&amp;运营中心填-房间模型价'!$H:$AM,2,0)</f>
        <v>A</v>
      </c>
      <c r="F28" s="25" t="str">
        <f>VLOOKUP(F27,'【3-2】大区&amp;运营中心填-房间模型价'!$H:$AM,2,0)</f>
        <v>B</v>
      </c>
      <c r="G28" s="25" t="str">
        <f>VLOOKUP(G27,'【3-2】大区&amp;运营中心填-房间模型价'!$H:$AM,2,0)</f>
        <v>C</v>
      </c>
      <c r="H28" s="25" t="str">
        <f>VLOOKUP(H27,'【3-2】大区&amp;运营中心填-房间模型价'!$H:$AM,2,0)</f>
        <v>D</v>
      </c>
      <c r="I28" s="25" t="str">
        <f>VLOOKUP(I27,'【3-2】大区&amp;运营中心填-房间模型价'!$H:$AM,2,0)</f>
        <v>A</v>
      </c>
      <c r="J28" s="25" t="str">
        <f>VLOOKUP(J27,'【3-2】大区&amp;运营中心填-房间模型价'!$H:$AM,2,0)</f>
        <v>A</v>
      </c>
      <c r="K28" s="25" t="str">
        <f>VLOOKUP(K27,'【3-2】大区&amp;运营中心填-房间模型价'!$H:$AM,2,0)</f>
        <v>E</v>
      </c>
      <c r="L28" s="25" t="str">
        <f>VLOOKUP(L27,'【3-2】大区&amp;运营中心填-房间模型价'!$H:$AM,2,0)</f>
        <v>A</v>
      </c>
      <c r="M28" s="25" t="str">
        <f>VLOOKUP(M27,'【3-2】大区&amp;运营中心填-房间模型价'!$H:$AM,2,0)</f>
        <v>A</v>
      </c>
      <c r="N28" s="25" t="str">
        <f>VLOOKUP(N27,'【3-2】大区&amp;运营中心填-房间模型价'!$H:$AM,2,0)</f>
        <v>D</v>
      </c>
      <c r="O28" s="25" t="str">
        <f>VLOOKUP(O27,'【3-2】大区&amp;运营中心填-房间模型价'!$H:$AM,2,0)</f>
        <v>C</v>
      </c>
      <c r="P28" s="25" t="str">
        <f>VLOOKUP(P27,'【3-2】大区&amp;运营中心填-房间模型价'!$H:$AM,2,0)</f>
        <v>B</v>
      </c>
    </row>
    <row r="29" ht="16.2" spans="1:16">
      <c r="A29" s="23"/>
      <c r="B29" s="24" t="s">
        <v>758</v>
      </c>
      <c r="C29" s="25">
        <f>VLOOKUP(C27,'【3-2】大区&amp;运营中心填-房间模型价'!$H:$AM,32,0)</f>
        <v>2298</v>
      </c>
      <c r="D29" s="25">
        <f>VLOOKUP(D27,'【3-2】大区&amp;运营中心填-房间模型价'!$H:$AM,32,0)</f>
        <v>1488</v>
      </c>
      <c r="E29" s="25">
        <f>VLOOKUP(E27,'【3-2】大区&amp;运营中心填-房间模型价'!$H:$AM,32,0)</f>
        <v>1488</v>
      </c>
      <c r="F29" s="25">
        <f>VLOOKUP(F27,'【3-2】大区&amp;运营中心填-房间模型价'!$H:$AM,32,0)</f>
        <v>2200</v>
      </c>
      <c r="G29" s="25">
        <f>VLOOKUP(G27,'【3-2】大区&amp;运营中心填-房间模型价'!$H:$AM,32,0)</f>
        <v>2150</v>
      </c>
      <c r="H29" s="25">
        <f>VLOOKUP(H27,'【3-2】大区&amp;运营中心填-房间模型价'!$H:$AM,32,0)</f>
        <v>1548</v>
      </c>
      <c r="I29" s="25">
        <f>VLOOKUP(I27,'【3-2】大区&amp;运营中心填-房间模型价'!$H:$AM,32,0)</f>
        <v>1488</v>
      </c>
      <c r="J29" s="25">
        <f>VLOOKUP(J27,'【3-2】大区&amp;运营中心填-房间模型价'!$H:$AM,32,0)</f>
        <v>1488</v>
      </c>
      <c r="K29" s="25">
        <f>VLOOKUP(K27,'【3-2】大区&amp;运营中心填-房间模型价'!$H:$AM,32,0)</f>
        <v>2348</v>
      </c>
      <c r="L29" s="25">
        <f>VLOOKUP(L27,'【3-2】大区&amp;运营中心填-房间模型价'!$H:$AM,32,0)</f>
        <v>1488</v>
      </c>
      <c r="M29" s="25">
        <f>VLOOKUP(M27,'【3-2】大区&amp;运营中心填-房间模型价'!$H:$AM,32,0)</f>
        <v>1488</v>
      </c>
      <c r="N29" s="25">
        <f>VLOOKUP(N27,'【3-2】大区&amp;运营中心填-房间模型价'!$H:$AM,32,0)</f>
        <v>1488</v>
      </c>
      <c r="O29" s="25">
        <f>VLOOKUP(O27,'【3-2】大区&amp;运营中心填-房间模型价'!$H:$AM,32,0)</f>
        <v>2298</v>
      </c>
      <c r="P29" s="25">
        <f>VLOOKUP(P27,'【3-2】大区&amp;运营中心填-房间模型价'!$H:$AM,32,0)</f>
        <v>2298</v>
      </c>
    </row>
    <row r="30" ht="17.4" spans="1:16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ht="16.2" spans="1:16">
      <c r="A31" s="20" t="s">
        <v>765</v>
      </c>
      <c r="B31" s="21" t="s">
        <v>757</v>
      </c>
      <c r="C31" s="29">
        <v>901</v>
      </c>
      <c r="D31" s="29">
        <v>902</v>
      </c>
      <c r="E31" s="29">
        <v>903</v>
      </c>
      <c r="F31" s="29">
        <v>904</v>
      </c>
      <c r="G31" s="29">
        <v>905</v>
      </c>
      <c r="H31" s="29">
        <v>906</v>
      </c>
      <c r="I31" s="29">
        <v>907</v>
      </c>
      <c r="J31" s="29">
        <v>908</v>
      </c>
      <c r="K31" s="29">
        <v>909</v>
      </c>
      <c r="L31" s="29">
        <v>910</v>
      </c>
      <c r="M31" s="29">
        <v>911</v>
      </c>
      <c r="N31" s="29">
        <v>912</v>
      </c>
      <c r="O31" s="29">
        <v>913</v>
      </c>
      <c r="P31" s="29">
        <v>914</v>
      </c>
    </row>
    <row r="32" ht="16.2" spans="1:16">
      <c r="A32" s="20"/>
      <c r="B32" s="21" t="s">
        <v>359</v>
      </c>
      <c r="C32" s="25" t="str">
        <f>VLOOKUP(C31,'【3-2】大区&amp;运营中心填-房间模型价'!$H:$AM,2,0)</f>
        <v>B</v>
      </c>
      <c r="D32" s="25" t="str">
        <f>VLOOKUP(D31,'【3-2】大区&amp;运营中心填-房间模型价'!$H:$AM,2,0)</f>
        <v>A</v>
      </c>
      <c r="E32" s="25" t="str">
        <f>VLOOKUP(E31,'【3-2】大区&amp;运营中心填-房间模型价'!$H:$AM,2,0)</f>
        <v>A</v>
      </c>
      <c r="F32" s="25" t="str">
        <f>VLOOKUP(F31,'【3-2】大区&amp;运营中心填-房间模型价'!$H:$AM,2,0)</f>
        <v>B</v>
      </c>
      <c r="G32" s="25" t="str">
        <f>VLOOKUP(G31,'【3-2】大区&amp;运营中心填-房间模型价'!$H:$AM,2,0)</f>
        <v>C</v>
      </c>
      <c r="H32" s="25" t="str">
        <f>VLOOKUP(H31,'【3-2】大区&amp;运营中心填-房间模型价'!$H:$AM,2,0)</f>
        <v>D</v>
      </c>
      <c r="I32" s="25" t="str">
        <f>VLOOKUP(I31,'【3-2】大区&amp;运营中心填-房间模型价'!$H:$AM,2,0)</f>
        <v>A</v>
      </c>
      <c r="J32" s="25" t="str">
        <f>VLOOKUP(J31,'【3-2】大区&amp;运营中心填-房间模型价'!$H:$AM,2,0)</f>
        <v>A</v>
      </c>
      <c r="K32" s="25" t="str">
        <f>VLOOKUP(K31,'【3-2】大区&amp;运营中心填-房间模型价'!$H:$AM,2,0)</f>
        <v>E</v>
      </c>
      <c r="L32" s="25" t="str">
        <f>VLOOKUP(L31,'【3-2】大区&amp;运营中心填-房间模型价'!$H:$AM,2,0)</f>
        <v>A</v>
      </c>
      <c r="M32" s="25" t="str">
        <f>VLOOKUP(M31,'【3-2】大区&amp;运营中心填-房间模型价'!$H:$AM,2,0)</f>
        <v>A</v>
      </c>
      <c r="N32" s="25" t="str">
        <f>VLOOKUP(N31,'【3-2】大区&amp;运营中心填-房间模型价'!$H:$AM,2,0)</f>
        <v>D</v>
      </c>
      <c r="O32" s="25" t="str">
        <f>VLOOKUP(O31,'【3-2】大区&amp;运营中心填-房间模型价'!$H:$AM,2,0)</f>
        <v>C</v>
      </c>
      <c r="P32" s="25" t="str">
        <f>VLOOKUP(P31,'【3-2】大区&amp;运营中心填-房间模型价'!$H:$AM,2,0)</f>
        <v>B</v>
      </c>
    </row>
    <row r="33" ht="16.2" spans="1:16">
      <c r="A33" s="23"/>
      <c r="B33" s="24" t="s">
        <v>758</v>
      </c>
      <c r="C33" s="25">
        <f>VLOOKUP(C31,'【3-2】大区&amp;运营中心填-房间模型价'!$H:$AM,32,0)</f>
        <v>2298</v>
      </c>
      <c r="D33" s="25">
        <f>VLOOKUP(D31,'【3-2】大区&amp;运营中心填-房间模型价'!$H:$AM,32,0)</f>
        <v>1508</v>
      </c>
      <c r="E33" s="25">
        <f>VLOOKUP(E31,'【3-2】大区&amp;运营中心填-房间模型价'!$H:$AM,32,0)</f>
        <v>1508</v>
      </c>
      <c r="F33" s="25">
        <f>VLOOKUP(F31,'【3-2】大区&amp;运营中心填-房间模型价'!$H:$AM,32,0)</f>
        <v>2150</v>
      </c>
      <c r="G33" s="25">
        <f>VLOOKUP(G31,'【3-2】大区&amp;运营中心填-房间模型价'!$H:$AM,32,0)</f>
        <v>2180</v>
      </c>
      <c r="H33" s="25">
        <f>VLOOKUP(H31,'【3-2】大区&amp;运营中心填-房间模型价'!$H:$AM,32,0)</f>
        <v>1558</v>
      </c>
      <c r="I33" s="25">
        <f>VLOOKUP(I31,'【3-2】大区&amp;运营中心填-房间模型价'!$H:$AM,32,0)</f>
        <v>1498</v>
      </c>
      <c r="J33" s="25">
        <f>VLOOKUP(J31,'【3-2】大区&amp;运营中心填-房间模型价'!$H:$AM,32,0)</f>
        <v>1498</v>
      </c>
      <c r="K33" s="25">
        <f>VLOOKUP(K31,'【3-2】大区&amp;运营中心填-房间模型价'!$H:$AM,32,0)</f>
        <v>2348</v>
      </c>
      <c r="L33" s="25">
        <f>VLOOKUP(L31,'【3-2】大区&amp;运营中心填-房间模型价'!$H:$AM,32,0)</f>
        <v>1498</v>
      </c>
      <c r="M33" s="25">
        <f>VLOOKUP(M31,'【3-2】大区&amp;运营中心填-房间模型价'!$H:$AM,32,0)</f>
        <v>1498</v>
      </c>
      <c r="N33" s="25">
        <f>VLOOKUP(N31,'【3-2】大区&amp;运营中心填-房间模型价'!$H:$AM,32,0)</f>
        <v>1498</v>
      </c>
      <c r="O33" s="25">
        <f>VLOOKUP(O31,'【3-2】大区&amp;运营中心填-房间模型价'!$H:$AM,32,0)</f>
        <v>2298</v>
      </c>
      <c r="P33" s="25">
        <f>VLOOKUP(P31,'【3-2】大区&amp;运营中心填-房间模型价'!$H:$AM,32,0)</f>
        <v>2298</v>
      </c>
    </row>
    <row r="34" ht="17.4" spans="1:16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ht="16.2" spans="1:16">
      <c r="A35" s="20" t="s">
        <v>766</v>
      </c>
      <c r="B35" s="21" t="s">
        <v>757</v>
      </c>
      <c r="C35" s="29">
        <v>1001</v>
      </c>
      <c r="D35" s="29">
        <v>1002</v>
      </c>
      <c r="E35" s="29">
        <v>1003</v>
      </c>
      <c r="F35" s="29">
        <v>1004</v>
      </c>
      <c r="G35" s="29">
        <v>1005</v>
      </c>
      <c r="H35" s="29">
        <v>1006</v>
      </c>
      <c r="I35" s="29">
        <v>1007</v>
      </c>
      <c r="J35" s="29">
        <v>1008</v>
      </c>
      <c r="K35" s="29">
        <v>1009</v>
      </c>
      <c r="L35" s="29">
        <v>1010</v>
      </c>
      <c r="M35" s="29">
        <v>1011</v>
      </c>
      <c r="N35" s="29">
        <v>1012</v>
      </c>
      <c r="O35" s="29">
        <v>1013</v>
      </c>
      <c r="P35" s="29">
        <v>1014</v>
      </c>
    </row>
    <row r="36" ht="16.2" spans="1:16">
      <c r="A36" s="20"/>
      <c r="B36" s="21" t="s">
        <v>359</v>
      </c>
      <c r="C36" s="25" t="str">
        <f>VLOOKUP(C35,'【3-2】大区&amp;运营中心填-房间模型价'!$H:$AM,2,0)</f>
        <v>B</v>
      </c>
      <c r="D36" s="25" t="str">
        <f>VLOOKUP(D35,'【3-2】大区&amp;运营中心填-房间模型价'!$H:$AM,2,0)</f>
        <v>A</v>
      </c>
      <c r="E36" s="25" t="str">
        <f>VLOOKUP(E35,'【3-2】大区&amp;运营中心填-房间模型价'!$H:$AM,2,0)</f>
        <v>A</v>
      </c>
      <c r="F36" s="25" t="str">
        <f>VLOOKUP(F35,'【3-2】大区&amp;运营中心填-房间模型价'!$H:$AM,2,0)</f>
        <v>B</v>
      </c>
      <c r="G36" s="25" t="str">
        <f>VLOOKUP(G35,'【3-2】大区&amp;运营中心填-房间模型价'!$H:$AM,2,0)</f>
        <v>C</v>
      </c>
      <c r="H36" s="25" t="str">
        <f>VLOOKUP(H35,'【3-2】大区&amp;运营中心填-房间模型价'!$H:$AM,2,0)</f>
        <v>D</v>
      </c>
      <c r="I36" s="25" t="str">
        <f>VLOOKUP(I35,'【3-2】大区&amp;运营中心填-房间模型价'!$H:$AM,2,0)</f>
        <v>A</v>
      </c>
      <c r="J36" s="25" t="str">
        <f>VLOOKUP(J35,'【3-2】大区&amp;运营中心填-房间模型价'!$H:$AM,2,0)</f>
        <v>A</v>
      </c>
      <c r="K36" s="25" t="str">
        <f>VLOOKUP(K35,'【3-2】大区&amp;运营中心填-房间模型价'!$H:$AM,2,0)</f>
        <v>E</v>
      </c>
      <c r="L36" s="25" t="str">
        <f>VLOOKUP(L35,'【3-2】大区&amp;运营中心填-房间模型价'!$H:$AM,2,0)</f>
        <v>A</v>
      </c>
      <c r="M36" s="25" t="str">
        <f>VLOOKUP(M35,'【3-2】大区&amp;运营中心填-房间模型价'!$H:$AM,2,0)</f>
        <v>A</v>
      </c>
      <c r="N36" s="25" t="str">
        <f>VLOOKUP(N35,'【3-2】大区&amp;运营中心填-房间模型价'!$H:$AM,2,0)</f>
        <v>D</v>
      </c>
      <c r="O36" s="25" t="str">
        <f>VLOOKUP(O35,'【3-2】大区&amp;运营中心填-房间模型价'!$H:$AM,2,0)</f>
        <v>C</v>
      </c>
      <c r="P36" s="25" t="str">
        <f>VLOOKUP(P35,'【3-2】大区&amp;运营中心填-房间模型价'!$H:$AM,2,0)</f>
        <v>B</v>
      </c>
    </row>
    <row r="37" ht="16.2" spans="1:16">
      <c r="A37" s="23"/>
      <c r="B37" s="24" t="s">
        <v>758</v>
      </c>
      <c r="C37" s="25">
        <f>VLOOKUP(C35,'【3-2】大区&amp;运营中心填-房间模型价'!$H:$AM,32,0)</f>
        <v>2448</v>
      </c>
      <c r="D37" s="25">
        <f>VLOOKUP(D35,'【3-2】大区&amp;运营中心填-房间模型价'!$H:$AM,32,0)</f>
        <v>1498</v>
      </c>
      <c r="E37" s="25">
        <f>VLOOKUP(E35,'【3-2】大区&amp;运营中心填-房间模型价'!$H:$AM,32,0)</f>
        <v>1498</v>
      </c>
      <c r="F37" s="25">
        <f>VLOOKUP(F35,'【3-2】大区&amp;运营中心填-房间模型价'!$H:$AM,32,0)</f>
        <v>2150</v>
      </c>
      <c r="G37" s="25">
        <f>VLOOKUP(G35,'【3-2】大区&amp;运营中心填-房间模型价'!$H:$AM,32,0)</f>
        <v>2200</v>
      </c>
      <c r="H37" s="25">
        <f>VLOOKUP(H35,'【3-2】大区&amp;运营中心填-房间模型价'!$H:$AM,32,0)</f>
        <v>1558</v>
      </c>
      <c r="I37" s="25">
        <f>VLOOKUP(I35,'【3-2】大区&amp;运营中心填-房间模型价'!$H:$AM,32,0)</f>
        <v>1498</v>
      </c>
      <c r="J37" s="25">
        <f>VLOOKUP(J35,'【3-2】大区&amp;运营中心填-房间模型价'!$H:$AM,32,0)</f>
        <v>1498</v>
      </c>
      <c r="K37" s="25">
        <f>VLOOKUP(K35,'【3-2】大区&amp;运营中心填-房间模型价'!$H:$AM,32,0)</f>
        <v>2498</v>
      </c>
      <c r="L37" s="25">
        <f>VLOOKUP(L35,'【3-2】大区&amp;运营中心填-房间模型价'!$H:$AM,32,0)</f>
        <v>1498</v>
      </c>
      <c r="M37" s="25">
        <f>VLOOKUP(M35,'【3-2】大区&amp;运营中心填-房间模型价'!$H:$AM,32,0)</f>
        <v>1498</v>
      </c>
      <c r="N37" s="25">
        <f>VLOOKUP(N35,'【3-2】大区&amp;运营中心填-房间模型价'!$H:$AM,32,0)</f>
        <v>1558</v>
      </c>
      <c r="O37" s="25">
        <f>VLOOKUP(O35,'【3-2】大区&amp;运营中心填-房间模型价'!$H:$AM,32,0)</f>
        <v>2448</v>
      </c>
      <c r="P37" s="25">
        <f>VLOOKUP(P35,'【3-2】大区&amp;运营中心填-房间模型价'!$H:$AM,32,0)</f>
        <v>2448</v>
      </c>
    </row>
    <row r="38" ht="17.4" spans="1:16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ht="16.2" spans="1:16">
      <c r="A39" s="20" t="s">
        <v>767</v>
      </c>
      <c r="B39" s="21" t="s">
        <v>757</v>
      </c>
      <c r="C39" s="29">
        <v>1101</v>
      </c>
      <c r="D39" s="29">
        <v>1102</v>
      </c>
      <c r="E39" s="29">
        <v>1103</v>
      </c>
      <c r="F39" s="29">
        <v>1104</v>
      </c>
      <c r="G39" s="29">
        <v>1105</v>
      </c>
      <c r="H39" s="29">
        <v>1106</v>
      </c>
      <c r="I39" s="29">
        <v>1107</v>
      </c>
      <c r="J39" s="29">
        <v>1108</v>
      </c>
      <c r="K39" s="29">
        <v>1109</v>
      </c>
      <c r="L39" s="29">
        <v>1110</v>
      </c>
      <c r="M39" s="29">
        <v>1111</v>
      </c>
      <c r="N39" s="29">
        <v>1112</v>
      </c>
      <c r="O39" s="29">
        <v>1113</v>
      </c>
      <c r="P39" s="29">
        <v>1114</v>
      </c>
    </row>
    <row r="40" ht="16.2" spans="1:16">
      <c r="A40" s="20"/>
      <c r="B40" s="21" t="s">
        <v>359</v>
      </c>
      <c r="C40" s="25" t="str">
        <f>VLOOKUP(C39,'【3-2】大区&amp;运营中心填-房间模型价'!$H:$AM,2,0)</f>
        <v>B</v>
      </c>
      <c r="D40" s="25" t="str">
        <f>VLOOKUP(D39,'【3-2】大区&amp;运营中心填-房间模型价'!$H:$AM,2,0)</f>
        <v>A</v>
      </c>
      <c r="E40" s="25" t="str">
        <f>VLOOKUP(E39,'【3-2】大区&amp;运营中心填-房间模型价'!$H:$AM,2,0)</f>
        <v>A</v>
      </c>
      <c r="F40" s="25" t="str">
        <f>VLOOKUP(F39,'【3-2】大区&amp;运营中心填-房间模型价'!$H:$AM,2,0)</f>
        <v>B</v>
      </c>
      <c r="G40" s="25" t="str">
        <f>VLOOKUP(G39,'【3-2】大区&amp;运营中心填-房间模型价'!$H:$AM,2,0)</f>
        <v>C</v>
      </c>
      <c r="H40" s="25" t="str">
        <f>VLOOKUP(H39,'【3-2】大区&amp;运营中心填-房间模型价'!$H:$AM,2,0)</f>
        <v>D</v>
      </c>
      <c r="I40" s="25" t="str">
        <f>VLOOKUP(I39,'【3-2】大区&amp;运营中心填-房间模型价'!$H:$AM,2,0)</f>
        <v>A</v>
      </c>
      <c r="J40" s="25" t="str">
        <f>VLOOKUP(J39,'【3-2】大区&amp;运营中心填-房间模型价'!$H:$AM,2,0)</f>
        <v>A</v>
      </c>
      <c r="K40" s="25" t="str">
        <f>VLOOKUP(K39,'【3-2】大区&amp;运营中心填-房间模型价'!$H:$AM,2,0)</f>
        <v>E</v>
      </c>
      <c r="L40" s="25" t="str">
        <f>VLOOKUP(L39,'【3-2】大区&amp;运营中心填-房间模型价'!$H:$AM,2,0)</f>
        <v>A</v>
      </c>
      <c r="M40" s="25" t="str">
        <f>VLOOKUP(M39,'【3-2】大区&amp;运营中心填-房间模型价'!$H:$AM,2,0)</f>
        <v>A</v>
      </c>
      <c r="N40" s="25" t="str">
        <f>VLOOKUP(N39,'【3-2】大区&amp;运营中心填-房间模型价'!$H:$AM,2,0)</f>
        <v>D</v>
      </c>
      <c r="O40" s="25" t="str">
        <f>VLOOKUP(O39,'【3-2】大区&amp;运营中心填-房间模型价'!$H:$AM,2,0)</f>
        <v>C</v>
      </c>
      <c r="P40" s="25" t="str">
        <f>VLOOKUP(P39,'【3-2】大区&amp;运营中心填-房间模型价'!$H:$AM,2,0)</f>
        <v>B</v>
      </c>
    </row>
    <row r="41" ht="16.2" spans="1:16">
      <c r="A41" s="23"/>
      <c r="B41" s="24" t="s">
        <v>758</v>
      </c>
      <c r="C41" s="25">
        <f>VLOOKUP(C39,'【3-2】大区&amp;运营中心填-房间模型价'!$H:$AM,32,0)</f>
        <v>2448</v>
      </c>
      <c r="D41" s="25">
        <f>VLOOKUP(D39,'【3-2】大区&amp;运营中心填-房间模型价'!$H:$AM,32,0)</f>
        <v>1518</v>
      </c>
      <c r="E41" s="25">
        <f>VLOOKUP(E39,'【3-2】大区&amp;运营中心填-房间模型价'!$H:$AM,32,0)</f>
        <v>1518</v>
      </c>
      <c r="F41" s="25">
        <f>VLOOKUP(F39,'【3-2】大区&amp;运营中心填-房间模型价'!$H:$AM,32,0)</f>
        <v>2200</v>
      </c>
      <c r="G41" s="25">
        <f>VLOOKUP(G39,'【3-2】大区&amp;运营中心填-房间模型价'!$H:$AM,32,0)</f>
        <v>2448</v>
      </c>
      <c r="H41" s="25">
        <f>VLOOKUP(H39,'【3-2】大区&amp;运营中心填-房间模型价'!$H:$AM,32,0)</f>
        <v>1578</v>
      </c>
      <c r="I41" s="25">
        <f>VLOOKUP(I39,'【3-2】大区&amp;运营中心填-房间模型价'!$H:$AM,32,0)</f>
        <v>1518</v>
      </c>
      <c r="J41" s="25">
        <f>VLOOKUP(J39,'【3-2】大区&amp;运营中心填-房间模型价'!$H:$AM,32,0)</f>
        <v>1518</v>
      </c>
      <c r="K41" s="25">
        <f>VLOOKUP(K39,'【3-2】大区&amp;运营中心填-房间模型价'!$H:$AM,32,0)</f>
        <v>2498</v>
      </c>
      <c r="L41" s="25">
        <f>VLOOKUP(L39,'【3-2】大区&amp;运营中心填-房间模型价'!$H:$AM,32,0)</f>
        <v>1518</v>
      </c>
      <c r="M41" s="25">
        <f>VLOOKUP(M39,'【3-2】大区&amp;运营中心填-房间模型价'!$H:$AM,32,0)</f>
        <v>1518</v>
      </c>
      <c r="N41" s="25">
        <f>VLOOKUP(N39,'【3-2】大区&amp;运营中心填-房间模型价'!$H:$AM,32,0)</f>
        <v>1578</v>
      </c>
      <c r="O41" s="25">
        <f>VLOOKUP(O39,'【3-2】大区&amp;运营中心填-房间模型价'!$H:$AM,32,0)</f>
        <v>2448</v>
      </c>
      <c r="P41" s="25">
        <f>VLOOKUP(P39,'【3-2】大区&amp;运营中心填-房间模型价'!$H:$AM,32,0)</f>
        <v>2448</v>
      </c>
    </row>
    <row r="42" ht="17.4" spans="1:16">
      <c r="A42" s="26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ht="16.2" spans="1:16">
      <c r="A43" s="20" t="s">
        <v>768</v>
      </c>
      <c r="B43" s="21" t="s">
        <v>757</v>
      </c>
      <c r="C43" s="29">
        <v>1201</v>
      </c>
      <c r="D43" s="29">
        <v>1202</v>
      </c>
      <c r="E43" s="29">
        <v>1203</v>
      </c>
      <c r="F43" s="29">
        <v>1204</v>
      </c>
      <c r="G43" s="29">
        <v>1205</v>
      </c>
      <c r="H43" s="29">
        <v>1206</v>
      </c>
      <c r="I43" s="29">
        <v>1207</v>
      </c>
      <c r="J43" s="29">
        <v>1208</v>
      </c>
      <c r="K43" s="29">
        <v>1209</v>
      </c>
      <c r="L43" s="29">
        <v>1210</v>
      </c>
      <c r="M43" s="29">
        <v>1211</v>
      </c>
      <c r="N43" s="29">
        <v>1212</v>
      </c>
      <c r="O43" s="29"/>
      <c r="P43" s="29"/>
    </row>
    <row r="44" ht="16.2" spans="1:16">
      <c r="A44" s="20"/>
      <c r="B44" s="21" t="s">
        <v>359</v>
      </c>
      <c r="C44" s="25" t="str">
        <f>VLOOKUP(C43,'【3-2】大区&amp;运营中心填-房间模型价'!$H:$AM,2,0)</f>
        <v>A</v>
      </c>
      <c r="D44" s="25" t="str">
        <f>VLOOKUP(D43,'【3-2】大区&amp;运营中心填-房间模型价'!$H:$AM,2,0)</f>
        <v>F</v>
      </c>
      <c r="E44" s="25" t="str">
        <f>VLOOKUP(E43,'【3-2】大区&amp;运营中心填-房间模型价'!$H:$AM,2,0)</f>
        <v>A</v>
      </c>
      <c r="F44" s="25" t="str">
        <f>VLOOKUP(F43,'【3-2】大区&amp;运营中心填-房间模型价'!$H:$AM,2,0)</f>
        <v>G</v>
      </c>
      <c r="G44" s="25" t="str">
        <f>VLOOKUP(G43,'【3-2】大区&amp;运营中心填-房间模型价'!$H:$AM,2,0)</f>
        <v>H</v>
      </c>
      <c r="H44" s="25" t="str">
        <f>VLOOKUP(H43,'【3-2】大区&amp;运营中心填-房间模型价'!$H:$AM,2,0)</f>
        <v>I</v>
      </c>
      <c r="I44" s="25" t="str">
        <f>VLOOKUP(I43,'【3-2】大区&amp;运营中心填-房间模型价'!$H:$AM,2,0)</f>
        <v>J</v>
      </c>
      <c r="J44" s="25" t="str">
        <f>VLOOKUP(J43,'【3-2】大区&amp;运营中心填-房间模型价'!$H:$AM,2,0)</f>
        <v>I</v>
      </c>
      <c r="K44" s="25" t="str">
        <f>VLOOKUP(K43,'【3-2】大区&amp;运营中心填-房间模型价'!$H:$AM,2,0)</f>
        <v>J</v>
      </c>
      <c r="L44" s="25" t="str">
        <f>VLOOKUP(L43,'【3-2】大区&amp;运营中心填-房间模型价'!$H:$AM,2,0)</f>
        <v>I</v>
      </c>
      <c r="M44" s="25" t="str">
        <f>VLOOKUP(M43,'【3-2】大区&amp;运营中心填-房间模型价'!$H:$AM,2,0)</f>
        <v>H</v>
      </c>
      <c r="N44" s="25" t="str">
        <f>VLOOKUP(N43,'【3-2】大区&amp;运营中心填-房间模型价'!$H:$AM,2,0)</f>
        <v>K</v>
      </c>
      <c r="O44" s="25"/>
      <c r="P44" s="25"/>
    </row>
    <row r="45" ht="16.2" spans="1:16">
      <c r="A45" s="23"/>
      <c r="B45" s="24" t="s">
        <v>758</v>
      </c>
      <c r="C45" s="25">
        <f>VLOOKUP(C43,'【3-2】大区&amp;运营中心填-房间模型价'!$H:$AM,32,0)</f>
        <v>1578</v>
      </c>
      <c r="D45" s="25">
        <f>VLOOKUP(D43,'【3-2】大区&amp;运营中心填-房间模型价'!$H:$AM,32,0)</f>
        <v>1518</v>
      </c>
      <c r="E45" s="25">
        <f>VLOOKUP(E43,'【3-2】大区&amp;运营中心填-房间模型价'!$H:$AM,32,0)</f>
        <v>1518</v>
      </c>
      <c r="F45" s="25">
        <f>VLOOKUP(F43,'【3-2】大区&amp;运营中心填-房间模型价'!$H:$AM,32,0)</f>
        <v>2448</v>
      </c>
      <c r="G45" s="25">
        <f>VLOOKUP(G43,'【3-2】大区&amp;运营中心填-房间模型价'!$H:$AM,32,0)</f>
        <v>2448</v>
      </c>
      <c r="H45" s="25">
        <f>VLOOKUP(H43,'【3-2】大区&amp;运营中心填-房间模型价'!$H:$AM,32,0)</f>
        <v>2448</v>
      </c>
      <c r="I45" s="25">
        <f>VLOOKUP(I43,'【3-2】大区&amp;运营中心填-房间模型价'!$H:$AM,32,0)</f>
        <v>1518</v>
      </c>
      <c r="J45" s="25">
        <f>VLOOKUP(J43,'【3-2】大区&amp;运营中心填-房间模型价'!$H:$AM,32,0)</f>
        <v>2300</v>
      </c>
      <c r="K45" s="25">
        <f>VLOOKUP(K43,'【3-2】大区&amp;运营中心填-房间模型价'!$H:$AM,32,0)</f>
        <v>1518</v>
      </c>
      <c r="L45" s="25">
        <f>VLOOKUP(L43,'【3-2】大区&amp;运营中心填-房间模型价'!$H:$AM,32,0)</f>
        <v>2448</v>
      </c>
      <c r="M45" s="25">
        <f>VLOOKUP(M43,'【3-2】大区&amp;运营中心填-房间模型价'!$H:$AM,32,0)</f>
        <v>2448</v>
      </c>
      <c r="N45" s="25">
        <f>VLOOKUP(N43,'【3-2】大区&amp;运营中心填-房间模型价'!$H:$AM,32,0)</f>
        <v>1518</v>
      </c>
      <c r="O45" s="25"/>
      <c r="P45" s="25"/>
    </row>
    <row r="46" ht="17.4" spans="1:16">
      <c r="A46" s="26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ht="16.2" spans="1:16">
      <c r="A47" s="20" t="s">
        <v>769</v>
      </c>
      <c r="B47" s="21" t="s">
        <v>757</v>
      </c>
      <c r="C47" s="29">
        <v>1301</v>
      </c>
      <c r="D47" s="29">
        <v>1302</v>
      </c>
      <c r="E47" s="29">
        <v>1303</v>
      </c>
      <c r="F47" s="29">
        <v>1304</v>
      </c>
      <c r="G47" s="29">
        <v>1305</v>
      </c>
      <c r="H47" s="29">
        <v>1306</v>
      </c>
      <c r="I47" s="29">
        <v>1307</v>
      </c>
      <c r="J47" s="29">
        <v>1308</v>
      </c>
      <c r="K47" s="29">
        <v>1309</v>
      </c>
      <c r="L47" s="29">
        <v>1310</v>
      </c>
      <c r="M47" s="29">
        <v>1311</v>
      </c>
      <c r="N47" s="29">
        <v>1312</v>
      </c>
      <c r="O47" s="29">
        <v>1313</v>
      </c>
      <c r="P47" s="29"/>
    </row>
    <row r="48" ht="16.2" spans="1:16">
      <c r="A48" s="20"/>
      <c r="B48" s="21" t="s">
        <v>359</v>
      </c>
      <c r="C48" s="25" t="str">
        <f>VLOOKUP(C47,'【3-2】大区&amp;运营中心填-房间模型价'!$H:$AM,2,0)</f>
        <v>A</v>
      </c>
      <c r="D48" s="25" t="str">
        <f>VLOOKUP(D47,'【3-2】大区&amp;运营中心填-房间模型价'!$H:$AM,2,0)</f>
        <v>F</v>
      </c>
      <c r="E48" s="25" t="str">
        <f>VLOOKUP(E47,'【3-2】大区&amp;运营中心填-房间模型价'!$H:$AM,2,0)</f>
        <v>A</v>
      </c>
      <c r="F48" s="25" t="str">
        <f>VLOOKUP(F47,'【3-2】大区&amp;运营中心填-房间模型价'!$H:$AM,2,0)</f>
        <v>G</v>
      </c>
      <c r="G48" s="25" t="str">
        <f>VLOOKUP(G47,'【3-2】大区&amp;运营中心填-房间模型价'!$H:$AM,2,0)</f>
        <v>H</v>
      </c>
      <c r="H48" s="25" t="str">
        <f>VLOOKUP(H47,'【3-2】大区&amp;运营中心填-房间模型价'!$H:$AM,2,0)</f>
        <v>I</v>
      </c>
      <c r="I48" s="25" t="str">
        <f>VLOOKUP(I47,'【3-2】大区&amp;运营中心填-房间模型价'!$H:$AM,2,0)</f>
        <v>J</v>
      </c>
      <c r="J48" s="25" t="str">
        <f>VLOOKUP(J47,'【3-2】大区&amp;运营中心填-房间模型价'!$H:$AM,2,0)</f>
        <v>I</v>
      </c>
      <c r="K48" s="25" t="str">
        <f>VLOOKUP(K47,'【3-2】大区&amp;运营中心填-房间模型价'!$H:$AM,2,0)</f>
        <v>J</v>
      </c>
      <c r="L48" s="25" t="str">
        <f>VLOOKUP(L47,'【3-2】大区&amp;运营中心填-房间模型价'!$H:$AM,2,0)</f>
        <v>I</v>
      </c>
      <c r="M48" s="25" t="str">
        <f>VLOOKUP(M47,'【3-2】大区&amp;运营中心填-房间模型价'!$H:$AM,2,0)</f>
        <v>L</v>
      </c>
      <c r="N48" s="25" t="str">
        <f>VLOOKUP(N47,'【3-2】大区&amp;运营中心填-房间模型价'!$H:$AM,2,0)</f>
        <v>K</v>
      </c>
      <c r="O48" s="25" t="str">
        <f>VLOOKUP(O47,'【3-2】大区&amp;运营中心填-房间模型价'!$H:$AM,2,0)</f>
        <v>A</v>
      </c>
      <c r="P48" s="25"/>
    </row>
    <row r="49" ht="16.2" spans="1:16">
      <c r="A49" s="23"/>
      <c r="B49" s="24" t="s">
        <v>758</v>
      </c>
      <c r="C49" s="25">
        <f>VLOOKUP(C47,'【3-2】大区&amp;运营中心填-房间模型价'!$H:$AM,32,0)</f>
        <v>1528</v>
      </c>
      <c r="D49" s="25">
        <f>VLOOKUP(D47,'【3-2】大区&amp;运营中心填-房间模型价'!$H:$AM,32,0)</f>
        <v>1528</v>
      </c>
      <c r="E49" s="25">
        <f>VLOOKUP(E47,'【3-2】大区&amp;运营中心填-房间模型价'!$H:$AM,32,0)</f>
        <v>1528</v>
      </c>
      <c r="F49" s="25">
        <f>VLOOKUP(F47,'【3-2】大区&amp;运营中心填-房间模型价'!$H:$AM,32,0)</f>
        <v>2338</v>
      </c>
      <c r="G49" s="25">
        <f>VLOOKUP(G47,'【3-2】大区&amp;运营中心填-房间模型价'!$H:$AM,32,0)</f>
        <v>2338</v>
      </c>
      <c r="H49" s="25">
        <f>VLOOKUP(H47,'【3-2】大区&amp;运营中心填-房间模型价'!$H:$AM,32,0)</f>
        <v>2338</v>
      </c>
      <c r="I49" s="25">
        <f>VLOOKUP(I47,'【3-2】大区&amp;运营中心填-房间模型价'!$H:$AM,32,0)</f>
        <v>1528</v>
      </c>
      <c r="J49" s="25">
        <f>VLOOKUP(J47,'【3-2】大区&amp;运营中心填-房间模型价'!$H:$AM,32,0)</f>
        <v>2338</v>
      </c>
      <c r="K49" s="25">
        <f>VLOOKUP(K47,'【3-2】大区&amp;运营中心填-房间模型价'!$H:$AM,32,0)</f>
        <v>1528</v>
      </c>
      <c r="L49" s="25">
        <f>VLOOKUP(L47,'【3-2】大区&amp;运营中心填-房间模型价'!$H:$AM,32,0)</f>
        <v>2338</v>
      </c>
      <c r="M49" s="25">
        <f>VLOOKUP(M47,'【3-2】大区&amp;运营中心填-房间模型价'!$H:$AM,32,0)</f>
        <v>1638</v>
      </c>
      <c r="N49" s="25">
        <f>VLOOKUP(N47,'【3-2】大区&amp;运营中心填-房间模型价'!$H:$AM,32,0)</f>
        <v>1528</v>
      </c>
      <c r="O49" s="25">
        <f>VLOOKUP(O47,'【3-2】大区&amp;运营中心填-房间模型价'!$H:$AM,32,0)</f>
        <v>1528</v>
      </c>
      <c r="P49" s="25"/>
    </row>
    <row r="50" ht="17.4" spans="1:16">
      <c r="A50" s="26"/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</sheetData>
  <mergeCells count="13">
    <mergeCell ref="A3:A5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47:A49"/>
    <mergeCell ref="A1:P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M41" sqref="M41"/>
    </sheetView>
  </sheetViews>
  <sheetFormatPr defaultColWidth="9" defaultRowHeight="13.8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3.8"/>
  <cols>
    <col min="2" max="2" width="15.4166666666667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770</v>
      </c>
      <c r="C3" s="5" t="s">
        <v>771</v>
      </c>
      <c r="D3" s="6" t="s">
        <v>772</v>
      </c>
      <c r="E3" s="7" t="s">
        <v>773</v>
      </c>
      <c r="F3" s="8" t="s">
        <v>132</v>
      </c>
      <c r="G3" s="9" t="s">
        <v>774</v>
      </c>
      <c r="H3" s="10" t="s">
        <v>775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776</v>
      </c>
      <c r="C4" s="4" t="s">
        <v>777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778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779</v>
      </c>
      <c r="C7" s="4"/>
      <c r="D7" s="4"/>
      <c r="E7" s="4"/>
      <c r="F7" s="4"/>
      <c r="G7" s="4"/>
      <c r="H7" s="3"/>
      <c r="I7" s="4" t="s">
        <v>779</v>
      </c>
      <c r="J7" s="4"/>
      <c r="K7" s="4"/>
      <c r="L7" s="4"/>
      <c r="M7" s="4"/>
      <c r="N7" s="4" t="s">
        <v>157</v>
      </c>
      <c r="O7" s="3"/>
      <c r="P7" s="4" t="s">
        <v>779</v>
      </c>
      <c r="Q7" s="4"/>
      <c r="R7" s="4"/>
      <c r="S7" s="4"/>
      <c r="T7" s="4"/>
      <c r="U7" s="4" t="s">
        <v>157</v>
      </c>
      <c r="V7" s="3"/>
      <c r="W7" s="4" t="s">
        <v>779</v>
      </c>
      <c r="X7" s="4"/>
      <c r="Y7" s="4"/>
      <c r="Z7" s="4"/>
      <c r="AA7" s="4"/>
      <c r="AB7" s="4" t="s">
        <v>157</v>
      </c>
    </row>
    <row r="8" ht="15.6" spans="2:28">
      <c r="B8" s="4" t="s">
        <v>780</v>
      </c>
      <c r="C8" s="4"/>
      <c r="D8" s="4"/>
      <c r="E8" s="4"/>
      <c r="F8" s="4" t="s">
        <v>157</v>
      </c>
      <c r="G8" s="4"/>
      <c r="H8" s="3"/>
      <c r="I8" s="4" t="s">
        <v>780</v>
      </c>
      <c r="J8" s="4"/>
      <c r="K8" s="4"/>
      <c r="L8" s="4"/>
      <c r="M8" s="4" t="s">
        <v>157</v>
      </c>
      <c r="N8" s="4" t="s">
        <v>157</v>
      </c>
      <c r="O8" s="3"/>
      <c r="P8" s="4" t="s">
        <v>780</v>
      </c>
      <c r="Q8" s="4"/>
      <c r="R8" s="4"/>
      <c r="S8" s="4"/>
      <c r="T8" s="4" t="s">
        <v>157</v>
      </c>
      <c r="U8" s="4" t="s">
        <v>157</v>
      </c>
      <c r="V8" s="3"/>
      <c r="W8" s="4" t="s">
        <v>780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781</v>
      </c>
      <c r="C9" s="4"/>
      <c r="D9" s="4"/>
      <c r="E9" s="4" t="s">
        <v>157</v>
      </c>
      <c r="F9" s="4" t="s">
        <v>386</v>
      </c>
      <c r="G9" s="4"/>
      <c r="H9" s="3"/>
      <c r="I9" s="4" t="s">
        <v>781</v>
      </c>
      <c r="J9" s="4"/>
      <c r="K9" s="4"/>
      <c r="L9" s="4" t="s">
        <v>157</v>
      </c>
      <c r="M9" s="4" t="s">
        <v>157</v>
      </c>
      <c r="N9" s="4" t="s">
        <v>386</v>
      </c>
      <c r="O9" s="3"/>
      <c r="P9" s="4" t="s">
        <v>781</v>
      </c>
      <c r="Q9" s="4"/>
      <c r="R9" s="4"/>
      <c r="S9" s="4" t="s">
        <v>157</v>
      </c>
      <c r="T9" s="4" t="s">
        <v>157</v>
      </c>
      <c r="U9" s="4" t="s">
        <v>386</v>
      </c>
      <c r="V9" s="3"/>
      <c r="W9" s="4" t="s">
        <v>781</v>
      </c>
      <c r="X9" s="4"/>
      <c r="Y9" s="4"/>
      <c r="Z9" s="4" t="s">
        <v>157</v>
      </c>
      <c r="AA9" s="4" t="s">
        <v>157</v>
      </c>
      <c r="AB9" s="4" t="s">
        <v>386</v>
      </c>
    </row>
    <row r="10" ht="15.6" spans="2:28">
      <c r="B10" s="4" t="s">
        <v>782</v>
      </c>
      <c r="C10" s="4"/>
      <c r="D10" s="4" t="s">
        <v>157</v>
      </c>
      <c r="E10" s="4" t="s">
        <v>386</v>
      </c>
      <c r="F10" s="4" t="s">
        <v>63</v>
      </c>
      <c r="G10" s="4"/>
      <c r="H10" s="3"/>
      <c r="I10" s="4" t="s">
        <v>782</v>
      </c>
      <c r="J10" s="4"/>
      <c r="K10" s="4" t="s">
        <v>157</v>
      </c>
      <c r="L10" s="4" t="s">
        <v>157</v>
      </c>
      <c r="M10" s="4" t="s">
        <v>386</v>
      </c>
      <c r="N10" s="4" t="s">
        <v>63</v>
      </c>
      <c r="O10" s="3"/>
      <c r="P10" s="4" t="s">
        <v>782</v>
      </c>
      <c r="Q10" s="4"/>
      <c r="R10" s="4" t="s">
        <v>157</v>
      </c>
      <c r="S10" s="4" t="s">
        <v>157</v>
      </c>
      <c r="T10" s="4" t="s">
        <v>386</v>
      </c>
      <c r="U10" s="4" t="s">
        <v>63</v>
      </c>
      <c r="V10" s="3"/>
      <c r="W10" s="4" t="s">
        <v>782</v>
      </c>
      <c r="X10" s="4"/>
      <c r="Y10" s="4" t="s">
        <v>157</v>
      </c>
      <c r="Z10" s="4" t="s">
        <v>157</v>
      </c>
      <c r="AA10" s="4" t="s">
        <v>386</v>
      </c>
      <c r="AB10" s="4" t="s">
        <v>63</v>
      </c>
    </row>
    <row r="11" ht="15.6" spans="2:28">
      <c r="B11" s="4" t="s">
        <v>783</v>
      </c>
      <c r="C11" s="4" t="s">
        <v>157</v>
      </c>
      <c r="D11" s="4" t="s">
        <v>386</v>
      </c>
      <c r="E11" s="4" t="s">
        <v>63</v>
      </c>
      <c r="F11" s="4" t="s">
        <v>784</v>
      </c>
      <c r="G11" s="4"/>
      <c r="H11" s="3"/>
      <c r="I11" s="4" t="s">
        <v>783</v>
      </c>
      <c r="J11" s="4" t="s">
        <v>157</v>
      </c>
      <c r="K11" s="4" t="s">
        <v>157</v>
      </c>
      <c r="L11" s="4" t="s">
        <v>386</v>
      </c>
      <c r="M11" s="4" t="s">
        <v>63</v>
      </c>
      <c r="N11" s="4" t="s">
        <v>784</v>
      </c>
      <c r="O11" s="3"/>
      <c r="P11" s="4" t="s">
        <v>783</v>
      </c>
      <c r="Q11" s="4" t="s">
        <v>157</v>
      </c>
      <c r="R11" s="4" t="s">
        <v>157</v>
      </c>
      <c r="S11" s="4" t="s">
        <v>386</v>
      </c>
      <c r="T11" s="4" t="s">
        <v>63</v>
      </c>
      <c r="U11" s="4" t="s">
        <v>784</v>
      </c>
      <c r="V11" s="3"/>
      <c r="W11" s="4" t="s">
        <v>783</v>
      </c>
      <c r="X11" s="4" t="s">
        <v>157</v>
      </c>
      <c r="Y11" s="4" t="s">
        <v>157</v>
      </c>
      <c r="Z11" s="4" t="s">
        <v>386</v>
      </c>
      <c r="AA11" s="4" t="s">
        <v>63</v>
      </c>
      <c r="AB11" s="4" t="s">
        <v>784</v>
      </c>
    </row>
    <row r="12" ht="15.6" spans="2:28">
      <c r="B12" s="4" t="s">
        <v>785</v>
      </c>
      <c r="C12" s="4" t="s">
        <v>386</v>
      </c>
      <c r="D12" s="4" t="s">
        <v>63</v>
      </c>
      <c r="E12" s="4" t="s">
        <v>784</v>
      </c>
      <c r="F12" s="9" t="s">
        <v>377</v>
      </c>
      <c r="G12" s="4"/>
      <c r="H12" s="3"/>
      <c r="I12" s="4" t="s">
        <v>785</v>
      </c>
      <c r="J12" s="4" t="s">
        <v>157</v>
      </c>
      <c r="K12" s="4" t="s">
        <v>386</v>
      </c>
      <c r="L12" s="4" t="s">
        <v>63</v>
      </c>
      <c r="M12" s="9" t="s">
        <v>784</v>
      </c>
      <c r="N12" s="4" t="s">
        <v>377</v>
      </c>
      <c r="O12" s="3"/>
      <c r="P12" s="4" t="s">
        <v>785</v>
      </c>
      <c r="Q12" s="4" t="s">
        <v>157</v>
      </c>
      <c r="R12" s="4" t="s">
        <v>386</v>
      </c>
      <c r="S12" s="4" t="s">
        <v>63</v>
      </c>
      <c r="T12" s="9" t="s">
        <v>784</v>
      </c>
      <c r="U12" s="4" t="s">
        <v>377</v>
      </c>
      <c r="V12" s="3"/>
      <c r="W12" s="4" t="s">
        <v>785</v>
      </c>
      <c r="X12" s="4" t="s">
        <v>157</v>
      </c>
      <c r="Y12" s="4" t="s">
        <v>386</v>
      </c>
      <c r="Z12" s="4" t="s">
        <v>63</v>
      </c>
      <c r="AA12" s="9" t="s">
        <v>784</v>
      </c>
      <c r="AB12" s="4" t="s">
        <v>377</v>
      </c>
    </row>
    <row r="13" ht="15.6" spans="2:28">
      <c r="B13" s="4"/>
      <c r="C13" s="4" t="s">
        <v>786</v>
      </c>
      <c r="D13" s="4" t="s">
        <v>787</v>
      </c>
      <c r="E13" s="4" t="s">
        <v>788</v>
      </c>
      <c r="F13" s="4" t="s">
        <v>789</v>
      </c>
      <c r="G13" s="4" t="s">
        <v>790</v>
      </c>
      <c r="H13" s="2"/>
      <c r="I13" s="4"/>
      <c r="J13" s="4" t="s">
        <v>786</v>
      </c>
      <c r="K13" s="4" t="s">
        <v>787</v>
      </c>
      <c r="L13" s="4" t="s">
        <v>788</v>
      </c>
      <c r="M13" s="4" t="s">
        <v>789</v>
      </c>
      <c r="N13" s="4" t="s">
        <v>790</v>
      </c>
      <c r="O13" s="3"/>
      <c r="P13" s="4"/>
      <c r="Q13" s="4" t="s">
        <v>786</v>
      </c>
      <c r="R13" s="4" t="s">
        <v>787</v>
      </c>
      <c r="S13" s="4" t="s">
        <v>788</v>
      </c>
      <c r="T13" s="4" t="s">
        <v>789</v>
      </c>
      <c r="U13" s="4" t="s">
        <v>790</v>
      </c>
      <c r="V13" s="3"/>
      <c r="W13" s="4"/>
      <c r="X13" s="4" t="s">
        <v>786</v>
      </c>
      <c r="Y13" s="4" t="s">
        <v>787</v>
      </c>
      <c r="Z13" s="4" t="s">
        <v>788</v>
      </c>
      <c r="AA13" s="4" t="s">
        <v>789</v>
      </c>
      <c r="AB13" s="4" t="s">
        <v>790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791</v>
      </c>
      <c r="C15" s="14"/>
      <c r="D15" s="14"/>
      <c r="E15" s="14"/>
      <c r="F15" s="14"/>
      <c r="G15" s="14"/>
      <c r="H15" s="3"/>
      <c r="I15" s="15" t="s">
        <v>792</v>
      </c>
      <c r="J15" s="15"/>
      <c r="K15" s="15"/>
      <c r="L15" s="15"/>
      <c r="M15" s="15"/>
      <c r="N15" s="15"/>
      <c r="O15" s="3"/>
      <c r="P15" s="3"/>
      <c r="Q15" s="3"/>
      <c r="R15" s="15" t="s">
        <v>793</v>
      </c>
      <c r="S15" s="15"/>
      <c r="T15" s="3"/>
      <c r="U15" s="3"/>
      <c r="V15" s="3"/>
      <c r="W15" s="3"/>
      <c r="X15" s="3"/>
      <c r="Y15" s="15" t="s">
        <v>794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2" priority="82" operator="between" text="不足">
      <formula>NOT(ISERROR(SEARCH("不足",C3)))</formula>
    </cfRule>
  </conditionalFormatting>
  <conditionalFormatting sqref="C12">
    <cfRule type="containsText" dxfId="2" priority="78" operator="between" text="较差">
      <formula>NOT(ISERROR(SEARCH("较差",C12)))</formula>
    </cfRule>
  </conditionalFormatting>
  <conditionalFormatting sqref="F12">
    <cfRule type="containsText" dxfId="2" priority="34" operator="between" text="较差">
      <formula>NOT(ISERROR(SEARCH("较差",F12)))</formula>
    </cfRule>
  </conditionalFormatting>
  <conditionalFormatting sqref="J12">
    <cfRule type="containsText" dxfId="2" priority="15" operator="between" text="较差">
      <formula>NOT(ISERROR(SEARCH("较差",J12)))</formula>
    </cfRule>
  </conditionalFormatting>
  <conditionalFormatting sqref="M12">
    <cfRule type="containsText" dxfId="2" priority="13" operator="between" text="较差">
      <formula>NOT(ISERROR(SEARCH("较差",M12)))</formula>
    </cfRule>
  </conditionalFormatting>
  <conditionalFormatting sqref="Q12">
    <cfRule type="containsText" dxfId="2" priority="9" operator="between" text="较差">
      <formula>NOT(ISERROR(SEARCH("较差",Q12)))</formula>
    </cfRule>
  </conditionalFormatting>
  <conditionalFormatting sqref="T12">
    <cfRule type="containsText" dxfId="2" priority="7" operator="between" text="较差">
      <formula>NOT(ISERROR(SEARCH("较差",T12)))</formula>
    </cfRule>
  </conditionalFormatting>
  <conditionalFormatting sqref="X12">
    <cfRule type="containsText" dxfId="2" priority="3" operator="between" text="较差">
      <formula>NOT(ISERROR(SEARCH("较差",X12)))</formula>
    </cfRule>
  </conditionalFormatting>
  <conditionalFormatting sqref="AA12">
    <cfRule type="containsText" dxfId="2" priority="1" operator="between" text="较差">
      <formula>NOT(ISERROR(SEARCH("较差",AA12)))</formula>
    </cfRule>
  </conditionalFormatting>
  <conditionalFormatting sqref="C3:G3 C4:C5 F5:G5 C6:G12">
    <cfRule type="containsText" dxfId="3" priority="80" operator="between" text="适中">
      <formula>NOT(ISERROR(SEARCH("适中",C3)))</formula>
    </cfRule>
    <cfRule type="containsText" dxfId="4" priority="81" operator="between" text="差">
      <formula>NOT(ISERROR(SEARCH("差",C3)))</formula>
    </cfRule>
  </conditionalFormatting>
  <conditionalFormatting sqref="C6:G12 C3:G3 C4:C5 F5:G5">
    <cfRule type="containsText" dxfId="5" priority="79" operator="between" text="较优">
      <formula>NOT(ISERROR(SEARCH("较优",C3)))</formula>
    </cfRule>
  </conditionalFormatting>
  <conditionalFormatting sqref="D7:G12">
    <cfRule type="containsText" dxfId="2" priority="77" operator="between" text="较差">
      <formula>NOT(ISERROR(SEARCH("较差",D7)))</formula>
    </cfRule>
  </conditionalFormatting>
  <conditionalFormatting sqref="J7:N12">
    <cfRule type="containsText" dxfId="5" priority="16" operator="between" text="较优">
      <formula>NOT(ISERROR(SEARCH("较优",J7)))</formula>
    </cfRule>
    <cfRule type="containsText" dxfId="3" priority="17" operator="between" text="适中">
      <formula>NOT(ISERROR(SEARCH("适中",J7)))</formula>
    </cfRule>
    <cfRule type="containsText" dxfId="4" priority="18" operator="between" text="差">
      <formula>NOT(ISERROR(SEARCH("差",J7)))</formula>
    </cfRule>
  </conditionalFormatting>
  <conditionalFormatting sqref="K7:N12">
    <cfRule type="containsText" dxfId="2" priority="14" operator="between" text="较差">
      <formula>NOT(ISERROR(SEARCH("较差",K7)))</formula>
    </cfRule>
  </conditionalFormatting>
  <conditionalFormatting sqref="Q7:U12">
    <cfRule type="containsText" dxfId="5" priority="10" operator="between" text="较优">
      <formula>NOT(ISERROR(SEARCH("较优",Q7)))</formula>
    </cfRule>
    <cfRule type="containsText" dxfId="3" priority="11" operator="between" text="适中">
      <formula>NOT(ISERROR(SEARCH("适中",Q7)))</formula>
    </cfRule>
    <cfRule type="containsText" dxfId="4" priority="12" operator="between" text="差">
      <formula>NOT(ISERROR(SEARCH("差",Q7)))</formula>
    </cfRule>
  </conditionalFormatting>
  <conditionalFormatting sqref="R7:U12">
    <cfRule type="containsText" dxfId="2" priority="8" operator="between" text="较差">
      <formula>NOT(ISERROR(SEARCH("较差",R7)))</formula>
    </cfRule>
  </conditionalFormatting>
  <conditionalFormatting sqref="X7:AB12">
    <cfRule type="containsText" dxfId="5" priority="4" operator="between" text="较优">
      <formula>NOT(ISERROR(SEARCH("较优",X7)))</formula>
    </cfRule>
    <cfRule type="containsText" dxfId="3" priority="5" operator="between" text="适中">
      <formula>NOT(ISERROR(SEARCH("适中",X7)))</formula>
    </cfRule>
    <cfRule type="containsText" dxfId="4" priority="6" operator="between" text="差">
      <formula>NOT(ISERROR(SEARCH("差",X7)))</formula>
    </cfRule>
  </conditionalFormatting>
  <conditionalFormatting sqref="Y7:AB12">
    <cfRule type="containsText" dxfId="2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许宏兴</cp:lastModifiedBy>
  <dcterms:created xsi:type="dcterms:W3CDTF">2015-06-14T10:17:00Z</dcterms:created>
  <dcterms:modified xsi:type="dcterms:W3CDTF">2026-02-11T11:17:56Z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989021DD59D24C94B4D252536A727142_13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KSOReadingLayout">
    <vt:bool>false</vt:bool>
  </property>
  <property fmtid="{D5CDD505-2E9C-101B-9397-08002B2CF9AE}" pid="6" name="CalculationRule">
    <vt:i4>0</vt:i4>
  </property>
</Properties>
</file>