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SA\Documents\inventory Report\"/>
    </mc:Choice>
  </mc:AlternateContent>
  <bookViews>
    <workbookView xWindow="0" yWindow="0" windowWidth="28800" windowHeight="12432" activeTab="1"/>
  </bookViews>
  <sheets>
    <sheet name="NJ" sheetId="1" r:id="rId1"/>
    <sheet name="Daily inout" sheetId="9" r:id="rId2"/>
  </sheets>
  <definedNames>
    <definedName name="_xlnm._FilterDatabase" localSheetId="1" hidden="1">'Daily inout'!$Q$1:$Z$22</definedName>
    <definedName name="_xlnm._FilterDatabase" localSheetId="0" hidden="1">NJ!$A$2:$V$71</definedName>
  </definedNames>
  <calcPr calcId="152511"/>
  <pivotCaches>
    <pivotCache cacheId="30" r:id="rId3"/>
    <pivotCache cacheId="3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47" i="1" l="1"/>
  <c r="Q48" i="1" l="1"/>
  <c r="Q47" i="1"/>
  <c r="Q51" i="1"/>
  <c r="G51" i="1"/>
  <c r="P44" i="1"/>
  <c r="F44" i="1"/>
  <c r="Q52" i="1" l="1"/>
  <c r="G52" i="1"/>
  <c r="F36" i="1" l="1"/>
  <c r="Q41" i="1"/>
  <c r="G41" i="1"/>
  <c r="P56" i="1"/>
  <c r="F56" i="1"/>
  <c r="P37" i="1" l="1"/>
  <c r="F37" i="1"/>
  <c r="G37" i="1"/>
  <c r="Q56" i="1" l="1"/>
  <c r="G56" i="1"/>
  <c r="Q44" i="1"/>
  <c r="G44" i="1"/>
  <c r="Q61" i="1"/>
  <c r="G61" i="1"/>
  <c r="P29" i="1" l="1"/>
  <c r="F29" i="1"/>
  <c r="Q37" i="1" l="1"/>
  <c r="S42" i="1" l="1"/>
  <c r="I42" i="1"/>
  <c r="P36" i="1" l="1"/>
  <c r="N47" i="1" l="1"/>
  <c r="O47" i="1"/>
  <c r="E47" i="1"/>
  <c r="F9" i="1" l="1"/>
  <c r="Q12" i="1" l="1"/>
  <c r="G12" i="1"/>
  <c r="N51" i="1" l="1"/>
  <c r="O51" i="1"/>
  <c r="N52" i="1"/>
  <c r="O52" i="1"/>
  <c r="N53" i="1"/>
  <c r="O53" i="1"/>
  <c r="N54" i="1"/>
  <c r="O54" i="1"/>
  <c r="E52" i="1" l="1"/>
  <c r="Q6" i="1" l="1"/>
  <c r="G6" i="1"/>
  <c r="Q66" i="1" l="1"/>
  <c r="G66" i="1"/>
  <c r="Q27" i="1" l="1"/>
  <c r="G27" i="1"/>
  <c r="N48" i="1" l="1"/>
  <c r="O48" i="1"/>
  <c r="N49" i="1"/>
  <c r="O49" i="1"/>
  <c r="E48" i="1"/>
  <c r="E49" i="1" l="1"/>
  <c r="E50" i="1"/>
  <c r="E51" i="1"/>
  <c r="E53" i="1"/>
  <c r="E54" i="1"/>
  <c r="O55" i="1"/>
  <c r="O56" i="1"/>
  <c r="O57" i="1"/>
  <c r="O58" i="1"/>
  <c r="O59" i="1"/>
  <c r="O60" i="1"/>
  <c r="O61" i="1"/>
  <c r="O62" i="1"/>
  <c r="O63" i="1"/>
  <c r="O64" i="1"/>
  <c r="O65" i="1"/>
  <c r="O66" i="1"/>
  <c r="N50" i="1"/>
  <c r="N55" i="1"/>
  <c r="N56" i="1"/>
  <c r="N58" i="1"/>
  <c r="N59" i="1"/>
  <c r="N60" i="1"/>
  <c r="N61" i="1"/>
  <c r="N62" i="1"/>
  <c r="N63" i="1"/>
  <c r="N64" i="1"/>
  <c r="O50" i="1"/>
  <c r="N57" i="1"/>
  <c r="E55" i="1"/>
  <c r="E56" i="1"/>
  <c r="E58" i="1"/>
  <c r="E59" i="1"/>
  <c r="E60" i="1"/>
  <c r="E57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61" i="1"/>
  <c r="E62" i="1"/>
  <c r="E63" i="1"/>
  <c r="E64" i="1"/>
  <c r="E65" i="1"/>
  <c r="E66" i="1"/>
  <c r="E67" i="1"/>
  <c r="E68" i="1"/>
  <c r="E69" i="1"/>
  <c r="E70" i="1"/>
  <c r="E3" i="1"/>
  <c r="N67" i="1" l="1"/>
  <c r="O67" i="1"/>
  <c r="N68" i="1"/>
  <c r="O68" i="1"/>
  <c r="E39" i="1" l="1"/>
  <c r="Q71" i="1" l="1"/>
  <c r="E18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69" i="1"/>
  <c r="O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65" i="1"/>
  <c r="N66" i="1"/>
  <c r="N69" i="1"/>
  <c r="M71" i="1" l="1"/>
  <c r="N70" i="1" l="1"/>
  <c r="O70" i="1"/>
  <c r="J71" i="1" l="1"/>
  <c r="N4" i="1" l="1"/>
  <c r="N5" i="1"/>
  <c r="F71" i="1" l="1"/>
  <c r="N3" i="1" l="1"/>
  <c r="N71" i="1" s="1"/>
  <c r="G71" i="1" l="1"/>
  <c r="T71" i="1" l="1"/>
  <c r="S71" i="1"/>
  <c r="R71" i="1"/>
  <c r="P71" i="1"/>
  <c r="L71" i="1"/>
  <c r="K71" i="1"/>
  <c r="I71" i="1"/>
  <c r="H71" i="1"/>
  <c r="O71" i="1" l="1"/>
</calcChain>
</file>

<file path=xl/sharedStrings.xml><?xml version="1.0" encoding="utf-8"?>
<sst xmlns="http://schemas.openxmlformats.org/spreadsheetml/2006/main" count="382" uniqueCount="171">
  <si>
    <t>Good</t>
  </si>
  <si>
    <t>Damaged</t>
  </si>
  <si>
    <t>Pallet Total</t>
  </si>
  <si>
    <t>Item Code</t>
  </si>
  <si>
    <t>Product</t>
  </si>
  <si>
    <t>Power Class</t>
  </si>
  <si>
    <t>Tariff</t>
  </si>
  <si>
    <t>GTG</t>
  </si>
  <si>
    <t>Pioneer</t>
  </si>
  <si>
    <t>PNCW</t>
  </si>
  <si>
    <t>FNS</t>
  </si>
  <si>
    <t>DGM</t>
  </si>
  <si>
    <t>Good Total</t>
  </si>
  <si>
    <t>Damaged Total</t>
  </si>
  <si>
    <t>REMARK</t>
  </si>
  <si>
    <t>Q.PEAK L G4.2 360</t>
  </si>
  <si>
    <t>Q.PEAK DUO G5.0.1 325</t>
  </si>
  <si>
    <t>Q.PLUS L-G4.2.5.A.F 345</t>
  </si>
  <si>
    <t>Q.PEAK DUO L G5.2.0.V 385</t>
  </si>
  <si>
    <t>Q.PLUS L-G4.2.AF 345</t>
  </si>
  <si>
    <t>Q.PEAK DUO L-G5.2 400</t>
  </si>
  <si>
    <t>PIONEER - 2 Damaged pallets transfer from PNCW (VA) WH to PSS (NJ) WH for inspection</t>
  </si>
  <si>
    <t>Q.PEAK DUO L-G7.2 400</t>
  </si>
  <si>
    <t>Q.PEAK DUO L-G8.2 425</t>
  </si>
  <si>
    <t>Q.PEAK DUO L-G7.2.1.V 400</t>
  </si>
  <si>
    <t>PIONEER - SIP AS OF 03/16/2020 PO# TGC-Hanwha 400W 2.14.2020</t>
  </si>
  <si>
    <t>Q.PEAK DUO L-G8P.3.1/BFG 410</t>
  </si>
  <si>
    <t>Q.PEAK DUO L-G6P.2 420</t>
  </si>
  <si>
    <t xml:space="preserve">PIONEER - SIP AS OF 12/31/2020 True Green Capital PO# TGC-Hanwha 420W 2.14.2020 </t>
  </si>
  <si>
    <t>Q.PEAK DUO L-G6P.3/BFG 415</t>
  </si>
  <si>
    <t>Q.PEAK DUO L-G8.3.1.V420</t>
  </si>
  <si>
    <t>PIONEER - TRANSFER FROM PSSS 1 PALLET 29 PCS (200308_K2_PLKG83_420A_746) FROM NJPO15111003R-RETURN</t>
  </si>
  <si>
    <t>PIONEER - SIP AS OF 5/29/2020 KEARSARGE PO# PO-15; Pioneer damaged pallet ID PLT# 200222_K3_PLKG83_420A_701</t>
  </si>
  <si>
    <t>Q.PEAK DUO L-G8.2 420</t>
  </si>
  <si>
    <t>Q.PEAK DUO XL G10.3/BFG 475</t>
  </si>
  <si>
    <t>Q.PEAK DUO L-G8C.2 430</t>
  </si>
  <si>
    <t>Q.PEAK DUO BLK ML-G9P+.0.3 375</t>
  </si>
  <si>
    <t>Q.PEAK DUO BLK ML-G9P+.0.1 375</t>
  </si>
  <si>
    <t>Q.PEAK DUO XL-G9P.3/BFG 455</t>
  </si>
  <si>
    <t>Q.PEAK DUO XL-G9P.3/BFG.L 455</t>
  </si>
  <si>
    <t>Q.PEAK DUO XL-G10.3/BFG 470</t>
  </si>
  <si>
    <t>Q.PEAK DUO XL-G10B.C 475</t>
  </si>
  <si>
    <t>Q.PEAK DUO XL-G10BC.C 475</t>
  </si>
  <si>
    <t>Q.PEAK DUO XL-G10BC.C 480</t>
  </si>
  <si>
    <t>Q.PEAK DUO XL-G10C.3/BFG 475</t>
  </si>
  <si>
    <t>Q.PEAK DUO XL-G10C.3/BFG 480</t>
  </si>
  <si>
    <t>Q.PEAK DUO XL-G10C.D/BFG 475</t>
  </si>
  <si>
    <t>Q.PEAK DUO XL-G10C.D/BFG 480</t>
  </si>
  <si>
    <t>Q.PRO-G4.1/SC 265</t>
  </si>
  <si>
    <t>Q.PLUS L G4.2. 325</t>
  </si>
  <si>
    <t>Q.PEAK DUO LG8P.3.1/BGT 410</t>
  </si>
  <si>
    <t>Q.PEAK DUO L G5.2.F_A 395</t>
  </si>
  <si>
    <t>Q.PEAK DUO L G5.2.V_A 395</t>
  </si>
  <si>
    <t>PIONEER-1 PLT potential damage : 200621_E1_310100_395A_847 from GA transfer load GA327042341 waiting for QCells further instruction</t>
  </si>
  <si>
    <t>Q.PEAK DUO BLK G5 320</t>
  </si>
  <si>
    <t>Q.PEAK DUO BLK G5.V 320</t>
  </si>
  <si>
    <t>Q.PLUS DUO L G5.2 365</t>
  </si>
  <si>
    <t>30111309-N</t>
  </si>
  <si>
    <t>Q.PLUS L G4.2 340</t>
  </si>
  <si>
    <t>30120023-TP</t>
  </si>
  <si>
    <t>Q.PRO SC G4.1 260</t>
  </si>
  <si>
    <t>694061111227131006PM</t>
  </si>
  <si>
    <t>HSL72P6-PC-3-310Q</t>
  </si>
  <si>
    <t>PIONEER- TRANSFER FROM PSS Non-commercial value</t>
  </si>
  <si>
    <t>Q.PEAK DUO XL G10.3/BFG 470</t>
  </si>
  <si>
    <t>PIONEER - (PSS TRANSFER TO PIONEER)- Return from CHR warehouse 201027_E1_320200_320A_715, 201027_E1_320200_320A_711,  201027_E1_320200_320A_716 all 3 pallets are on hold in Cello under damaged value stock.</t>
  </si>
  <si>
    <t>PIONEER - (PSS TRANSFER TO PIONEER)-Credit for Claim# I17081109978 -  30111309-N - Damaged 3 pallets - 10 pcs ($1,193.40) issued in March's invoice; Pending for Pioneer inbound receipt on 1 plt 29 pcs</t>
  </si>
  <si>
    <t>PIONEER-Damaged (PSS TRANSFER TO PIONEER)</t>
  </si>
  <si>
    <t>PIONEER - 8/9/21 UPDATED SIP TO SIP AS OF 02/28/2021 PO# 5200033001 / CS Energy, LLC (Parma) ONLY 2 PCS DAMAGED</t>
  </si>
  <si>
    <t>Q.PEAK DUO XL G10.3/BFG 480</t>
  </si>
  <si>
    <t>Q.PEAK DUO BLK-G6C+.0.1 340</t>
  </si>
  <si>
    <t>Q.PEAK DUO L-G6C.2 425</t>
  </si>
  <si>
    <t>PIONEER-Repackaging needed for all 4 pallets ON HOLD IN CELLO  (PSS TRANSFER TO PIONEER)</t>
  </si>
  <si>
    <t>PIONEER -  (PSS TRANSFER TO PIONEER) 1 pc totally damaged, SERIAL# 824619166357900706 PALLET ID 190420_K4_PEVF42_345A_7661D;  29 PCS damaged from Amicus, Athens OH.original DO VA4634082903A Pallet ID 190418_K2_PEVF42_345A_740</t>
  </si>
  <si>
    <t>Wattage</t>
  </si>
  <si>
    <t>Q.PEAK DUO XL-G10C.3.1/BFG 480</t>
  </si>
  <si>
    <t>Q.PEAK DUO XL-G10C.3.1/BFG 475</t>
  </si>
  <si>
    <t>DGM - 211004_K3_GXLC13_480A_780 pallet (29pcs damaged) was dropped while being moved within the warehouse</t>
  </si>
  <si>
    <t>PIONEER</t>
  </si>
  <si>
    <t>BOL#</t>
  </si>
  <si>
    <t>Origin</t>
  </si>
  <si>
    <t>Tariff (%)</t>
  </si>
  <si>
    <t>Qty</t>
  </si>
  <si>
    <t>Pallet</t>
  </si>
  <si>
    <t>Pick Up Date</t>
  </si>
  <si>
    <t>Q.PEAK DUO XL-G10C.3/BFG 470</t>
  </si>
  <si>
    <t>Q.PEAK DUO XL-G10C.3.1/BFG 485</t>
  </si>
  <si>
    <t>Unloaded date</t>
  </si>
  <si>
    <t>MBL#</t>
  </si>
  <si>
    <t>HBL #</t>
  </si>
  <si>
    <t>CONT#</t>
  </si>
  <si>
    <t>Model</t>
  </si>
  <si>
    <t>PCS</t>
  </si>
  <si>
    <t>PLT</t>
  </si>
  <si>
    <t>(blank)</t>
  </si>
  <si>
    <t>Grand Total</t>
  </si>
  <si>
    <t>Sum of Qty</t>
  </si>
  <si>
    <t>Sum of Pallet</t>
  </si>
  <si>
    <t>OUT</t>
  </si>
  <si>
    <t>WH</t>
  </si>
  <si>
    <t>Q.PEAK DUO BLK ML-G10.A+ 400</t>
  </si>
  <si>
    <t>Q.PEAK DUO XL-G10C.3/BFG 485</t>
  </si>
  <si>
    <t>Q.PEAK DUO XL-G10C.3.1/BFG 470</t>
  </si>
  <si>
    <t>30397572C</t>
  </si>
  <si>
    <t>DUO BLK ML-G10BC+.0.1 400</t>
  </si>
  <si>
    <t>30390456H</t>
  </si>
  <si>
    <t>PIONEER1475</t>
  </si>
  <si>
    <t>KIMOPO</t>
  </si>
  <si>
    <t>PIONEERNB</t>
  </si>
  <si>
    <t>ONEYSELC10388500</t>
  </si>
  <si>
    <t>PTIK22U02001</t>
  </si>
  <si>
    <t>DUO BLK ML-G10BC.A+/TS 400</t>
  </si>
  <si>
    <t>30390256H</t>
  </si>
  <si>
    <t>4/19-3 pcs (3 different pallet IDs) returned from Empire all damaged</t>
  </si>
  <si>
    <t>CMDUAYN0947412</t>
  </si>
  <si>
    <t>MYNYC2230290</t>
  </si>
  <si>
    <t>NJ0056050201H</t>
  </si>
  <si>
    <t>NJSPT4050201H</t>
  </si>
  <si>
    <t>NJ246S050202H</t>
  </si>
  <si>
    <t>NJ246S050201H</t>
  </si>
  <si>
    <t>NJWOR042901C</t>
  </si>
  <si>
    <t> 14.75</t>
  </si>
  <si>
    <t>pallet split</t>
  </si>
  <si>
    <t>CMAU7693811</t>
  </si>
  <si>
    <t>MAEU216579071</t>
  </si>
  <si>
    <t>PTIK22U02011</t>
  </si>
  <si>
    <t>TCKU7003445</t>
  </si>
  <si>
    <t>MAEU216579245</t>
  </si>
  <si>
    <t>PTIK22U02013</t>
  </si>
  <si>
    <t>FFAU2289240</t>
  </si>
  <si>
    <t>MAEU216579133</t>
  </si>
  <si>
    <t>PTIK22U02012</t>
  </si>
  <si>
    <t>GESU5752279</t>
  </si>
  <si>
    <t>GCXU5205747</t>
  </si>
  <si>
    <t>NJ2059050201H</t>
  </si>
  <si>
    <t>NJVILL050201H</t>
  </si>
  <si>
    <t>NJVILL050202H</t>
  </si>
  <si>
    <t>NJ4PT1050301H</t>
  </si>
  <si>
    <t>NJ4PT1050302H</t>
  </si>
  <si>
    <t>NJSTON050301H</t>
  </si>
  <si>
    <t>NJOTTE050301H</t>
  </si>
  <si>
    <t>NJFOLK050301H</t>
  </si>
  <si>
    <t>NJANDO050301H</t>
  </si>
  <si>
    <t>NJEIGH050301H</t>
  </si>
  <si>
    <t>NJAMPA050301H</t>
  </si>
  <si>
    <t>NJSPT4050301H</t>
  </si>
  <si>
    <t>NJSPT4050302H</t>
  </si>
  <si>
    <t>NJ527S050301H</t>
  </si>
  <si>
    <t>NJ5381S050301H</t>
  </si>
  <si>
    <t>NJPAFL050301H</t>
  </si>
  <si>
    <t>ONEYPKGC09715900</t>
  </si>
  <si>
    <t>SDSMY20220224-02</t>
  </si>
  <si>
    <t>DRYU6020265</t>
  </si>
  <si>
    <t>MOTU6709277</t>
  </si>
  <si>
    <t>TCLU5796732</t>
  </si>
  <si>
    <t>HASU5077573</t>
  </si>
  <si>
    <t>MRSU5425447</t>
  </si>
  <si>
    <t>MTSU9631603</t>
  </si>
  <si>
    <t>TCKU7462362</t>
  </si>
  <si>
    <t>HASU4566775</t>
  </si>
  <si>
    <t>MRSU5440924</t>
  </si>
  <si>
    <t>MSKU0587932</t>
  </si>
  <si>
    <t>MRKU5736791</t>
  </si>
  <si>
    <t>MRKU5754310</t>
  </si>
  <si>
    <t>MRKU6426743</t>
  </si>
  <si>
    <t>MSKU0160128</t>
  </si>
  <si>
    <t>PONU8229107</t>
  </si>
  <si>
    <t>TCLU5567905</t>
  </si>
  <si>
    <t>Row Labels</t>
  </si>
  <si>
    <t>Sum of PCS</t>
  </si>
  <si>
    <t>Sum of 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</si>
</sst>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E26B0A"/>
      <name val="Arial"/>
      <family val="2"/>
    </font>
    <font>
      <sz val="10"/>
      <color rgb="FF7030A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B050"/>
      <name val="Arial"/>
      <family val="2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sz val="10"/>
      <color theme="5" tint="-0.499984740745262"/>
      <name val="Arial"/>
      <family val="2"/>
    </font>
    <font>
      <b/>
      <sz val="9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59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Fill="1" applyBorder="1"/>
    <xf numFmtId="0" fontId="2" fillId="0" borderId="1" xfId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0" fillId="0" borderId="5" xfId="0" applyFill="1" applyBorder="1"/>
    <xf numFmtId="0" fontId="1" fillId="0" borderId="5" xfId="0" applyFont="1" applyFill="1" applyBorder="1"/>
    <xf numFmtId="0" fontId="0" fillId="2" borderId="7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/>
    </xf>
    <xf numFmtId="0" fontId="0" fillId="0" borderId="0" xfId="0" applyBorder="1"/>
    <xf numFmtId="0" fontId="12" fillId="5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14" fontId="0" fillId="0" borderId="0" xfId="0" applyNumberFormat="1" applyAlignment="1">
      <alignment horizontal="left"/>
    </xf>
    <xf numFmtId="0" fontId="10" fillId="6" borderId="11" xfId="0" applyNumberFormat="1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4" fontId="10" fillId="0" borderId="1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10" borderId="13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10" borderId="15" xfId="0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9" fillId="7" borderId="13" xfId="0" applyFont="1" applyFill="1" applyBorder="1" applyAlignment="1">
      <alignment horizontal="center"/>
    </xf>
    <xf numFmtId="14" fontId="0" fillId="0" borderId="0" xfId="0" applyNumberFormat="1" applyBorder="1"/>
    <xf numFmtId="0" fontId="18" fillId="0" borderId="0" xfId="0" applyFont="1" applyFill="1" applyBorder="1" applyAlignment="1">
      <alignment horizontal="center"/>
    </xf>
    <xf numFmtId="0" fontId="20" fillId="0" borderId="1" xfId="0" applyFont="1" applyBorder="1" applyAlignment="1">
      <alignment horizontal="left"/>
    </xf>
    <xf numFmtId="164" fontId="10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7" fillId="3" borderId="6" xfId="3" applyBorder="1" applyAlignment="1">
      <alignment horizontal="center"/>
    </xf>
    <xf numFmtId="0" fontId="7" fillId="3" borderId="2" xfId="3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8" fillId="4" borderId="10" xfId="4" applyBorder="1" applyAlignment="1">
      <alignment horizontal="center"/>
    </xf>
    <xf numFmtId="0" fontId="8" fillId="4" borderId="9" xfId="4" applyBorder="1" applyAlignment="1">
      <alignment horizontal="center"/>
    </xf>
  </cellXfs>
  <cellStyles count="5">
    <cellStyle name="Bad" xfId="4" builtinId="27"/>
    <cellStyle name="Good" xfId="3" builtinId="26"/>
    <cellStyle name="Normal" xfId="0" builtinId="0"/>
    <cellStyle name="Normal 2" xfId="1"/>
    <cellStyle name="표준 2" xfId="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685.629179629628" createdVersion="5" refreshedVersion="5" minRefreshableVersion="3" recordCount="48">
  <cacheSource type="worksheet">
    <worksheetSource ref="A1:G1048576" sheet="Daily inout"/>
  </cacheSource>
  <cacheFields count="7">
    <cacheField name="BOL#" numFmtId="0">
      <sharedItems containsBlank="1" containsMixedTypes="1" containsNumber="1" containsInteger="1" minValue="394731564" maxValue="395267903"/>
    </cacheField>
    <cacheField name="Origin" numFmtId="0">
      <sharedItems containsBlank="1" count="10">
        <s v="PIONEER"/>
        <s v="GTG"/>
        <m/>
        <s v="PIONEER-1665" u="1"/>
        <s v="GTG WH" u="1"/>
        <s v="GTG-201BA" u="1"/>
        <s v="FNS" u="1"/>
        <s v="PIONEER-RT1" u="1"/>
        <s v="PIONEER -1665 Jersey Ave" u="1"/>
        <s v="DGM" u="1"/>
      </sharedItems>
    </cacheField>
    <cacheField name="Item Code" numFmtId="0">
      <sharedItems containsBlank="1" containsMixedTypes="1" containsNumber="1" containsInteger="1" minValue="12005804" maxValue="44103133" count="11">
        <s v="30390456H"/>
        <n v="12005833"/>
        <s v="30397572C"/>
        <m/>
        <n v="12005804" u="1"/>
        <n v="30390371" u="1"/>
        <n v="12005832" u="1"/>
        <n v="30390372" u="1"/>
        <n v="30397571" u="1"/>
        <n v="44103133" u="1"/>
        <n v="30397572" u="1"/>
      </sharedItems>
    </cacheField>
    <cacheField name="Tariff (%)" numFmtId="0">
      <sharedItems containsBlank="1" containsMixedTypes="1" containsNumber="1" minValue="0" maxValue="15"/>
    </cacheField>
    <cacheField name="Qty" numFmtId="0">
      <sharedItems containsString="0" containsBlank="1" containsNumber="1" containsInteger="1" minValue="29" maxValue="864"/>
    </cacheField>
    <cacheField name="Pallet" numFmtId="0">
      <sharedItems containsString="0" containsBlank="1" containsNumber="1" containsInteger="1" minValue="1" maxValue="27"/>
    </cacheField>
    <cacheField name="Pick Up Date" numFmtId="0">
      <sharedItems containsNonDate="0" containsDate="1" containsString="0" containsBlank="1" minDate="2022-03-01T00:00:00" maxDate="2022-05-04T00:00:00" count="48">
        <d v="2022-05-02T00:00:00"/>
        <d v="2022-05-03T00:00:00"/>
        <m/>
        <d v="2022-04-14T00:00:00" u="1"/>
        <d v="2022-03-28T00:00:00" u="1"/>
        <d v="2022-03-02T00:00:00" u="1"/>
        <d v="2022-04-07T00:00:00" u="1"/>
        <d v="2022-03-21T00:00:00" u="1"/>
        <d v="2022-04-26T00:00:00" u="1"/>
        <d v="2022-03-14T00:00:00" u="1"/>
        <d v="2022-04-19T00:00:00" u="1"/>
        <d v="2022-03-07T00:00:00" u="1"/>
        <d v="2022-04-12T00:00:00" u="1"/>
        <d v="2022-04-05T00:00:00" u="1"/>
        <d v="2022-03-31T00:00:00" u="1"/>
        <d v="2022-03-24T00:00:00" u="1"/>
        <d v="2022-04-29T00:00:00" u="1"/>
        <d v="2022-03-17T00:00:00" u="1"/>
        <d v="2022-04-22T00:00:00" u="1"/>
        <d v="2022-03-10T00:00:00" u="1"/>
        <d v="2022-04-15T00:00:00" u="1"/>
        <d v="2022-03-29T00:00:00" u="1"/>
        <d v="2022-03-03T00:00:00" u="1"/>
        <d v="2022-04-08T00:00:00" u="1"/>
        <d v="2022-03-22T00:00:00" u="1"/>
        <d v="2022-04-27T00:00:00" u="1"/>
        <d v="2022-04-01T00:00:00" u="1"/>
        <d v="2022-03-15T00:00:00" u="1"/>
        <d v="2022-04-20T00:00:00" u="1"/>
        <d v="2022-03-08T00:00:00" u="1"/>
        <d v="2022-04-13T00:00:00" u="1"/>
        <d v="2022-03-01T00:00:00" u="1"/>
        <d v="2022-04-06T00:00:00" u="1"/>
        <d v="2022-04-25T00:00:00" u="1"/>
        <d v="2022-04-18T00:00:00" u="1"/>
        <d v="2022-04-11T00:00:00" u="1"/>
        <d v="2022-03-25T00:00:00" u="1"/>
        <d v="2022-04-30T00:00:00" u="1"/>
        <d v="2022-04-04T00:00:00" u="1"/>
        <d v="2022-03-18T00:00:00" u="1"/>
        <d v="2022-04-23T00:00:00" u="1"/>
        <d v="2022-03-11T00:00:00" u="1"/>
        <d v="2022-03-30T00:00:00" u="1"/>
        <d v="2022-03-04T00:00:00" u="1"/>
        <d v="2022-03-23T00:00:00" u="1"/>
        <d v="2022-03-16T00:00:00" u="1"/>
        <d v="2022-04-21T00:00:00" u="1"/>
        <d v="2022-03-09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4685.630510069444" createdVersion="5" refreshedVersion="5" minRefreshableVersion="3" recordCount="32">
  <cacheSource type="worksheet">
    <worksheetSource ref="Q1:Y1048576" sheet="Daily inout"/>
  </cacheSource>
  <cacheFields count="9">
    <cacheField name="MBL#" numFmtId="0">
      <sharedItems containsBlank="1"/>
    </cacheField>
    <cacheField name="HBL #" numFmtId="0">
      <sharedItems containsBlank="1"/>
    </cacheField>
    <cacheField name="CONT#" numFmtId="0">
      <sharedItems containsBlank="1"/>
    </cacheField>
    <cacheField name="Model" numFmtId="0">
      <sharedItems containsBlank="1"/>
    </cacheField>
    <cacheField name="Item Code" numFmtId="0">
      <sharedItems containsBlank="1" containsMixedTypes="1" containsNumber="1" containsInteger="1" minValue="12005832" maxValue="12005832" count="4">
        <n v="12005832"/>
        <s v="30390256H"/>
        <s v="30390456H"/>
        <m/>
      </sharedItems>
    </cacheField>
    <cacheField name="Tariff (%)" numFmtId="0">
      <sharedItems containsString="0" containsBlank="1" containsNumber="1" minValue="0" maxValue="14.75"/>
    </cacheField>
    <cacheField name="PCS" numFmtId="0">
      <sharedItems containsString="0" containsBlank="1" containsNumber="1" containsInteger="1" minValue="600" maxValue="768" count="4">
        <n v="600"/>
        <n v="624"/>
        <n v="768"/>
        <m/>
      </sharedItems>
    </cacheField>
    <cacheField name="PLT" numFmtId="0">
      <sharedItems containsString="0" containsBlank="1" containsNumber="1" containsInteger="1" minValue="20" maxValue="24"/>
    </cacheField>
    <cacheField name="Unloaded date" numFmtId="0">
      <sharedItems containsNonDate="0" containsDate="1" containsString="0" containsBlank="1" minDate="2022-05-02T00:00:00" maxDate="2022-05-04T00:00:00" count="3">
        <d v="2022-05-02T00:00:00"/>
        <d v="2022-05-03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s v="NJ0056050201H"/>
    <x v="0"/>
    <x v="0"/>
    <n v="14.75"/>
    <n v="768"/>
    <n v="24"/>
    <x v="0"/>
  </r>
  <r>
    <s v="NJSPT4050201H"/>
    <x v="0"/>
    <x v="0"/>
    <s v=" 14.75"/>
    <n v="768"/>
    <n v="24"/>
    <x v="0"/>
  </r>
  <r>
    <s v="NJ246S050202H"/>
    <x v="0"/>
    <x v="0"/>
    <n v="14.75"/>
    <n v="832"/>
    <n v="26"/>
    <x v="0"/>
  </r>
  <r>
    <s v="NJ246S050201H"/>
    <x v="0"/>
    <x v="0"/>
    <n v="14.75"/>
    <n v="832"/>
    <n v="26"/>
    <x v="0"/>
  </r>
  <r>
    <s v="NJWOR042901C"/>
    <x v="0"/>
    <x v="1"/>
    <n v="0"/>
    <n v="29"/>
    <n v="1"/>
    <x v="0"/>
  </r>
  <r>
    <n v="394731564"/>
    <x v="1"/>
    <x v="2"/>
    <n v="15"/>
    <n v="580"/>
    <n v="20"/>
    <x v="0"/>
  </r>
  <r>
    <n v="394731611"/>
    <x v="1"/>
    <x v="2"/>
    <n v="15"/>
    <n v="580"/>
    <n v="20"/>
    <x v="0"/>
  </r>
  <r>
    <n v="394731634"/>
    <x v="1"/>
    <x v="2"/>
    <n v="15"/>
    <n v="580"/>
    <n v="20"/>
    <x v="0"/>
  </r>
  <r>
    <n v="394731659"/>
    <x v="1"/>
    <x v="2"/>
    <n v="15"/>
    <n v="580"/>
    <n v="20"/>
    <x v="0"/>
  </r>
  <r>
    <n v="394731679"/>
    <x v="1"/>
    <x v="2"/>
    <n v="15"/>
    <n v="580"/>
    <n v="20"/>
    <x v="0"/>
  </r>
  <r>
    <n v="394731717"/>
    <x v="1"/>
    <x v="2"/>
    <n v="15"/>
    <n v="580"/>
    <n v="20"/>
    <x v="0"/>
  </r>
  <r>
    <n v="394731739"/>
    <x v="1"/>
    <x v="2"/>
    <n v="15"/>
    <n v="580"/>
    <n v="20"/>
    <x v="0"/>
  </r>
  <r>
    <s v="NJ2059050201H"/>
    <x v="0"/>
    <x v="0"/>
    <n v="14.75"/>
    <n v="768"/>
    <n v="24"/>
    <x v="1"/>
  </r>
  <r>
    <s v="NJVILL050201H"/>
    <x v="0"/>
    <x v="0"/>
    <n v="14.75"/>
    <n v="224"/>
    <n v="7"/>
    <x v="1"/>
  </r>
  <r>
    <s v="NJVILL050202H"/>
    <x v="0"/>
    <x v="0"/>
    <n v="14.75"/>
    <n v="224"/>
    <n v="7"/>
    <x v="1"/>
  </r>
  <r>
    <s v="NJ4PT1050301H"/>
    <x v="0"/>
    <x v="0"/>
    <n v="14.75"/>
    <n v="768"/>
    <n v="24"/>
    <x v="1"/>
  </r>
  <r>
    <s v="NJ4PT1050302H"/>
    <x v="0"/>
    <x v="0"/>
    <n v="14.75"/>
    <n v="768"/>
    <n v="24"/>
    <x v="1"/>
  </r>
  <r>
    <s v="NJSTON050301H"/>
    <x v="0"/>
    <x v="0"/>
    <n v="14.75"/>
    <n v="544"/>
    <n v="17"/>
    <x v="1"/>
  </r>
  <r>
    <s v="NJOTTE050301H"/>
    <x v="0"/>
    <x v="0"/>
    <s v=" 14.75"/>
    <n v="864"/>
    <n v="27"/>
    <x v="1"/>
  </r>
  <r>
    <s v="NJFOLK050301H"/>
    <x v="0"/>
    <x v="0"/>
    <n v="14.75"/>
    <n v="608"/>
    <n v="19"/>
    <x v="1"/>
  </r>
  <r>
    <s v="NJANDO050301H"/>
    <x v="0"/>
    <x v="0"/>
    <s v=" 14.75"/>
    <n v="512"/>
    <n v="16"/>
    <x v="1"/>
  </r>
  <r>
    <s v="NJEIGH050301H"/>
    <x v="0"/>
    <x v="0"/>
    <n v="14.75"/>
    <n v="640"/>
    <n v="20"/>
    <x v="1"/>
  </r>
  <r>
    <s v="NJAMPA050301H"/>
    <x v="0"/>
    <x v="0"/>
    <n v="14.75"/>
    <n v="416"/>
    <n v="13"/>
    <x v="1"/>
  </r>
  <r>
    <s v="NJSPT4050301H"/>
    <x v="0"/>
    <x v="0"/>
    <n v="14.75"/>
    <n v="832"/>
    <n v="26"/>
    <x v="1"/>
  </r>
  <r>
    <s v="NJSPT4050302H"/>
    <x v="0"/>
    <x v="0"/>
    <n v="14.75"/>
    <n v="832"/>
    <n v="26"/>
    <x v="1"/>
  </r>
  <r>
    <s v="NJ527S050301H"/>
    <x v="0"/>
    <x v="0"/>
    <n v="14.75"/>
    <n v="768"/>
    <n v="24"/>
    <x v="1"/>
  </r>
  <r>
    <s v="NJ5381S050301H"/>
    <x v="0"/>
    <x v="0"/>
    <n v="14.75"/>
    <n v="768"/>
    <n v="24"/>
    <x v="1"/>
  </r>
  <r>
    <s v="NJPAFL050301H"/>
    <x v="0"/>
    <x v="0"/>
    <n v="14.75"/>
    <n v="768"/>
    <n v="24"/>
    <x v="1"/>
  </r>
  <r>
    <n v="394731761"/>
    <x v="1"/>
    <x v="2"/>
    <n v="15"/>
    <n v="580"/>
    <n v="20"/>
    <x v="1"/>
  </r>
  <r>
    <n v="394731786"/>
    <x v="1"/>
    <x v="2"/>
    <n v="15"/>
    <n v="580"/>
    <n v="20"/>
    <x v="1"/>
  </r>
  <r>
    <n v="394731867"/>
    <x v="1"/>
    <x v="2"/>
    <n v="15"/>
    <n v="580"/>
    <n v="20"/>
    <x v="1"/>
  </r>
  <r>
    <n v="394732027"/>
    <x v="1"/>
    <x v="2"/>
    <n v="15"/>
    <n v="580"/>
    <n v="20"/>
    <x v="1"/>
  </r>
  <r>
    <n v="395265426"/>
    <x v="1"/>
    <x v="2"/>
    <n v="15"/>
    <n v="580"/>
    <n v="20"/>
    <x v="1"/>
  </r>
  <r>
    <n v="395267749"/>
    <x v="1"/>
    <x v="2"/>
    <n v="15"/>
    <n v="580"/>
    <n v="20"/>
    <x v="1"/>
  </r>
  <r>
    <n v="395267903"/>
    <x v="1"/>
    <x v="2"/>
    <n v="15"/>
    <n v="580"/>
    <n v="20"/>
    <x v="1"/>
  </r>
  <r>
    <m/>
    <x v="2"/>
    <x v="3"/>
    <m/>
    <m/>
    <m/>
    <x v="2"/>
  </r>
  <r>
    <m/>
    <x v="2"/>
    <x v="3"/>
    <m/>
    <m/>
    <m/>
    <x v="2"/>
  </r>
  <r>
    <m/>
    <x v="2"/>
    <x v="3"/>
    <m/>
    <m/>
    <m/>
    <x v="2"/>
  </r>
  <r>
    <m/>
    <x v="2"/>
    <x v="3"/>
    <m/>
    <m/>
    <m/>
    <x v="2"/>
  </r>
  <r>
    <m/>
    <x v="2"/>
    <x v="3"/>
    <m/>
    <m/>
    <m/>
    <x v="2"/>
  </r>
  <r>
    <m/>
    <x v="2"/>
    <x v="3"/>
    <m/>
    <m/>
    <m/>
    <x v="2"/>
  </r>
  <r>
    <m/>
    <x v="2"/>
    <x v="3"/>
    <m/>
    <m/>
    <m/>
    <x v="2"/>
  </r>
  <r>
    <m/>
    <x v="2"/>
    <x v="3"/>
    <m/>
    <m/>
    <m/>
    <x v="2"/>
  </r>
  <r>
    <m/>
    <x v="2"/>
    <x v="3"/>
    <m/>
    <m/>
    <m/>
    <x v="2"/>
  </r>
  <r>
    <m/>
    <x v="2"/>
    <x v="3"/>
    <m/>
    <m/>
    <m/>
    <x v="2"/>
  </r>
  <r>
    <m/>
    <x v="2"/>
    <x v="3"/>
    <m/>
    <m/>
    <m/>
    <x v="2"/>
  </r>
  <r>
    <m/>
    <x v="2"/>
    <x v="3"/>
    <m/>
    <m/>
    <m/>
    <x v="2"/>
  </r>
  <r>
    <m/>
    <x v="2"/>
    <x v="3"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s v="CMDUAYN0947412"/>
    <s v="MYNYC2230290"/>
    <s v="CMAU7693811"/>
    <s v="Q.PEAK DUO XL G10.3/BFG 480"/>
    <x v="0"/>
    <n v="0"/>
    <x v="0"/>
    <n v="20"/>
    <x v="0"/>
  </r>
  <r>
    <s v="MAEU216579071"/>
    <s v="PTIK22U02011"/>
    <s v="TCKU7003445"/>
    <s v="DUO BLK ML-G10BC.A+/TS 400"/>
    <x v="1"/>
    <n v="14.75"/>
    <x v="1"/>
    <n v="24"/>
    <x v="0"/>
  </r>
  <r>
    <s v="MAEU216579245"/>
    <s v="PTIK22U02013"/>
    <s v="FFAU2289240"/>
    <s v="DUO BLK ML-G10BC+.0.1 400"/>
    <x v="2"/>
    <n v="14.75"/>
    <x v="2"/>
    <n v="24"/>
    <x v="0"/>
  </r>
  <r>
    <s v="MAEU216579133"/>
    <s v="PTIK22U02012"/>
    <s v="GESU5752279"/>
    <s v="DUO BLK ML-G10BC+.0.1 400"/>
    <x v="2"/>
    <n v="14.75"/>
    <x v="2"/>
    <n v="24"/>
    <x v="0"/>
  </r>
  <r>
    <s v="ONEYSELC10388500"/>
    <s v="PTIK22U02001"/>
    <s v="GCXU5205747"/>
    <s v="DUO BLK ML-G10BC.A+/TS 400"/>
    <x v="1"/>
    <n v="14.75"/>
    <x v="1"/>
    <n v="24"/>
    <x v="0"/>
  </r>
  <r>
    <s v="ONEYPKGC09715900"/>
    <s v="SDSMY20220224-02"/>
    <s v="DRYU6020265"/>
    <s v="Q.PEAK DUO XL G10.3/BFG 480"/>
    <x v="0"/>
    <n v="0"/>
    <x v="0"/>
    <n v="20"/>
    <x v="1"/>
  </r>
  <r>
    <s v="ONEYSELC10388500"/>
    <s v="PTIK22U02001"/>
    <s v="MOTU6709277"/>
    <s v="DUO BLK ML-G10BC.A+/TS 400"/>
    <x v="1"/>
    <n v="14.75"/>
    <x v="1"/>
    <n v="24"/>
    <x v="1"/>
  </r>
  <r>
    <s v="ONEYSELC10388500"/>
    <s v="PTIK22U02001"/>
    <s v="TCLU5796732"/>
    <s v="DUO BLK ML-G10BC.A+/TS 400"/>
    <x v="1"/>
    <n v="14.75"/>
    <x v="1"/>
    <n v="24"/>
    <x v="1"/>
  </r>
  <r>
    <s v="MAEU216579071"/>
    <s v="PTIK22U02011"/>
    <s v="HASU5077573"/>
    <s v="DUO BLK ML-G10BC.A+/TS 400"/>
    <x v="1"/>
    <n v="14.75"/>
    <x v="1"/>
    <n v="24"/>
    <x v="1"/>
  </r>
  <r>
    <s v="MAEU216579071"/>
    <s v="PTIK22U02011"/>
    <s v="MRSU5425447"/>
    <s v="DUO BLK ML-G10BC.A+/TS 400"/>
    <x v="1"/>
    <n v="14.75"/>
    <x v="1"/>
    <n v="24"/>
    <x v="1"/>
  </r>
  <r>
    <s v="MAEU216579071"/>
    <s v="PTIK22U02011"/>
    <s v="MTSU9631603"/>
    <s v="DUO BLK ML-G10BC.A+/TS 400"/>
    <x v="1"/>
    <n v="14.75"/>
    <x v="1"/>
    <n v="24"/>
    <x v="1"/>
  </r>
  <r>
    <s v="MAEU216579071"/>
    <s v="PTIK22U02011"/>
    <s v="TCKU7462362"/>
    <s v="DUO BLK ML-G10BC.A+/TS 400"/>
    <x v="1"/>
    <n v="14.75"/>
    <x v="1"/>
    <n v="24"/>
    <x v="1"/>
  </r>
  <r>
    <s v="MAEU216579245"/>
    <s v="PTIK22U02013"/>
    <s v="HASU4566775"/>
    <s v="DUO BLK ML-G10BC+.0.1 400"/>
    <x v="2"/>
    <n v="14.75"/>
    <x v="2"/>
    <n v="24"/>
    <x v="1"/>
  </r>
  <r>
    <s v="MAEU216579245"/>
    <s v="PTIK22U02013"/>
    <s v="MRSU5440924"/>
    <s v="DUO BLK ML-G10BC+.0.1 400"/>
    <x v="2"/>
    <n v="14.75"/>
    <x v="2"/>
    <n v="24"/>
    <x v="1"/>
  </r>
  <r>
    <s v="MAEU216579245"/>
    <s v="PTIK22U02013"/>
    <s v="MSKU0587932"/>
    <s v="DUO BLK ML-G10BC+.0.1 400"/>
    <x v="2"/>
    <n v="14.75"/>
    <x v="2"/>
    <n v="24"/>
    <x v="1"/>
  </r>
  <r>
    <s v="MAEU216579133"/>
    <s v="PTIK22U02012"/>
    <s v="MRKU5736791"/>
    <s v="DUO BLK ML-G10BC+.0.1 400"/>
    <x v="2"/>
    <n v="14.75"/>
    <x v="2"/>
    <n v="24"/>
    <x v="1"/>
  </r>
  <r>
    <s v="MAEU216579133"/>
    <s v="PTIK22U02012"/>
    <s v="MRKU5754310"/>
    <s v="DUO BLK ML-G10BC+.0.1 400"/>
    <x v="2"/>
    <n v="14.75"/>
    <x v="2"/>
    <n v="24"/>
    <x v="1"/>
  </r>
  <r>
    <s v="MAEU216579133"/>
    <s v="PTIK22U02012"/>
    <s v="MRKU6426743"/>
    <s v="DUO BLK ML-G10BC+.0.1 400"/>
    <x v="2"/>
    <n v="14.75"/>
    <x v="2"/>
    <n v="24"/>
    <x v="1"/>
  </r>
  <r>
    <s v="MAEU216579133"/>
    <s v="PTIK22U02012"/>
    <s v="MSKU0160128"/>
    <s v="DUO BLK ML-G10BC+.0.1 400"/>
    <x v="2"/>
    <n v="14.75"/>
    <x v="2"/>
    <n v="24"/>
    <x v="1"/>
  </r>
  <r>
    <s v="MAEU216579133"/>
    <s v="PTIK22U02012"/>
    <s v="PONU8229107"/>
    <s v="DUO BLK ML-G10BC+.0.1 400"/>
    <x v="2"/>
    <n v="14.75"/>
    <x v="2"/>
    <n v="24"/>
    <x v="1"/>
  </r>
  <r>
    <s v="MAEU216579133"/>
    <s v="PTIK22U02012"/>
    <s v="TCLU5567905"/>
    <s v="DUO BLK ML-G10BC+.0.1 400"/>
    <x v="2"/>
    <n v="14.75"/>
    <x v="2"/>
    <n v="24"/>
    <x v="1"/>
  </r>
  <r>
    <m/>
    <m/>
    <m/>
    <m/>
    <x v="3"/>
    <m/>
    <x v="3"/>
    <m/>
    <x v="2"/>
  </r>
  <r>
    <m/>
    <m/>
    <m/>
    <m/>
    <x v="3"/>
    <m/>
    <x v="3"/>
    <m/>
    <x v="2"/>
  </r>
  <r>
    <m/>
    <m/>
    <m/>
    <m/>
    <x v="3"/>
    <m/>
    <x v="3"/>
    <m/>
    <x v="2"/>
  </r>
  <r>
    <m/>
    <m/>
    <m/>
    <m/>
    <x v="3"/>
    <m/>
    <x v="3"/>
    <m/>
    <x v="2"/>
  </r>
  <r>
    <m/>
    <m/>
    <m/>
    <m/>
    <x v="3"/>
    <m/>
    <x v="3"/>
    <m/>
    <x v="2"/>
  </r>
  <r>
    <m/>
    <m/>
    <m/>
    <m/>
    <x v="3"/>
    <m/>
    <x v="3"/>
    <m/>
    <x v="2"/>
  </r>
  <r>
    <m/>
    <m/>
    <m/>
    <m/>
    <x v="3"/>
    <m/>
    <x v="3"/>
    <m/>
    <x v="2"/>
  </r>
  <r>
    <m/>
    <m/>
    <m/>
    <m/>
    <x v="3"/>
    <m/>
    <x v="3"/>
    <m/>
    <x v="2"/>
  </r>
  <r>
    <m/>
    <m/>
    <m/>
    <m/>
    <x v="3"/>
    <m/>
    <x v="3"/>
    <m/>
    <x v="2"/>
  </r>
  <r>
    <m/>
    <m/>
    <m/>
    <m/>
    <x v="3"/>
    <m/>
    <x v="3"/>
    <m/>
    <x v="2"/>
  </r>
  <r>
    <m/>
    <m/>
    <m/>
    <m/>
    <x v="3"/>
    <m/>
    <x v="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1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5:K46" firstHeaderRow="0" firstDataRow="1" firstDataCol="1"/>
  <pivotFields count="9"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>
      <items count="5">
        <item x="0"/>
        <item x="1"/>
        <item x="2"/>
        <item x="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8"/>
    <field x="4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T" fld="7" baseField="8" baseItem="0"/>
    <dataField name="Sum of PCS" fld="6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9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UT">
  <location ref="I2:M9" firstHeaderRow="0" firstDataRow="1" firstDataCol="3"/>
  <pivotFields count="7">
    <pivotField showAll="0"/>
    <pivotField axis="axisRow" outline="0" showAll="0" sortType="ascending" defaultSubtotal="0">
      <items count="10">
        <item m="1" x="9"/>
        <item m="1" x="6"/>
        <item x="1"/>
        <item m="1" x="4"/>
        <item m="1" x="5"/>
        <item x="0"/>
        <item m="1" x="8"/>
        <item m="1" x="3"/>
        <item m="1" x="7"/>
        <item x="2"/>
      </items>
    </pivotField>
    <pivotField axis="axisRow" showAll="0">
      <items count="12">
        <item m="1" x="8"/>
        <item x="3"/>
        <item m="1" x="4"/>
        <item m="1" x="5"/>
        <item m="1" x="10"/>
        <item m="1" x="6"/>
        <item x="2"/>
        <item m="1" x="7"/>
        <item m="1" x="9"/>
        <item x="0"/>
        <item x="1"/>
        <item t="default"/>
      </items>
    </pivotField>
    <pivotField outline="0" showAll="0" defaultSubtotal="0"/>
    <pivotField dataField="1" showAll="0"/>
    <pivotField dataField="1" showAll="0"/>
    <pivotField axis="axisRow" outline="0" showAll="0" defaultSubtotal="0">
      <items count="48">
        <item m="1" x="31"/>
        <item m="1" x="5"/>
        <item m="1" x="22"/>
        <item m="1" x="43"/>
        <item m="1" x="11"/>
        <item m="1" x="29"/>
        <item m="1" x="47"/>
        <item x="2"/>
        <item m="1" x="19"/>
        <item m="1" x="41"/>
        <item m="1" x="9"/>
        <item m="1" x="27"/>
        <item m="1" x="45"/>
        <item m="1" x="17"/>
        <item m="1" x="39"/>
        <item m="1" x="7"/>
        <item m="1" x="24"/>
        <item m="1" x="44"/>
        <item m="1" x="15"/>
        <item m="1" x="36"/>
        <item m="1" x="4"/>
        <item m="1" x="21"/>
        <item m="1" x="42"/>
        <item m="1" x="14"/>
        <item m="1" x="26"/>
        <item m="1" x="38"/>
        <item m="1" x="13"/>
        <item m="1" x="32"/>
        <item m="1" x="6"/>
        <item m="1" x="23"/>
        <item m="1" x="35"/>
        <item m="1" x="12"/>
        <item m="1" x="30"/>
        <item m="1" x="3"/>
        <item m="1" x="20"/>
        <item m="1" x="34"/>
        <item m="1" x="10"/>
        <item m="1" x="28"/>
        <item m="1" x="46"/>
        <item m="1" x="18"/>
        <item m="1" x="40"/>
        <item m="1" x="33"/>
        <item m="1" x="8"/>
        <item m="1" x="25"/>
        <item m="1" x="16"/>
        <item m="1" x="37"/>
        <item x="0"/>
        <item x="1"/>
      </items>
    </pivotField>
  </pivotFields>
  <rowFields count="3">
    <field x="1"/>
    <field x="6"/>
    <field x="2"/>
  </rowFields>
  <rowItems count="7">
    <i>
      <x v="2"/>
      <x v="46"/>
      <x v="6"/>
    </i>
    <i r="1">
      <x v="47"/>
      <x v="6"/>
    </i>
    <i>
      <x v="5"/>
      <x v="46"/>
      <x v="9"/>
    </i>
    <i r="2">
      <x v="10"/>
    </i>
    <i r="1">
      <x v="47"/>
      <x v="9"/>
    </i>
    <i>
      <x v="9"/>
      <x v="7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llet" fld="5" baseField="6" baseItem="1"/>
    <dataField name="Sum of Qty" fld="4" baseField="6" baseItem="1"/>
  </dataFields>
  <formats count="1"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zoomScale="82" zoomScaleNormal="82" workbookViewId="0">
      <pane ySplit="2" topLeftCell="A32" activePane="bottomLeft" state="frozen"/>
      <selection pane="bottomLeft" activeCell="G48" sqref="G48"/>
    </sheetView>
  </sheetViews>
  <sheetFormatPr defaultColWidth="21.88671875" defaultRowHeight="14.4" x14ac:dyDescent="0.3"/>
  <cols>
    <col min="1" max="1" width="18.5546875" style="1" customWidth="1"/>
    <col min="2" max="2" width="32.88671875" style="1" bestFit="1" customWidth="1"/>
    <col min="3" max="3" width="18.109375" style="1" bestFit="1" customWidth="1"/>
    <col min="4" max="4" width="11.88671875" style="1" bestFit="1" customWidth="1"/>
    <col min="5" max="5" width="14.6640625" style="1" bestFit="1" customWidth="1"/>
    <col min="6" max="6" width="10.5546875" style="1" bestFit="1" customWidth="1"/>
    <col min="7" max="7" width="14.109375" style="1" bestFit="1" customWidth="1"/>
    <col min="8" max="8" width="12.109375" style="1" bestFit="1" customWidth="1"/>
    <col min="9" max="9" width="10.33203125" style="1" bestFit="1" customWidth="1"/>
    <col min="10" max="10" width="11.33203125" style="1" bestFit="1" customWidth="1"/>
    <col min="11" max="11" width="10.5546875" style="1" bestFit="1" customWidth="1"/>
    <col min="12" max="12" width="14.109375" style="1" bestFit="1" customWidth="1"/>
    <col min="13" max="13" width="11.33203125" style="1" bestFit="1" customWidth="1"/>
    <col min="14" max="14" width="17.33203125" style="1" bestFit="1" customWidth="1"/>
    <col min="15" max="15" width="21.44140625" style="1" bestFit="1" customWidth="1"/>
    <col min="16" max="16" width="10.5546875" style="1" bestFit="1" customWidth="1"/>
    <col min="17" max="17" width="14.109375" style="1" bestFit="1" customWidth="1"/>
    <col min="18" max="18" width="12.109375" style="1" bestFit="1" customWidth="1"/>
    <col min="19" max="19" width="10.33203125" style="1" bestFit="1" customWidth="1"/>
    <col min="20" max="20" width="11.33203125" style="1" bestFit="1" customWidth="1"/>
    <col min="21" max="21" width="23.88671875" style="1" customWidth="1"/>
    <col min="22" max="22" width="14.33203125" style="2" customWidth="1"/>
    <col min="23" max="16384" width="21.88671875" style="1"/>
  </cols>
  <sheetData>
    <row r="1" spans="1:22" x14ac:dyDescent="0.3">
      <c r="A1" s="3"/>
      <c r="B1" s="2"/>
      <c r="C1" s="2"/>
      <c r="D1" s="2"/>
      <c r="E1" s="2"/>
      <c r="F1" s="64" t="s">
        <v>0</v>
      </c>
      <c r="G1" s="65"/>
      <c r="H1" s="65"/>
      <c r="I1" s="65"/>
      <c r="J1" s="65"/>
      <c r="K1" s="68" t="s">
        <v>1</v>
      </c>
      <c r="L1" s="69"/>
      <c r="M1" s="69"/>
      <c r="N1" s="2"/>
      <c r="O1" s="2"/>
      <c r="P1" s="66" t="s">
        <v>2</v>
      </c>
      <c r="Q1" s="67"/>
      <c r="R1" s="67"/>
      <c r="S1" s="67"/>
      <c r="T1" s="67"/>
      <c r="U1" s="2"/>
    </row>
    <row r="2" spans="1:22" s="23" customFormat="1" x14ac:dyDescent="0.3">
      <c r="A2" s="20" t="s">
        <v>3</v>
      </c>
      <c r="B2" s="20" t="s">
        <v>4</v>
      </c>
      <c r="C2" s="20" t="s">
        <v>5</v>
      </c>
      <c r="D2" s="21" t="s">
        <v>6</v>
      </c>
      <c r="E2" s="20" t="s">
        <v>74</v>
      </c>
      <c r="F2" s="22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7</v>
      </c>
      <c r="L2" s="20" t="s">
        <v>8</v>
      </c>
      <c r="M2" s="20" t="s">
        <v>11</v>
      </c>
      <c r="N2" s="20" t="s">
        <v>12</v>
      </c>
      <c r="O2" s="20" t="s">
        <v>13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14</v>
      </c>
      <c r="V2" s="24"/>
    </row>
    <row r="3" spans="1:22" ht="15" customHeight="1" x14ac:dyDescent="0.3">
      <c r="A3" s="7">
        <v>30115213</v>
      </c>
      <c r="B3" s="7" t="s">
        <v>15</v>
      </c>
      <c r="C3" s="7">
        <v>360</v>
      </c>
      <c r="D3" s="7">
        <v>30</v>
      </c>
      <c r="E3" s="13">
        <f>C3*(SUM(F3:M3))</f>
        <v>360</v>
      </c>
      <c r="F3" s="6"/>
      <c r="G3" s="14"/>
      <c r="H3" s="6"/>
      <c r="I3" s="6"/>
      <c r="J3" s="6"/>
      <c r="K3" s="6"/>
      <c r="L3" s="6">
        <v>1</v>
      </c>
      <c r="M3" s="6"/>
      <c r="N3" s="6">
        <f>F3+G3+I3+H3+J3</f>
        <v>0</v>
      </c>
      <c r="O3" s="6">
        <f>L3+K3+M3</f>
        <v>1</v>
      </c>
      <c r="P3" s="6"/>
      <c r="Q3" s="14">
        <v>1</v>
      </c>
      <c r="R3" s="6"/>
      <c r="S3" s="6"/>
      <c r="T3" s="6"/>
      <c r="U3" s="6" t="s">
        <v>67</v>
      </c>
    </row>
    <row r="4" spans="1:22" ht="15" customHeight="1" x14ac:dyDescent="0.3">
      <c r="A4" s="8">
        <v>30140106</v>
      </c>
      <c r="B4" s="8" t="s">
        <v>16</v>
      </c>
      <c r="C4" s="8">
        <v>325</v>
      </c>
      <c r="D4" s="8">
        <v>30</v>
      </c>
      <c r="E4" s="13">
        <f t="shared" ref="E4:E63" si="0">C4*(SUM(F4:M4))</f>
        <v>41600</v>
      </c>
      <c r="F4" s="6"/>
      <c r="G4" s="14">
        <v>128</v>
      </c>
      <c r="H4" s="6"/>
      <c r="I4" s="6"/>
      <c r="J4" s="6"/>
      <c r="K4" s="6"/>
      <c r="L4" s="6"/>
      <c r="M4" s="6"/>
      <c r="N4" s="6">
        <f t="shared" ref="N4:N5" si="1">F4+G4+I4+H4+J4</f>
        <v>128</v>
      </c>
      <c r="O4" s="6">
        <f t="shared" ref="O4:O66" si="2">L4+K4+M4</f>
        <v>0</v>
      </c>
      <c r="P4" s="6"/>
      <c r="Q4" s="14">
        <v>4</v>
      </c>
      <c r="R4" s="6"/>
      <c r="S4" s="6"/>
      <c r="T4" s="6"/>
      <c r="U4" s="6" t="s">
        <v>72</v>
      </c>
    </row>
    <row r="5" spans="1:22" s="5" customFormat="1" ht="15" customHeight="1" x14ac:dyDescent="0.3">
      <c r="A5" s="9">
        <v>30340710</v>
      </c>
      <c r="B5" s="9" t="s">
        <v>17</v>
      </c>
      <c r="C5" s="9">
        <v>345</v>
      </c>
      <c r="D5" s="9">
        <v>25</v>
      </c>
      <c r="E5" s="13">
        <f t="shared" si="0"/>
        <v>10350</v>
      </c>
      <c r="F5" s="15"/>
      <c r="G5" s="16"/>
      <c r="H5" s="15"/>
      <c r="I5" s="15"/>
      <c r="J5" s="15"/>
      <c r="K5" s="15"/>
      <c r="L5" s="15">
        <v>30</v>
      </c>
      <c r="M5" s="15"/>
      <c r="N5" s="6">
        <f t="shared" si="1"/>
        <v>0</v>
      </c>
      <c r="O5" s="6">
        <f t="shared" si="2"/>
        <v>30</v>
      </c>
      <c r="P5" s="15"/>
      <c r="Q5" s="16">
        <v>2</v>
      </c>
      <c r="R5" s="15"/>
      <c r="S5" s="15"/>
      <c r="T5" s="15"/>
      <c r="U5" s="15" t="s">
        <v>73</v>
      </c>
      <c r="V5" s="4"/>
    </row>
    <row r="6" spans="1:22" ht="15" customHeight="1" x14ac:dyDescent="0.3">
      <c r="A6" s="9">
        <v>30361018</v>
      </c>
      <c r="B6" s="9" t="s">
        <v>18</v>
      </c>
      <c r="C6" s="9">
        <v>385</v>
      </c>
      <c r="D6" s="9">
        <v>25</v>
      </c>
      <c r="E6" s="13">
        <f t="shared" si="0"/>
        <v>40810</v>
      </c>
      <c r="F6" s="6"/>
      <c r="G6" s="14">
        <f>138-32</f>
        <v>106</v>
      </c>
      <c r="H6" s="6"/>
      <c r="I6" s="6"/>
      <c r="J6" s="6"/>
      <c r="K6" s="6"/>
      <c r="L6" s="6"/>
      <c r="M6" s="6"/>
      <c r="N6" s="6">
        <f t="shared" ref="N6:N46" si="3">F6+G6+I6+H6+J6</f>
        <v>106</v>
      </c>
      <c r="O6" s="6">
        <f t="shared" si="2"/>
        <v>0</v>
      </c>
      <c r="P6" s="6"/>
      <c r="Q6" s="14">
        <f>5-2+1</f>
        <v>4</v>
      </c>
      <c r="R6" s="6"/>
      <c r="S6" s="6"/>
      <c r="T6" s="6"/>
      <c r="U6" s="6"/>
    </row>
    <row r="7" spans="1:22" ht="15" customHeight="1" x14ac:dyDescent="0.3">
      <c r="A7" s="10">
        <v>12001434</v>
      </c>
      <c r="B7" s="10" t="s">
        <v>19</v>
      </c>
      <c r="C7" s="10">
        <v>345</v>
      </c>
      <c r="D7" s="10">
        <v>20</v>
      </c>
      <c r="E7" s="13">
        <f t="shared" si="0"/>
        <v>1380</v>
      </c>
      <c r="F7" s="6"/>
      <c r="G7" s="14">
        <v>4</v>
      </c>
      <c r="H7" s="6"/>
      <c r="I7" s="6"/>
      <c r="J7" s="6"/>
      <c r="K7" s="6"/>
      <c r="L7" s="6"/>
      <c r="M7" s="6"/>
      <c r="N7" s="6">
        <f t="shared" si="3"/>
        <v>4</v>
      </c>
      <c r="O7" s="6">
        <f t="shared" si="2"/>
        <v>0</v>
      </c>
      <c r="P7" s="6"/>
      <c r="Q7" s="14">
        <v>1</v>
      </c>
      <c r="R7" s="6"/>
      <c r="S7" s="6"/>
      <c r="T7" s="6"/>
      <c r="U7" s="6"/>
    </row>
    <row r="8" spans="1:22" ht="15" customHeight="1" x14ac:dyDescent="0.3">
      <c r="A8" s="10">
        <v>12002650</v>
      </c>
      <c r="B8" s="10" t="s">
        <v>20</v>
      </c>
      <c r="C8" s="10">
        <v>400</v>
      </c>
      <c r="D8" s="10">
        <v>20</v>
      </c>
      <c r="E8" s="13">
        <f t="shared" si="0"/>
        <v>23200</v>
      </c>
      <c r="F8" s="6"/>
      <c r="G8" s="14">
        <v>58</v>
      </c>
      <c r="H8" s="6"/>
      <c r="I8" s="6"/>
      <c r="J8" s="6"/>
      <c r="K8" s="6"/>
      <c r="L8" s="6"/>
      <c r="M8" s="6"/>
      <c r="N8" s="6">
        <f t="shared" si="3"/>
        <v>58</v>
      </c>
      <c r="O8" s="6">
        <f t="shared" si="2"/>
        <v>0</v>
      </c>
      <c r="P8" s="6"/>
      <c r="Q8" s="14">
        <v>2</v>
      </c>
      <c r="R8" s="6"/>
      <c r="S8" s="6"/>
      <c r="T8" s="6"/>
      <c r="U8" s="6" t="s">
        <v>21</v>
      </c>
    </row>
    <row r="9" spans="1:22" ht="15" customHeight="1" x14ac:dyDescent="0.3">
      <c r="A9" s="10">
        <v>12002679</v>
      </c>
      <c r="B9" s="10" t="s">
        <v>22</v>
      </c>
      <c r="C9" s="10">
        <v>400</v>
      </c>
      <c r="D9" s="10">
        <v>20</v>
      </c>
      <c r="E9" s="13">
        <f t="shared" si="0"/>
        <v>1200</v>
      </c>
      <c r="F9" s="6">
        <f>2-2</f>
        <v>0</v>
      </c>
      <c r="G9" s="14"/>
      <c r="H9" s="6"/>
      <c r="I9" s="6"/>
      <c r="J9" s="6"/>
      <c r="K9" s="6">
        <v>3</v>
      </c>
      <c r="L9" s="6"/>
      <c r="M9" s="6"/>
      <c r="N9" s="6">
        <f t="shared" si="3"/>
        <v>0</v>
      </c>
      <c r="O9" s="6">
        <f t="shared" si="2"/>
        <v>3</v>
      </c>
      <c r="P9" s="6">
        <v>3</v>
      </c>
      <c r="Q9" s="14"/>
      <c r="R9" s="6"/>
      <c r="S9" s="6"/>
      <c r="T9" s="6"/>
      <c r="U9" s="6" t="s">
        <v>113</v>
      </c>
    </row>
    <row r="10" spans="1:22" ht="15" customHeight="1" x14ac:dyDescent="0.3">
      <c r="A10" s="10">
        <v>12004246</v>
      </c>
      <c r="B10" s="10" t="s">
        <v>23</v>
      </c>
      <c r="C10" s="10">
        <v>425</v>
      </c>
      <c r="D10" s="10">
        <v>20</v>
      </c>
      <c r="E10" s="13">
        <f t="shared" si="0"/>
        <v>13175</v>
      </c>
      <c r="F10" s="6">
        <v>30</v>
      </c>
      <c r="G10" s="14"/>
      <c r="H10" s="6"/>
      <c r="I10" s="6"/>
      <c r="J10" s="6"/>
      <c r="K10" s="6"/>
      <c r="L10" s="6">
        <v>1</v>
      </c>
      <c r="M10" s="6"/>
      <c r="N10" s="6">
        <f t="shared" si="3"/>
        <v>30</v>
      </c>
      <c r="O10" s="6">
        <f t="shared" si="2"/>
        <v>1</v>
      </c>
      <c r="P10" s="6">
        <v>1</v>
      </c>
      <c r="Q10" s="14">
        <v>1</v>
      </c>
      <c r="R10" s="6"/>
      <c r="S10" s="6"/>
      <c r="T10" s="6"/>
      <c r="U10" s="6"/>
    </row>
    <row r="11" spans="1:22" ht="15" customHeight="1" x14ac:dyDescent="0.3">
      <c r="A11" s="10">
        <v>12004284</v>
      </c>
      <c r="B11" s="10" t="s">
        <v>22</v>
      </c>
      <c r="C11" s="10">
        <v>400</v>
      </c>
      <c r="D11" s="10">
        <v>20</v>
      </c>
      <c r="E11" s="13">
        <f t="shared" si="0"/>
        <v>11600</v>
      </c>
      <c r="F11" s="6"/>
      <c r="G11" s="14"/>
      <c r="H11" s="6">
        <v>29</v>
      </c>
      <c r="I11" s="6"/>
      <c r="J11" s="6"/>
      <c r="K11" s="6"/>
      <c r="L11" s="6"/>
      <c r="M11" s="6"/>
      <c r="N11" s="6">
        <f t="shared" si="3"/>
        <v>29</v>
      </c>
      <c r="O11" s="6">
        <f t="shared" si="2"/>
        <v>0</v>
      </c>
      <c r="P11" s="6"/>
      <c r="Q11" s="14"/>
      <c r="R11" s="6">
        <v>1</v>
      </c>
      <c r="S11" s="6"/>
      <c r="T11" s="6"/>
      <c r="U11" s="6"/>
    </row>
    <row r="12" spans="1:22" ht="15" customHeight="1" x14ac:dyDescent="0.3">
      <c r="A12" s="10">
        <v>30367456</v>
      </c>
      <c r="B12" s="10" t="s">
        <v>24</v>
      </c>
      <c r="C12" s="10">
        <v>400</v>
      </c>
      <c r="D12" s="10">
        <v>20</v>
      </c>
      <c r="E12" s="13">
        <f t="shared" si="0"/>
        <v>8827600</v>
      </c>
      <c r="F12" s="6"/>
      <c r="G12" s="14">
        <f>24795-783-783-1160</f>
        <v>22069</v>
      </c>
      <c r="H12" s="6"/>
      <c r="I12" s="6"/>
      <c r="J12" s="6"/>
      <c r="K12" s="6"/>
      <c r="L12" s="6"/>
      <c r="M12" s="6"/>
      <c r="N12" s="6">
        <f t="shared" si="3"/>
        <v>22069</v>
      </c>
      <c r="O12" s="6">
        <f t="shared" si="2"/>
        <v>0</v>
      </c>
      <c r="P12" s="6"/>
      <c r="Q12" s="14">
        <f>855-27-27-40</f>
        <v>761</v>
      </c>
      <c r="R12" s="6"/>
      <c r="S12" s="6"/>
      <c r="T12" s="6"/>
      <c r="U12" s="6" t="s">
        <v>25</v>
      </c>
    </row>
    <row r="13" spans="1:22" ht="15" customHeight="1" x14ac:dyDescent="0.3">
      <c r="A13" s="10">
        <v>30368158</v>
      </c>
      <c r="B13" s="10" t="s">
        <v>26</v>
      </c>
      <c r="C13" s="10">
        <v>410</v>
      </c>
      <c r="D13" s="10">
        <v>20</v>
      </c>
      <c r="E13" s="13">
        <f t="shared" si="0"/>
        <v>23780</v>
      </c>
      <c r="F13" s="6"/>
      <c r="G13" s="14">
        <v>58</v>
      </c>
      <c r="H13" s="6"/>
      <c r="I13" s="6"/>
      <c r="J13" s="6"/>
      <c r="K13" s="6"/>
      <c r="L13" s="6"/>
      <c r="M13" s="6"/>
      <c r="N13" s="6">
        <f t="shared" si="3"/>
        <v>58</v>
      </c>
      <c r="O13" s="6">
        <f t="shared" si="2"/>
        <v>0</v>
      </c>
      <c r="P13" s="6"/>
      <c r="Q13" s="14">
        <v>2</v>
      </c>
      <c r="R13" s="6"/>
      <c r="S13" s="6"/>
      <c r="T13" s="6"/>
      <c r="U13" s="6"/>
    </row>
    <row r="14" spans="1:22" s="5" customFormat="1" ht="15" customHeight="1" x14ac:dyDescent="0.3">
      <c r="A14" s="10">
        <v>30380660</v>
      </c>
      <c r="B14" s="10" t="s">
        <v>27</v>
      </c>
      <c r="C14" s="10">
        <v>420</v>
      </c>
      <c r="D14" s="10">
        <v>20</v>
      </c>
      <c r="E14" s="13">
        <f t="shared" si="0"/>
        <v>2728320</v>
      </c>
      <c r="F14" s="15"/>
      <c r="G14" s="16">
        <v>6496</v>
      </c>
      <c r="H14" s="15"/>
      <c r="I14" s="15"/>
      <c r="J14" s="15"/>
      <c r="K14" s="15"/>
      <c r="L14" s="15"/>
      <c r="M14" s="15"/>
      <c r="N14" s="6">
        <f t="shared" si="3"/>
        <v>6496</v>
      </c>
      <c r="O14" s="6">
        <f t="shared" si="2"/>
        <v>0</v>
      </c>
      <c r="P14" s="15"/>
      <c r="Q14" s="16">
        <v>224</v>
      </c>
      <c r="R14" s="15"/>
      <c r="S14" s="15"/>
      <c r="T14" s="15"/>
      <c r="U14" s="15" t="s">
        <v>28</v>
      </c>
      <c r="V14" s="4"/>
    </row>
    <row r="15" spans="1:22" ht="15" customHeight="1" x14ac:dyDescent="0.3">
      <c r="A15" s="10">
        <v>30381259</v>
      </c>
      <c r="B15" s="10" t="s">
        <v>29</v>
      </c>
      <c r="C15" s="10">
        <v>415</v>
      </c>
      <c r="D15" s="10">
        <v>20</v>
      </c>
      <c r="E15" s="13">
        <f t="shared" si="0"/>
        <v>12035</v>
      </c>
      <c r="F15" s="6"/>
      <c r="G15" s="14"/>
      <c r="H15" s="6"/>
      <c r="I15" s="6"/>
      <c r="J15" s="6"/>
      <c r="K15" s="6"/>
      <c r="L15" s="6">
        <v>29</v>
      </c>
      <c r="M15" s="6"/>
      <c r="N15" s="6">
        <f t="shared" si="3"/>
        <v>0</v>
      </c>
      <c r="O15" s="6">
        <f t="shared" si="2"/>
        <v>29</v>
      </c>
      <c r="P15" s="6"/>
      <c r="Q15" s="14">
        <v>1</v>
      </c>
      <c r="R15" s="6"/>
      <c r="S15" s="6"/>
      <c r="T15" s="6"/>
      <c r="U15" s="6"/>
    </row>
    <row r="16" spans="1:22" ht="15" customHeight="1" x14ac:dyDescent="0.3">
      <c r="A16" s="10">
        <v>30382860</v>
      </c>
      <c r="B16" s="10" t="s">
        <v>30</v>
      </c>
      <c r="C16" s="10">
        <v>420</v>
      </c>
      <c r="D16" s="10">
        <v>20</v>
      </c>
      <c r="E16" s="13">
        <f t="shared" si="0"/>
        <v>12180</v>
      </c>
      <c r="F16" s="6"/>
      <c r="G16" s="14"/>
      <c r="H16" s="6"/>
      <c r="I16" s="6"/>
      <c r="J16" s="6"/>
      <c r="K16" s="6"/>
      <c r="L16" s="6">
        <v>29</v>
      </c>
      <c r="M16" s="6"/>
      <c r="N16" s="6">
        <f t="shared" si="3"/>
        <v>0</v>
      </c>
      <c r="O16" s="6">
        <f t="shared" si="2"/>
        <v>29</v>
      </c>
      <c r="P16" s="6"/>
      <c r="Q16" s="14">
        <v>1</v>
      </c>
      <c r="R16" s="6"/>
      <c r="S16" s="6"/>
      <c r="T16" s="6"/>
      <c r="U16" s="6" t="s">
        <v>31</v>
      </c>
    </row>
    <row r="17" spans="1:22" ht="15" customHeight="1" x14ac:dyDescent="0.3">
      <c r="A17" s="10">
        <v>30382860</v>
      </c>
      <c r="B17" s="10" t="s">
        <v>30</v>
      </c>
      <c r="C17" s="10">
        <v>420</v>
      </c>
      <c r="D17" s="10">
        <v>20</v>
      </c>
      <c r="E17" s="13">
        <f t="shared" si="0"/>
        <v>12180</v>
      </c>
      <c r="F17" s="6"/>
      <c r="G17" s="14"/>
      <c r="H17" s="6"/>
      <c r="I17" s="6"/>
      <c r="J17" s="6"/>
      <c r="K17" s="6"/>
      <c r="L17" s="6">
        <v>29</v>
      </c>
      <c r="M17" s="6"/>
      <c r="N17" s="6">
        <f t="shared" si="3"/>
        <v>0</v>
      </c>
      <c r="O17" s="6">
        <f t="shared" si="2"/>
        <v>29</v>
      </c>
      <c r="P17" s="6"/>
      <c r="Q17" s="14">
        <v>1</v>
      </c>
      <c r="R17" s="6"/>
      <c r="S17" s="6"/>
      <c r="T17" s="6"/>
      <c r="U17" s="6" t="s">
        <v>32</v>
      </c>
    </row>
    <row r="18" spans="1:22" ht="15" customHeight="1" x14ac:dyDescent="0.3">
      <c r="A18" s="11">
        <v>12004246</v>
      </c>
      <c r="B18" s="11" t="s">
        <v>23</v>
      </c>
      <c r="C18" s="11">
        <v>425</v>
      </c>
      <c r="D18" s="11">
        <v>18</v>
      </c>
      <c r="E18" s="13">
        <f t="shared" si="0"/>
        <v>12750</v>
      </c>
      <c r="F18" s="6"/>
      <c r="G18" s="14">
        <v>0</v>
      </c>
      <c r="H18" s="6"/>
      <c r="I18" s="6"/>
      <c r="J18" s="6">
        <v>30</v>
      </c>
      <c r="K18" s="6"/>
      <c r="L18" s="6"/>
      <c r="M18" s="6"/>
      <c r="N18" s="6">
        <f t="shared" si="3"/>
        <v>30</v>
      </c>
      <c r="O18" s="6">
        <f t="shared" si="2"/>
        <v>0</v>
      </c>
      <c r="P18" s="6"/>
      <c r="Q18" s="14">
        <v>0</v>
      </c>
      <c r="R18" s="6"/>
      <c r="S18" s="6"/>
      <c r="T18" s="6">
        <v>1</v>
      </c>
      <c r="U18" s="6"/>
    </row>
    <row r="19" spans="1:22" ht="15" customHeight="1" x14ac:dyDescent="0.3">
      <c r="A19" s="11">
        <v>12004247</v>
      </c>
      <c r="B19" s="11" t="s">
        <v>33</v>
      </c>
      <c r="C19" s="11">
        <v>420</v>
      </c>
      <c r="D19" s="11">
        <v>18</v>
      </c>
      <c r="E19" s="13">
        <f t="shared" si="0"/>
        <v>315000</v>
      </c>
      <c r="F19" s="6"/>
      <c r="G19" s="14"/>
      <c r="H19" s="6"/>
      <c r="I19" s="6"/>
      <c r="J19" s="6">
        <v>750</v>
      </c>
      <c r="K19" s="6"/>
      <c r="L19" s="6"/>
      <c r="M19" s="6"/>
      <c r="N19" s="6">
        <f t="shared" si="3"/>
        <v>750</v>
      </c>
      <c r="O19" s="6">
        <f t="shared" si="2"/>
        <v>0</v>
      </c>
      <c r="P19" s="6"/>
      <c r="Q19" s="14"/>
      <c r="R19" s="6"/>
      <c r="S19" s="6"/>
      <c r="T19" s="6">
        <v>25</v>
      </c>
      <c r="U19" s="6"/>
    </row>
    <row r="20" spans="1:22" ht="15" customHeight="1" x14ac:dyDescent="0.3">
      <c r="A20" s="11">
        <v>12005560</v>
      </c>
      <c r="B20" s="11" t="s">
        <v>64</v>
      </c>
      <c r="C20" s="11">
        <v>470</v>
      </c>
      <c r="D20" s="11">
        <v>18</v>
      </c>
      <c r="E20" s="13">
        <f t="shared" si="0"/>
        <v>86480</v>
      </c>
      <c r="F20" s="6">
        <v>184</v>
      </c>
      <c r="G20" s="14"/>
      <c r="H20" s="6"/>
      <c r="I20" s="6"/>
      <c r="J20" s="6"/>
      <c r="K20" s="6"/>
      <c r="L20" s="6"/>
      <c r="M20" s="6"/>
      <c r="N20" s="6">
        <f t="shared" si="3"/>
        <v>184</v>
      </c>
      <c r="O20" s="6">
        <f t="shared" si="2"/>
        <v>0</v>
      </c>
      <c r="P20" s="6">
        <v>7</v>
      </c>
      <c r="Q20" s="14"/>
      <c r="R20" s="6"/>
      <c r="S20" s="6"/>
      <c r="T20" s="6"/>
      <c r="U20" s="6"/>
    </row>
    <row r="21" spans="1:22" ht="15" customHeight="1" x14ac:dyDescent="0.3">
      <c r="A21" s="11">
        <v>12005803</v>
      </c>
      <c r="B21" s="11" t="s">
        <v>35</v>
      </c>
      <c r="C21" s="11">
        <v>430</v>
      </c>
      <c r="D21" s="11">
        <v>18</v>
      </c>
      <c r="E21" s="13">
        <f t="shared" si="0"/>
        <v>314330</v>
      </c>
      <c r="F21" s="6"/>
      <c r="G21" s="14">
        <v>731</v>
      </c>
      <c r="H21" s="6"/>
      <c r="I21" s="6"/>
      <c r="J21" s="6"/>
      <c r="K21" s="6"/>
      <c r="L21" s="6"/>
      <c r="M21" s="6"/>
      <c r="N21" s="6">
        <f t="shared" si="3"/>
        <v>731</v>
      </c>
      <c r="O21" s="6">
        <f t="shared" si="2"/>
        <v>0</v>
      </c>
      <c r="P21" s="6"/>
      <c r="Q21" s="14">
        <v>25</v>
      </c>
      <c r="R21" s="6"/>
      <c r="S21" s="6"/>
      <c r="T21" s="6"/>
      <c r="U21" s="6"/>
    </row>
    <row r="22" spans="1:22" ht="15" customHeight="1" x14ac:dyDescent="0.3">
      <c r="A22" s="11">
        <v>30368516</v>
      </c>
      <c r="B22" s="11" t="s">
        <v>36</v>
      </c>
      <c r="C22" s="11">
        <v>375</v>
      </c>
      <c r="D22" s="11">
        <v>18</v>
      </c>
      <c r="E22" s="13">
        <f t="shared" si="0"/>
        <v>156000</v>
      </c>
      <c r="F22" s="6"/>
      <c r="G22" s="14">
        <v>416</v>
      </c>
      <c r="H22" s="6"/>
      <c r="I22" s="6"/>
      <c r="J22" s="6"/>
      <c r="K22" s="6"/>
      <c r="L22" s="6"/>
      <c r="M22" s="6"/>
      <c r="N22" s="6">
        <f t="shared" si="3"/>
        <v>416</v>
      </c>
      <c r="O22" s="6">
        <f t="shared" si="2"/>
        <v>0</v>
      </c>
      <c r="P22" s="6"/>
      <c r="Q22" s="14">
        <v>13</v>
      </c>
      <c r="R22" s="6"/>
      <c r="S22" s="6"/>
      <c r="T22" s="6"/>
      <c r="U22" s="6"/>
    </row>
    <row r="23" spans="1:22" ht="15" customHeight="1" x14ac:dyDescent="0.3">
      <c r="A23" s="11">
        <v>30369116</v>
      </c>
      <c r="B23" s="11" t="s">
        <v>37</v>
      </c>
      <c r="C23" s="11">
        <v>375</v>
      </c>
      <c r="D23" s="11">
        <v>18</v>
      </c>
      <c r="E23" s="13">
        <f t="shared" si="0"/>
        <v>93750</v>
      </c>
      <c r="F23" s="6"/>
      <c r="G23" s="14">
        <v>250</v>
      </c>
      <c r="H23" s="6"/>
      <c r="I23" s="6"/>
      <c r="J23" s="6"/>
      <c r="K23" s="6"/>
      <c r="L23" s="6"/>
      <c r="M23" s="6"/>
      <c r="N23" s="6">
        <f t="shared" si="3"/>
        <v>250</v>
      </c>
      <c r="O23" s="6">
        <f t="shared" si="2"/>
        <v>0</v>
      </c>
      <c r="P23" s="6"/>
      <c r="Q23" s="14">
        <v>8</v>
      </c>
      <c r="R23" s="6"/>
      <c r="S23" s="6"/>
      <c r="T23" s="6"/>
      <c r="U23" s="6"/>
    </row>
    <row r="24" spans="1:22" ht="15" customHeight="1" x14ac:dyDescent="0.3">
      <c r="A24" s="11">
        <v>30396067</v>
      </c>
      <c r="B24" s="11" t="s">
        <v>38</v>
      </c>
      <c r="C24" s="11">
        <v>455</v>
      </c>
      <c r="D24" s="11">
        <v>18</v>
      </c>
      <c r="E24" s="13">
        <f t="shared" si="0"/>
        <v>290290</v>
      </c>
      <c r="F24" s="6"/>
      <c r="G24" s="14">
        <v>638</v>
      </c>
      <c r="H24" s="6"/>
      <c r="I24" s="6"/>
      <c r="J24" s="6"/>
      <c r="K24" s="6"/>
      <c r="L24" s="6"/>
      <c r="M24" s="6"/>
      <c r="N24" s="6">
        <f t="shared" si="3"/>
        <v>638</v>
      </c>
      <c r="O24" s="6">
        <f t="shared" si="2"/>
        <v>0</v>
      </c>
      <c r="P24" s="6"/>
      <c r="Q24" s="14">
        <v>22</v>
      </c>
      <c r="R24" s="6"/>
      <c r="S24" s="6"/>
      <c r="T24" s="6"/>
      <c r="U24" s="6"/>
    </row>
    <row r="25" spans="1:22" ht="15" customHeight="1" x14ac:dyDescent="0.3">
      <c r="A25" s="11">
        <v>30396567</v>
      </c>
      <c r="B25" s="11" t="s">
        <v>39</v>
      </c>
      <c r="C25" s="11">
        <v>455</v>
      </c>
      <c r="D25" s="11">
        <v>18</v>
      </c>
      <c r="E25" s="13">
        <f t="shared" si="0"/>
        <v>237510</v>
      </c>
      <c r="F25" s="6"/>
      <c r="G25" s="14">
        <v>522</v>
      </c>
      <c r="H25" s="6"/>
      <c r="I25" s="6"/>
      <c r="J25" s="6"/>
      <c r="K25" s="6"/>
      <c r="L25" s="6"/>
      <c r="M25" s="6"/>
      <c r="N25" s="6">
        <f t="shared" si="3"/>
        <v>522</v>
      </c>
      <c r="O25" s="6">
        <f t="shared" si="2"/>
        <v>0</v>
      </c>
      <c r="P25" s="6"/>
      <c r="Q25" s="14">
        <v>18</v>
      </c>
      <c r="R25" s="6"/>
      <c r="S25" s="6"/>
      <c r="T25" s="6"/>
      <c r="U25" s="6"/>
    </row>
    <row r="26" spans="1:22" ht="15" customHeight="1" x14ac:dyDescent="0.3">
      <c r="A26" s="11">
        <v>30397270</v>
      </c>
      <c r="B26" s="11" t="s">
        <v>40</v>
      </c>
      <c r="C26" s="11">
        <v>470</v>
      </c>
      <c r="D26" s="11">
        <v>18</v>
      </c>
      <c r="E26" s="13">
        <f t="shared" si="0"/>
        <v>96350</v>
      </c>
      <c r="F26" s="6"/>
      <c r="G26" s="14"/>
      <c r="H26" s="6"/>
      <c r="I26" s="6">
        <v>205</v>
      </c>
      <c r="J26" s="6"/>
      <c r="K26" s="6"/>
      <c r="L26" s="6"/>
      <c r="M26" s="6"/>
      <c r="N26" s="6">
        <f t="shared" si="3"/>
        <v>205</v>
      </c>
      <c r="O26" s="6">
        <f t="shared" si="2"/>
        <v>0</v>
      </c>
      <c r="P26" s="6"/>
      <c r="Q26" s="14"/>
      <c r="R26" s="6"/>
      <c r="S26" s="6">
        <v>8</v>
      </c>
      <c r="T26" s="6"/>
      <c r="U26" s="6"/>
    </row>
    <row r="27" spans="1:22" ht="15" customHeight="1" x14ac:dyDescent="0.3">
      <c r="A27" s="11">
        <v>30397371</v>
      </c>
      <c r="B27" s="11" t="s">
        <v>41</v>
      </c>
      <c r="C27" s="11">
        <v>475</v>
      </c>
      <c r="D27" s="11">
        <v>18</v>
      </c>
      <c r="E27" s="13">
        <f t="shared" si="0"/>
        <v>1336175</v>
      </c>
      <c r="F27" s="6">
        <v>874</v>
      </c>
      <c r="G27" s="14">
        <f>2229-290</f>
        <v>1939</v>
      </c>
      <c r="H27" s="6"/>
      <c r="I27" s="6"/>
      <c r="J27" s="6"/>
      <c r="K27" s="6"/>
      <c r="L27" s="6"/>
      <c r="M27" s="6"/>
      <c r="N27" s="6">
        <f t="shared" si="3"/>
        <v>2813</v>
      </c>
      <c r="O27" s="6">
        <f t="shared" si="2"/>
        <v>0</v>
      </c>
      <c r="P27" s="6">
        <v>31</v>
      </c>
      <c r="Q27" s="14">
        <f>77-10</f>
        <v>67</v>
      </c>
      <c r="R27" s="6"/>
      <c r="S27" s="6"/>
      <c r="T27" s="6"/>
      <c r="U27" s="6"/>
    </row>
    <row r="28" spans="1:22" ht="15" customHeight="1" x14ac:dyDescent="0.3">
      <c r="A28" s="11">
        <v>30397471</v>
      </c>
      <c r="B28" s="11" t="s">
        <v>42</v>
      </c>
      <c r="C28" s="11">
        <v>475</v>
      </c>
      <c r="D28" s="11">
        <v>18</v>
      </c>
      <c r="E28" s="13">
        <f t="shared" si="0"/>
        <v>4352900</v>
      </c>
      <c r="F28" s="6"/>
      <c r="G28" s="14">
        <v>9164</v>
      </c>
      <c r="H28" s="6"/>
      <c r="I28" s="6"/>
      <c r="J28" s="6"/>
      <c r="K28" s="6"/>
      <c r="L28" s="6"/>
      <c r="M28" s="6"/>
      <c r="N28" s="6">
        <f t="shared" si="3"/>
        <v>9164</v>
      </c>
      <c r="O28" s="6">
        <f t="shared" si="2"/>
        <v>0</v>
      </c>
      <c r="P28" s="6"/>
      <c r="Q28" s="14">
        <v>316</v>
      </c>
      <c r="R28" s="6"/>
      <c r="S28" s="6"/>
      <c r="T28" s="6"/>
      <c r="U28" s="6"/>
    </row>
    <row r="29" spans="1:22" ht="15" customHeight="1" x14ac:dyDescent="0.3">
      <c r="A29" s="11">
        <v>30397472</v>
      </c>
      <c r="B29" s="11" t="s">
        <v>43</v>
      </c>
      <c r="C29" s="11">
        <v>480</v>
      </c>
      <c r="D29" s="11">
        <v>18</v>
      </c>
      <c r="E29" s="13">
        <f t="shared" si="0"/>
        <v>76800</v>
      </c>
      <c r="F29" s="6">
        <f>150-106</f>
        <v>44</v>
      </c>
      <c r="G29" s="14">
        <v>116</v>
      </c>
      <c r="H29" s="6"/>
      <c r="I29" s="6"/>
      <c r="J29" s="6"/>
      <c r="K29" s="6"/>
      <c r="L29" s="6"/>
      <c r="M29" s="6"/>
      <c r="N29" s="6">
        <f t="shared" si="3"/>
        <v>160</v>
      </c>
      <c r="O29" s="6">
        <f t="shared" si="2"/>
        <v>0</v>
      </c>
      <c r="P29" s="6">
        <f>6-4</f>
        <v>2</v>
      </c>
      <c r="Q29" s="14">
        <v>4</v>
      </c>
      <c r="R29" s="6"/>
      <c r="S29" s="6"/>
      <c r="T29" s="6"/>
      <c r="U29" s="6"/>
    </row>
    <row r="30" spans="1:22" ht="15" customHeight="1" x14ac:dyDescent="0.3">
      <c r="A30" s="11">
        <v>30397571</v>
      </c>
      <c r="B30" s="11" t="s">
        <v>44</v>
      </c>
      <c r="C30" s="11">
        <v>475</v>
      </c>
      <c r="D30" s="11">
        <v>18</v>
      </c>
      <c r="E30" s="13">
        <f t="shared" si="0"/>
        <v>1366575</v>
      </c>
      <c r="F30" s="6"/>
      <c r="G30" s="14"/>
      <c r="H30" s="6"/>
      <c r="I30" s="6">
        <v>29</v>
      </c>
      <c r="J30" s="6">
        <v>2848</v>
      </c>
      <c r="K30" s="6"/>
      <c r="L30" s="6"/>
      <c r="M30" s="6"/>
      <c r="N30" s="6">
        <f t="shared" si="3"/>
        <v>2877</v>
      </c>
      <c r="O30" s="6">
        <f t="shared" si="2"/>
        <v>0</v>
      </c>
      <c r="P30" s="6"/>
      <c r="Q30" s="14"/>
      <c r="R30" s="6"/>
      <c r="S30" s="6">
        <v>1</v>
      </c>
      <c r="T30" s="6">
        <v>99</v>
      </c>
      <c r="U30" s="6"/>
    </row>
    <row r="31" spans="1:22" ht="15" customHeight="1" x14ac:dyDescent="0.3">
      <c r="A31" s="11">
        <v>30397871</v>
      </c>
      <c r="B31" s="11" t="s">
        <v>46</v>
      </c>
      <c r="C31" s="11">
        <v>475</v>
      </c>
      <c r="D31" s="11">
        <v>18</v>
      </c>
      <c r="E31" s="13">
        <f t="shared" si="0"/>
        <v>151525</v>
      </c>
      <c r="F31" s="6"/>
      <c r="G31" s="14"/>
      <c r="H31" s="6"/>
      <c r="I31" s="6"/>
      <c r="J31" s="6">
        <v>319</v>
      </c>
      <c r="K31" s="6"/>
      <c r="L31" s="6"/>
      <c r="M31" s="6"/>
      <c r="N31" s="6">
        <f t="shared" si="3"/>
        <v>319</v>
      </c>
      <c r="O31" s="6">
        <f t="shared" si="2"/>
        <v>0</v>
      </c>
      <c r="P31" s="6"/>
      <c r="Q31" s="14"/>
      <c r="R31" s="6"/>
      <c r="S31" s="6"/>
      <c r="T31" s="6">
        <v>11</v>
      </c>
      <c r="U31" s="6"/>
    </row>
    <row r="32" spans="1:22" ht="15" customHeight="1" x14ac:dyDescent="0.3">
      <c r="A32" s="11">
        <v>30397872</v>
      </c>
      <c r="B32" s="11" t="s">
        <v>47</v>
      </c>
      <c r="C32" s="11">
        <v>480</v>
      </c>
      <c r="D32" s="11">
        <v>18</v>
      </c>
      <c r="E32" s="13">
        <f t="shared" si="0"/>
        <v>27840</v>
      </c>
      <c r="F32" s="6"/>
      <c r="G32" s="14">
        <v>58</v>
      </c>
      <c r="H32" s="6"/>
      <c r="I32" s="6"/>
      <c r="J32" s="6"/>
      <c r="K32" s="6"/>
      <c r="L32" s="6"/>
      <c r="M32" s="6"/>
      <c r="N32" s="6">
        <f t="shared" si="3"/>
        <v>58</v>
      </c>
      <c r="O32" s="6">
        <f t="shared" si="2"/>
        <v>0</v>
      </c>
      <c r="P32" s="6"/>
      <c r="Q32" s="14">
        <v>2</v>
      </c>
      <c r="R32" s="6"/>
      <c r="S32" s="6"/>
      <c r="T32" s="6"/>
      <c r="U32" s="6"/>
      <c r="V32" s="2" t="s">
        <v>107</v>
      </c>
    </row>
    <row r="33" spans="1:22" ht="15" customHeight="1" x14ac:dyDescent="0.3">
      <c r="A33" s="25">
        <v>12005559</v>
      </c>
      <c r="B33" s="25" t="s">
        <v>34</v>
      </c>
      <c r="C33" s="25">
        <v>475</v>
      </c>
      <c r="D33" s="25">
        <v>15</v>
      </c>
      <c r="E33" s="13">
        <f t="shared" si="0"/>
        <v>325375</v>
      </c>
      <c r="F33" s="6"/>
      <c r="G33" s="14">
        <v>685</v>
      </c>
      <c r="H33" s="6"/>
      <c r="I33" s="6"/>
      <c r="J33" s="6"/>
      <c r="K33" s="6"/>
      <c r="L33" s="6"/>
      <c r="M33" s="6"/>
      <c r="N33" s="6">
        <f t="shared" si="3"/>
        <v>685</v>
      </c>
      <c r="O33" s="6">
        <f t="shared" si="2"/>
        <v>0</v>
      </c>
      <c r="P33" s="6"/>
      <c r="Q33" s="14">
        <v>25</v>
      </c>
      <c r="R33" s="6"/>
      <c r="S33" s="6"/>
      <c r="T33" s="6"/>
      <c r="U33" s="6"/>
    </row>
    <row r="34" spans="1:22" ht="15" customHeight="1" x14ac:dyDescent="0.3">
      <c r="A34" s="42">
        <v>12005804</v>
      </c>
      <c r="B34" s="25" t="s">
        <v>23</v>
      </c>
      <c r="C34" s="25">
        <v>425</v>
      </c>
      <c r="D34" s="25">
        <v>15</v>
      </c>
      <c r="E34" s="13">
        <f t="shared" si="0"/>
        <v>25500</v>
      </c>
      <c r="F34" s="6"/>
      <c r="G34" s="14"/>
      <c r="H34" s="6"/>
      <c r="I34" s="6">
        <v>60</v>
      </c>
      <c r="J34" s="6"/>
      <c r="K34" s="6"/>
      <c r="L34" s="6"/>
      <c r="M34" s="6"/>
      <c r="N34" s="6">
        <f t="shared" si="3"/>
        <v>60</v>
      </c>
      <c r="O34" s="6">
        <f t="shared" si="2"/>
        <v>0</v>
      </c>
      <c r="P34" s="6"/>
      <c r="Q34" s="14"/>
      <c r="R34" s="6"/>
      <c r="S34" s="6">
        <v>3</v>
      </c>
      <c r="T34" s="6"/>
      <c r="U34" s="6"/>
    </row>
    <row r="35" spans="1:22" ht="15" customHeight="1" x14ac:dyDescent="0.3">
      <c r="A35" s="42">
        <v>12005805</v>
      </c>
      <c r="B35" s="25" t="s">
        <v>33</v>
      </c>
      <c r="C35" s="25">
        <v>420</v>
      </c>
      <c r="D35" s="25">
        <v>15</v>
      </c>
      <c r="E35" s="13">
        <f t="shared" si="0"/>
        <v>26040</v>
      </c>
      <c r="F35" s="6"/>
      <c r="G35" s="14"/>
      <c r="H35" s="6"/>
      <c r="I35" s="6">
        <v>62</v>
      </c>
      <c r="J35" s="6"/>
      <c r="K35" s="6"/>
      <c r="L35" s="6"/>
      <c r="M35" s="6"/>
      <c r="N35" s="6">
        <f t="shared" si="3"/>
        <v>62</v>
      </c>
      <c r="O35" s="6">
        <f t="shared" si="2"/>
        <v>0</v>
      </c>
      <c r="P35" s="6"/>
      <c r="Q35" s="14"/>
      <c r="R35" s="6"/>
      <c r="S35" s="6">
        <v>4</v>
      </c>
      <c r="T35" s="6"/>
      <c r="U35" s="6"/>
    </row>
    <row r="36" spans="1:22" ht="15" customHeight="1" x14ac:dyDescent="0.3">
      <c r="A36" s="25">
        <v>12005832</v>
      </c>
      <c r="B36" s="25" t="s">
        <v>69</v>
      </c>
      <c r="C36" s="25">
        <v>480</v>
      </c>
      <c r="D36" s="25">
        <v>15</v>
      </c>
      <c r="E36" s="13">
        <f t="shared" si="0"/>
        <v>588480</v>
      </c>
      <c r="F36" s="6">
        <f>7800-2400-1800-2400</f>
        <v>1200</v>
      </c>
      <c r="G36" s="14">
        <v>26</v>
      </c>
      <c r="H36" s="6"/>
      <c r="I36" s="6"/>
      <c r="J36" s="6"/>
      <c r="K36" s="6"/>
      <c r="L36" s="6"/>
      <c r="M36" s="6"/>
      <c r="N36" s="6">
        <f t="shared" si="3"/>
        <v>1226</v>
      </c>
      <c r="O36" s="6">
        <f t="shared" si="2"/>
        <v>0</v>
      </c>
      <c r="P36" s="6">
        <f>260-80-60-80</f>
        <v>40</v>
      </c>
      <c r="Q36" s="14">
        <v>1</v>
      </c>
      <c r="R36" s="6"/>
      <c r="S36" s="6"/>
      <c r="T36" s="6"/>
      <c r="U36" s="6"/>
      <c r="V36" s="2" t="s">
        <v>107</v>
      </c>
    </row>
    <row r="37" spans="1:22" ht="15" customHeight="1" x14ac:dyDescent="0.3">
      <c r="A37" s="25">
        <v>12005833</v>
      </c>
      <c r="B37" s="25" t="s">
        <v>34</v>
      </c>
      <c r="C37" s="25">
        <v>475</v>
      </c>
      <c r="D37" s="25">
        <v>15</v>
      </c>
      <c r="E37" s="13">
        <f t="shared" si="0"/>
        <v>1509075</v>
      </c>
      <c r="F37" s="6">
        <f>39220-600-4212-1800-1200-2310-1170-1200-3600-3000-1200-600-3008-4800-6000-390-540-1200</f>
        <v>2390</v>
      </c>
      <c r="G37" s="14">
        <f>4987-3600-600</f>
        <v>787</v>
      </c>
      <c r="H37" s="6"/>
      <c r="I37" s="6"/>
      <c r="J37" s="6"/>
      <c r="K37" s="6"/>
      <c r="L37" s="6"/>
      <c r="M37" s="6"/>
      <c r="N37" s="6">
        <f t="shared" si="3"/>
        <v>3177</v>
      </c>
      <c r="O37" s="6">
        <f t="shared" si="2"/>
        <v>0</v>
      </c>
      <c r="P37" s="6">
        <f>1308-20-141-60-40-77-39-40-120-100-40-20-101+1-160-200-13-18-40</f>
        <v>80</v>
      </c>
      <c r="Q37" s="14">
        <f>167-120-20</f>
        <v>27</v>
      </c>
      <c r="R37" s="6"/>
      <c r="S37" s="6"/>
      <c r="T37" s="6"/>
      <c r="U37" s="6"/>
    </row>
    <row r="38" spans="1:22" ht="15" customHeight="1" x14ac:dyDescent="0.3">
      <c r="A38" s="25">
        <v>30376709</v>
      </c>
      <c r="B38" s="25" t="s">
        <v>70</v>
      </c>
      <c r="C38" s="25">
        <v>340</v>
      </c>
      <c r="D38" s="25">
        <v>15</v>
      </c>
      <c r="E38" s="13">
        <f t="shared" si="0"/>
        <v>130560</v>
      </c>
      <c r="F38" s="6"/>
      <c r="G38" s="14">
        <v>384</v>
      </c>
      <c r="H38" s="6"/>
      <c r="I38" s="6"/>
      <c r="J38" s="6"/>
      <c r="K38" s="6"/>
      <c r="L38" s="6"/>
      <c r="M38" s="6"/>
      <c r="N38" s="6">
        <f t="shared" si="3"/>
        <v>384</v>
      </c>
      <c r="O38" s="6">
        <f t="shared" si="2"/>
        <v>0</v>
      </c>
      <c r="P38" s="6"/>
      <c r="Q38" s="14">
        <v>12</v>
      </c>
      <c r="R38" s="6"/>
      <c r="S38" s="6"/>
      <c r="T38" s="6"/>
      <c r="U38" s="6"/>
    </row>
    <row r="39" spans="1:22" ht="15" customHeight="1" x14ac:dyDescent="0.3">
      <c r="A39" s="25">
        <v>30384561</v>
      </c>
      <c r="B39" s="25" t="s">
        <v>71</v>
      </c>
      <c r="C39" s="25">
        <v>425</v>
      </c>
      <c r="D39" s="25">
        <v>15</v>
      </c>
      <c r="E39" s="13">
        <f t="shared" si="0"/>
        <v>419050</v>
      </c>
      <c r="F39" s="6">
        <v>0</v>
      </c>
      <c r="G39" s="14">
        <v>986</v>
      </c>
      <c r="H39" s="6"/>
      <c r="I39" s="6"/>
      <c r="J39" s="6"/>
      <c r="K39" s="6"/>
      <c r="L39" s="6"/>
      <c r="M39" s="6"/>
      <c r="N39" s="6">
        <f t="shared" si="3"/>
        <v>986</v>
      </c>
      <c r="O39" s="6">
        <f t="shared" si="2"/>
        <v>0</v>
      </c>
      <c r="P39" s="6">
        <v>0</v>
      </c>
      <c r="Q39" s="14">
        <v>34</v>
      </c>
      <c r="R39" s="6"/>
      <c r="S39" s="6"/>
      <c r="T39" s="6"/>
      <c r="U39" s="6"/>
    </row>
    <row r="40" spans="1:22" ht="15" customHeight="1" x14ac:dyDescent="0.3">
      <c r="A40" s="25">
        <v>30390371</v>
      </c>
      <c r="B40" s="25" t="s">
        <v>76</v>
      </c>
      <c r="C40" s="25">
        <v>475</v>
      </c>
      <c r="D40" s="25">
        <v>15</v>
      </c>
      <c r="E40" s="13">
        <f t="shared" si="0"/>
        <v>13775</v>
      </c>
      <c r="F40" s="6">
        <v>29</v>
      </c>
      <c r="G40" s="14"/>
      <c r="H40" s="6"/>
      <c r="I40" s="6"/>
      <c r="J40" s="6">
        <v>0</v>
      </c>
      <c r="K40" s="6"/>
      <c r="L40" s="6"/>
      <c r="M40" s="6"/>
      <c r="N40" s="6">
        <f t="shared" si="3"/>
        <v>29</v>
      </c>
      <c r="O40" s="6">
        <f t="shared" si="2"/>
        <v>0</v>
      </c>
      <c r="P40" s="6">
        <v>1</v>
      </c>
      <c r="Q40" s="14"/>
      <c r="R40" s="6"/>
      <c r="S40" s="6"/>
      <c r="T40" s="6">
        <v>0</v>
      </c>
      <c r="U40" s="6"/>
    </row>
    <row r="41" spans="1:22" x14ac:dyDescent="0.3">
      <c r="A41" s="25">
        <v>30390372</v>
      </c>
      <c r="B41" s="25" t="s">
        <v>75</v>
      </c>
      <c r="C41" s="25">
        <v>480</v>
      </c>
      <c r="D41" s="25">
        <v>15</v>
      </c>
      <c r="E41" s="13">
        <f t="shared" si="0"/>
        <v>278400</v>
      </c>
      <c r="F41" s="6"/>
      <c r="G41" s="14">
        <f>232-58-174</f>
        <v>0</v>
      </c>
      <c r="H41" s="6"/>
      <c r="I41" s="6"/>
      <c r="J41" s="6">
        <v>580</v>
      </c>
      <c r="K41" s="6"/>
      <c r="L41" s="6"/>
      <c r="M41" s="6"/>
      <c r="N41" s="6">
        <f t="shared" si="3"/>
        <v>580</v>
      </c>
      <c r="O41" s="6">
        <f t="shared" si="2"/>
        <v>0</v>
      </c>
      <c r="P41" s="6"/>
      <c r="Q41" s="14">
        <f>8-2-6</f>
        <v>0</v>
      </c>
      <c r="R41" s="6"/>
      <c r="S41" s="6"/>
      <c r="T41" s="6">
        <v>20</v>
      </c>
      <c r="U41" s="6"/>
      <c r="V41" s="2" t="s">
        <v>107</v>
      </c>
    </row>
    <row r="42" spans="1:22" ht="15" customHeight="1" x14ac:dyDescent="0.3">
      <c r="A42" s="25">
        <v>30397471</v>
      </c>
      <c r="B42" s="25" t="s">
        <v>42</v>
      </c>
      <c r="C42" s="25">
        <v>475</v>
      </c>
      <c r="D42" s="25">
        <v>15</v>
      </c>
      <c r="E42" s="13">
        <f t="shared" si="0"/>
        <v>506350</v>
      </c>
      <c r="F42" s="6"/>
      <c r="G42" s="14"/>
      <c r="H42" s="6"/>
      <c r="I42" s="6">
        <f>3473-1798-609</f>
        <v>1066</v>
      </c>
      <c r="J42" s="6"/>
      <c r="K42" s="6"/>
      <c r="L42" s="6"/>
      <c r="M42" s="6"/>
      <c r="N42" s="6">
        <f t="shared" si="3"/>
        <v>1066</v>
      </c>
      <c r="O42" s="6">
        <f t="shared" si="2"/>
        <v>0</v>
      </c>
      <c r="P42" s="6"/>
      <c r="Q42" s="14"/>
      <c r="R42" s="6"/>
      <c r="S42" s="6">
        <f>120-62-21</f>
        <v>37</v>
      </c>
      <c r="T42" s="6"/>
      <c r="U42" s="6"/>
    </row>
    <row r="43" spans="1:22" ht="15" customHeight="1" x14ac:dyDescent="0.3">
      <c r="A43" s="25">
        <v>30397571</v>
      </c>
      <c r="B43" s="25" t="s">
        <v>44</v>
      </c>
      <c r="C43" s="25">
        <v>475</v>
      </c>
      <c r="D43" s="25">
        <v>15</v>
      </c>
      <c r="E43" s="13">
        <f t="shared" si="0"/>
        <v>5000325</v>
      </c>
      <c r="F43" s="6">
        <v>5162</v>
      </c>
      <c r="G43" s="14"/>
      <c r="H43" s="6"/>
      <c r="I43" s="6">
        <v>435</v>
      </c>
      <c r="J43" s="6">
        <v>4930</v>
      </c>
      <c r="K43" s="6"/>
      <c r="L43" s="6"/>
      <c r="M43" s="6"/>
      <c r="N43" s="6">
        <f t="shared" si="3"/>
        <v>10527</v>
      </c>
      <c r="O43" s="6">
        <f t="shared" si="2"/>
        <v>0</v>
      </c>
      <c r="P43" s="6">
        <v>178</v>
      </c>
      <c r="Q43" s="14"/>
      <c r="R43" s="6"/>
      <c r="S43" s="6">
        <v>15</v>
      </c>
      <c r="T43" s="6">
        <v>170</v>
      </c>
      <c r="U43" s="6"/>
    </row>
    <row r="44" spans="1:22" ht="15" customHeight="1" x14ac:dyDescent="0.3">
      <c r="A44" s="42">
        <v>30397572</v>
      </c>
      <c r="B44" s="25" t="s">
        <v>45</v>
      </c>
      <c r="C44" s="25">
        <v>480</v>
      </c>
      <c r="D44" s="25">
        <v>15</v>
      </c>
      <c r="E44" s="13">
        <f t="shared" si="0"/>
        <v>8177760</v>
      </c>
      <c r="F44" s="6">
        <f>50170-1276-5220-4060-4060-2900-4060-4060-4060-4060</f>
        <v>16414</v>
      </c>
      <c r="G44" s="14">
        <f>2146-1276-580-290</f>
        <v>0</v>
      </c>
      <c r="H44" s="6"/>
      <c r="I44" s="6">
        <v>406</v>
      </c>
      <c r="J44" s="6">
        <v>188</v>
      </c>
      <c r="K44" s="6"/>
      <c r="L44" s="6"/>
      <c r="M44" s="6">
        <v>29</v>
      </c>
      <c r="N44" s="6">
        <f t="shared" si="3"/>
        <v>17008</v>
      </c>
      <c r="O44" s="6">
        <f t="shared" si="2"/>
        <v>29</v>
      </c>
      <c r="P44" s="6">
        <f>1730-44-180-140-140-100-140-140-140-140</f>
        <v>566</v>
      </c>
      <c r="Q44" s="14">
        <f>74-44-20-10</f>
        <v>0</v>
      </c>
      <c r="R44" s="6"/>
      <c r="S44" s="6">
        <v>14</v>
      </c>
      <c r="T44" s="6">
        <v>8</v>
      </c>
      <c r="U44" s="6" t="s">
        <v>77</v>
      </c>
      <c r="V44" s="2" t="s">
        <v>107</v>
      </c>
    </row>
    <row r="45" spans="1:22" ht="15" customHeight="1" x14ac:dyDescent="0.3">
      <c r="A45" s="42">
        <v>30397871</v>
      </c>
      <c r="B45" s="25" t="s">
        <v>46</v>
      </c>
      <c r="C45" s="25">
        <v>475</v>
      </c>
      <c r="D45" s="25">
        <v>15</v>
      </c>
      <c r="E45" s="13">
        <f t="shared" si="0"/>
        <v>4484950</v>
      </c>
      <c r="F45" s="6"/>
      <c r="G45" s="14"/>
      <c r="H45" s="6"/>
      <c r="I45" s="6">
        <v>7702</v>
      </c>
      <c r="J45" s="6">
        <v>1740</v>
      </c>
      <c r="K45" s="6"/>
      <c r="L45" s="6"/>
      <c r="M45" s="6"/>
      <c r="N45" s="6">
        <f t="shared" si="3"/>
        <v>9442</v>
      </c>
      <c r="O45" s="6">
        <f t="shared" si="2"/>
        <v>0</v>
      </c>
      <c r="P45" s="6"/>
      <c r="Q45" s="14"/>
      <c r="R45" s="6"/>
      <c r="S45" s="6">
        <v>266</v>
      </c>
      <c r="T45" s="6">
        <v>60</v>
      </c>
      <c r="U45" s="6"/>
    </row>
    <row r="46" spans="1:22" ht="15" customHeight="1" x14ac:dyDescent="0.3">
      <c r="A46" s="42">
        <v>30397872</v>
      </c>
      <c r="B46" s="25" t="s">
        <v>47</v>
      </c>
      <c r="C46" s="25">
        <v>480</v>
      </c>
      <c r="D46" s="25">
        <v>15</v>
      </c>
      <c r="E46" s="13">
        <f t="shared" si="0"/>
        <v>91680</v>
      </c>
      <c r="F46" s="6">
        <v>29</v>
      </c>
      <c r="G46" s="14"/>
      <c r="H46" s="6"/>
      <c r="I46" s="6">
        <v>46</v>
      </c>
      <c r="J46" s="6">
        <v>116</v>
      </c>
      <c r="K46" s="6"/>
      <c r="L46" s="6"/>
      <c r="M46" s="6"/>
      <c r="N46" s="6">
        <f t="shared" si="3"/>
        <v>191</v>
      </c>
      <c r="O46" s="6">
        <f t="shared" si="2"/>
        <v>0</v>
      </c>
      <c r="P46" s="6">
        <v>1</v>
      </c>
      <c r="Q46" s="14"/>
      <c r="R46" s="6"/>
      <c r="S46" s="6">
        <v>2</v>
      </c>
      <c r="T46" s="6">
        <v>4</v>
      </c>
      <c r="U46" s="6"/>
      <c r="V46" s="2" t="s">
        <v>107</v>
      </c>
    </row>
    <row r="47" spans="1:22" ht="15" customHeight="1" x14ac:dyDescent="0.3">
      <c r="A47" s="57">
        <v>30390256</v>
      </c>
      <c r="B47" s="57" t="s">
        <v>111</v>
      </c>
      <c r="C47" s="57">
        <v>400</v>
      </c>
      <c r="D47" s="57">
        <v>14.75</v>
      </c>
      <c r="E47" s="13">
        <f>C47*(SUM(F47:M47))</f>
        <v>3744000</v>
      </c>
      <c r="F47" s="6"/>
      <c r="G47" s="14">
        <f>624+3120+624+1248+3744</f>
        <v>9360</v>
      </c>
      <c r="H47" s="6"/>
      <c r="I47" s="6"/>
      <c r="J47" s="6"/>
      <c r="K47" s="6"/>
      <c r="L47" s="6"/>
      <c r="M47" s="6"/>
      <c r="N47" s="6">
        <f t="shared" ref="N47" si="4">F47+G47+I47+H47+J47</f>
        <v>9360</v>
      </c>
      <c r="O47" s="6">
        <f t="shared" ref="O47" si="5">L47+K47+M47</f>
        <v>0</v>
      </c>
      <c r="P47" s="6"/>
      <c r="Q47" s="14">
        <f>24+120+24+48+144</f>
        <v>360</v>
      </c>
      <c r="R47" s="6"/>
      <c r="S47" s="6"/>
      <c r="T47" s="6"/>
      <c r="U47" s="6"/>
    </row>
    <row r="48" spans="1:22" ht="15" customHeight="1" x14ac:dyDescent="0.3">
      <c r="A48" s="56">
        <v>30390456</v>
      </c>
      <c r="B48" s="57" t="s">
        <v>104</v>
      </c>
      <c r="C48" s="57">
        <v>400</v>
      </c>
      <c r="D48" s="57">
        <v>14.75</v>
      </c>
      <c r="E48" s="13">
        <f>C48*(SUM(F48:M48))</f>
        <v>6336000</v>
      </c>
      <c r="F48" s="6"/>
      <c r="G48" s="14">
        <f>3840+6144+13056+6144+1536-9824-3200+1536-10304+6912</f>
        <v>15840</v>
      </c>
      <c r="H48" s="6"/>
      <c r="I48" s="6"/>
      <c r="J48" s="6"/>
      <c r="K48" s="6"/>
      <c r="L48" s="6"/>
      <c r="M48" s="6"/>
      <c r="N48" s="6">
        <f t="shared" ref="N48:N49" si="6">F48+G48+I48+H48+J48</f>
        <v>15840</v>
      </c>
      <c r="O48" s="6">
        <f t="shared" ref="O48:O49" si="7">L48+K48+M48</f>
        <v>0</v>
      </c>
      <c r="P48" s="6"/>
      <c r="Q48" s="14">
        <f>120+192+408+192+48-307-100+48-322+216</f>
        <v>495</v>
      </c>
      <c r="R48" s="6"/>
      <c r="S48" s="6"/>
      <c r="T48" s="6"/>
      <c r="U48" s="6"/>
    </row>
    <row r="49" spans="1:22" ht="15" customHeight="1" x14ac:dyDescent="0.3">
      <c r="A49" s="12">
        <v>10018044</v>
      </c>
      <c r="B49" s="12" t="s">
        <v>48</v>
      </c>
      <c r="C49" s="12">
        <v>265</v>
      </c>
      <c r="D49" s="12">
        <v>0</v>
      </c>
      <c r="E49" s="13">
        <f t="shared" si="0"/>
        <v>2120</v>
      </c>
      <c r="F49" s="6"/>
      <c r="G49" s="14"/>
      <c r="H49" s="6"/>
      <c r="I49" s="6"/>
      <c r="J49" s="6"/>
      <c r="K49" s="6"/>
      <c r="L49" s="6">
        <v>8</v>
      </c>
      <c r="M49" s="6"/>
      <c r="N49" s="6">
        <f t="shared" si="6"/>
        <v>0</v>
      </c>
      <c r="O49" s="6">
        <f t="shared" si="7"/>
        <v>8</v>
      </c>
      <c r="P49" s="6"/>
      <c r="Q49" s="14">
        <v>1</v>
      </c>
      <c r="R49" s="6"/>
      <c r="S49" s="6"/>
      <c r="T49" s="6"/>
      <c r="U49" s="6" t="s">
        <v>67</v>
      </c>
    </row>
    <row r="50" spans="1:22" ht="15" customHeight="1" x14ac:dyDescent="0.3">
      <c r="A50" s="12">
        <v>10018791</v>
      </c>
      <c r="B50" s="12" t="s">
        <v>49</v>
      </c>
      <c r="C50" s="12">
        <v>325</v>
      </c>
      <c r="D50" s="12">
        <v>0</v>
      </c>
      <c r="E50" s="13">
        <f t="shared" si="0"/>
        <v>975</v>
      </c>
      <c r="F50" s="6"/>
      <c r="G50" s="14"/>
      <c r="H50" s="6"/>
      <c r="I50" s="6"/>
      <c r="J50" s="6"/>
      <c r="K50" s="6"/>
      <c r="L50" s="6">
        <v>3</v>
      </c>
      <c r="M50" s="6"/>
      <c r="N50" s="6">
        <f t="shared" ref="N50:N64" si="8">F50+G50+I50+H50+J50</f>
        <v>0</v>
      </c>
      <c r="O50" s="6">
        <f t="shared" si="2"/>
        <v>3</v>
      </c>
      <c r="P50" s="6"/>
      <c r="Q50" s="14">
        <v>1</v>
      </c>
      <c r="R50" s="6"/>
      <c r="S50" s="6"/>
      <c r="T50" s="6"/>
      <c r="U50" s="6" t="s">
        <v>67</v>
      </c>
    </row>
    <row r="51" spans="1:22" ht="15" customHeight="1" x14ac:dyDescent="0.3">
      <c r="A51" s="12">
        <v>12005832</v>
      </c>
      <c r="B51" s="12" t="s">
        <v>69</v>
      </c>
      <c r="C51" s="12">
        <v>480</v>
      </c>
      <c r="D51" s="12">
        <v>0</v>
      </c>
      <c r="E51" s="13">
        <f t="shared" si="0"/>
        <v>2016000</v>
      </c>
      <c r="F51" s="6"/>
      <c r="G51" s="14">
        <f>1200-1200+2400-1800+2400+600+600</f>
        <v>4200</v>
      </c>
      <c r="H51" s="6"/>
      <c r="I51" s="6"/>
      <c r="J51" s="6"/>
      <c r="K51" s="6"/>
      <c r="L51" s="6"/>
      <c r="M51" s="6"/>
      <c r="N51" s="6">
        <f t="shared" ref="N51:N54" si="9">F51+G51+I51+H51+J51</f>
        <v>4200</v>
      </c>
      <c r="O51" s="6">
        <f t="shared" ref="O51:O54" si="10">L51+K51+M51</f>
        <v>0</v>
      </c>
      <c r="P51" s="6"/>
      <c r="Q51" s="14">
        <f>40-40+80-60+80+20+20</f>
        <v>140</v>
      </c>
      <c r="R51" s="6"/>
      <c r="S51" s="6"/>
      <c r="T51" s="6"/>
      <c r="U51" s="6"/>
      <c r="V51" s="2" t="s">
        <v>107</v>
      </c>
    </row>
    <row r="52" spans="1:22" ht="15" customHeight="1" x14ac:dyDescent="0.3">
      <c r="A52" s="12">
        <v>12005833</v>
      </c>
      <c r="B52" s="12" t="s">
        <v>34</v>
      </c>
      <c r="C52" s="12">
        <v>475</v>
      </c>
      <c r="D52" s="12">
        <v>0</v>
      </c>
      <c r="E52" s="13">
        <f t="shared" si="0"/>
        <v>2551225</v>
      </c>
      <c r="F52" s="6"/>
      <c r="G52" s="14">
        <f>1800+1800+1200+600-29</f>
        <v>5371</v>
      </c>
      <c r="H52" s="6"/>
      <c r="I52" s="6"/>
      <c r="J52" s="6"/>
      <c r="K52" s="6"/>
      <c r="L52" s="6"/>
      <c r="M52" s="6"/>
      <c r="N52" s="6">
        <f t="shared" si="9"/>
        <v>5371</v>
      </c>
      <c r="O52" s="6">
        <f t="shared" si="10"/>
        <v>0</v>
      </c>
      <c r="P52" s="6"/>
      <c r="Q52" s="14">
        <f>60+60+40+20-1+1</f>
        <v>180</v>
      </c>
      <c r="R52" s="6"/>
      <c r="S52" s="6"/>
      <c r="T52" s="6"/>
      <c r="U52" s="6"/>
    </row>
    <row r="53" spans="1:22" ht="15" customHeight="1" x14ac:dyDescent="0.3">
      <c r="A53" s="12">
        <v>30368358</v>
      </c>
      <c r="B53" s="12" t="s">
        <v>50</v>
      </c>
      <c r="C53" s="12">
        <v>410</v>
      </c>
      <c r="D53" s="12">
        <v>0</v>
      </c>
      <c r="E53" s="13">
        <f t="shared" si="0"/>
        <v>820</v>
      </c>
      <c r="F53" s="6"/>
      <c r="G53" s="14"/>
      <c r="H53" s="6"/>
      <c r="I53" s="6"/>
      <c r="J53" s="6"/>
      <c r="K53" s="6"/>
      <c r="L53" s="6">
        <v>2</v>
      </c>
      <c r="M53" s="6"/>
      <c r="N53" s="6">
        <f t="shared" si="9"/>
        <v>0</v>
      </c>
      <c r="O53" s="6">
        <f t="shared" si="10"/>
        <v>2</v>
      </c>
      <c r="P53" s="6"/>
      <c r="Q53" s="14">
        <v>2</v>
      </c>
      <c r="R53" s="6"/>
      <c r="S53" s="6"/>
      <c r="T53" s="6"/>
      <c r="U53" s="6" t="s">
        <v>68</v>
      </c>
    </row>
    <row r="54" spans="1:22" ht="15" customHeight="1" x14ac:dyDescent="0.3">
      <c r="A54" s="12">
        <v>30390370</v>
      </c>
      <c r="B54" s="12" t="s">
        <v>102</v>
      </c>
      <c r="C54" s="12">
        <v>470</v>
      </c>
      <c r="D54" s="12">
        <v>0</v>
      </c>
      <c r="E54" s="13">
        <f t="shared" si="0"/>
        <v>121730</v>
      </c>
      <c r="F54" s="6"/>
      <c r="G54" s="14">
        <v>259</v>
      </c>
      <c r="H54" s="6"/>
      <c r="I54" s="6"/>
      <c r="J54" s="6"/>
      <c r="K54" s="6"/>
      <c r="L54" s="6"/>
      <c r="M54" s="6"/>
      <c r="N54" s="6">
        <f t="shared" si="9"/>
        <v>259</v>
      </c>
      <c r="O54" s="6">
        <f t="shared" si="10"/>
        <v>0</v>
      </c>
      <c r="P54" s="6"/>
      <c r="Q54" s="14">
        <v>9</v>
      </c>
      <c r="R54" s="6"/>
      <c r="S54" s="6"/>
      <c r="T54" s="6"/>
      <c r="U54" s="6"/>
    </row>
    <row r="55" spans="1:22" ht="15" customHeight="1" x14ac:dyDescent="0.3">
      <c r="A55" s="12">
        <v>30390371</v>
      </c>
      <c r="B55" s="12" t="s">
        <v>76</v>
      </c>
      <c r="C55" s="12">
        <v>475</v>
      </c>
      <c r="D55" s="12">
        <v>0</v>
      </c>
      <c r="E55" s="13">
        <f t="shared" si="0"/>
        <v>5225</v>
      </c>
      <c r="F55" s="6"/>
      <c r="G55" s="14">
        <v>11</v>
      </c>
      <c r="H55" s="6"/>
      <c r="I55" s="6"/>
      <c r="J55" s="6"/>
      <c r="K55" s="6"/>
      <c r="L55" s="6"/>
      <c r="M55" s="6"/>
      <c r="N55" s="6">
        <f t="shared" si="8"/>
        <v>11</v>
      </c>
      <c r="O55" s="6">
        <f t="shared" si="2"/>
        <v>0</v>
      </c>
      <c r="P55" s="6"/>
      <c r="Q55" s="14">
        <v>1</v>
      </c>
      <c r="R55" s="6"/>
      <c r="S55" s="6"/>
      <c r="T55" s="6"/>
      <c r="U55" s="6"/>
    </row>
    <row r="56" spans="1:22" x14ac:dyDescent="0.3">
      <c r="A56" s="43">
        <v>30390372</v>
      </c>
      <c r="B56" s="12" t="s">
        <v>75</v>
      </c>
      <c r="C56" s="12">
        <v>480</v>
      </c>
      <c r="D56" s="12">
        <v>0</v>
      </c>
      <c r="E56" s="13">
        <f t="shared" si="0"/>
        <v>420000</v>
      </c>
      <c r="F56" s="6">
        <f>6380-638-3190-1740+638-580</f>
        <v>870</v>
      </c>
      <c r="G56" s="14">
        <f>295-290</f>
        <v>5</v>
      </c>
      <c r="H56" s="6"/>
      <c r="I56" s="6"/>
      <c r="J56" s="6"/>
      <c r="K56" s="6"/>
      <c r="L56" s="6"/>
      <c r="M56" s="6"/>
      <c r="N56" s="6">
        <f t="shared" si="8"/>
        <v>875</v>
      </c>
      <c r="O56" s="6">
        <f t="shared" si="2"/>
        <v>0</v>
      </c>
      <c r="P56" s="6">
        <f>220-22-110-60+22-20</f>
        <v>30</v>
      </c>
      <c r="Q56" s="14">
        <f>11-10</f>
        <v>1</v>
      </c>
      <c r="R56" s="6"/>
      <c r="S56" s="6"/>
      <c r="T56" s="6"/>
      <c r="U56" s="6"/>
      <c r="V56" s="2" t="s">
        <v>107</v>
      </c>
    </row>
    <row r="57" spans="1:22" ht="15" customHeight="1" x14ac:dyDescent="0.3">
      <c r="A57" s="12">
        <v>30390373</v>
      </c>
      <c r="B57" s="12" t="s">
        <v>86</v>
      </c>
      <c r="C57" s="12">
        <v>485</v>
      </c>
      <c r="D57" s="12">
        <v>0</v>
      </c>
      <c r="E57" s="13">
        <f t="shared" si="0"/>
        <v>16975</v>
      </c>
      <c r="F57" s="6"/>
      <c r="G57" s="14">
        <v>35</v>
      </c>
      <c r="H57" s="6"/>
      <c r="I57" s="6"/>
      <c r="J57" s="6"/>
      <c r="K57" s="6"/>
      <c r="L57" s="6"/>
      <c r="M57" s="6"/>
      <c r="N57" s="6">
        <f t="shared" si="8"/>
        <v>35</v>
      </c>
      <c r="O57" s="6">
        <f t="shared" si="2"/>
        <v>0</v>
      </c>
      <c r="P57" s="6"/>
      <c r="Q57" s="14">
        <v>2</v>
      </c>
      <c r="R57" s="6"/>
      <c r="S57" s="6"/>
      <c r="T57" s="6"/>
      <c r="U57" s="6"/>
    </row>
    <row r="58" spans="1:22" ht="15" customHeight="1" x14ac:dyDescent="0.3">
      <c r="A58" s="12">
        <v>30397570</v>
      </c>
      <c r="B58" s="12" t="s">
        <v>85</v>
      </c>
      <c r="C58" s="12">
        <v>470</v>
      </c>
      <c r="D58" s="12">
        <v>0</v>
      </c>
      <c r="E58" s="13">
        <f t="shared" si="0"/>
        <v>831430</v>
      </c>
      <c r="F58" s="6"/>
      <c r="G58" s="14">
        <v>1769</v>
      </c>
      <c r="H58" s="6"/>
      <c r="I58" s="6"/>
      <c r="J58" s="6"/>
      <c r="K58" s="6"/>
      <c r="L58" s="6"/>
      <c r="M58" s="6"/>
      <c r="N58" s="6">
        <f t="shared" si="8"/>
        <v>1769</v>
      </c>
      <c r="O58" s="6">
        <f t="shared" si="2"/>
        <v>0</v>
      </c>
      <c r="P58" s="6"/>
      <c r="Q58" s="14">
        <v>61</v>
      </c>
      <c r="R58" s="6"/>
      <c r="S58" s="6"/>
      <c r="T58" s="6"/>
      <c r="U58" s="6"/>
    </row>
    <row r="59" spans="1:22" ht="15" customHeight="1" x14ac:dyDescent="0.3">
      <c r="A59" s="12">
        <v>30397573</v>
      </c>
      <c r="B59" s="12" t="s">
        <v>101</v>
      </c>
      <c r="C59" s="12">
        <v>485</v>
      </c>
      <c r="D59" s="12">
        <v>0</v>
      </c>
      <c r="E59" s="13">
        <f t="shared" si="0"/>
        <v>638745</v>
      </c>
      <c r="F59" s="6"/>
      <c r="G59" s="14">
        <v>1317</v>
      </c>
      <c r="H59" s="6"/>
      <c r="I59" s="6"/>
      <c r="J59" s="6"/>
      <c r="K59" s="6"/>
      <c r="L59" s="6"/>
      <c r="M59" s="6"/>
      <c r="N59" s="6">
        <f t="shared" si="8"/>
        <v>1317</v>
      </c>
      <c r="O59" s="6">
        <f t="shared" si="2"/>
        <v>0</v>
      </c>
      <c r="P59" s="6"/>
      <c r="Q59" s="14">
        <v>46</v>
      </c>
      <c r="R59" s="6"/>
      <c r="S59" s="6"/>
      <c r="T59" s="6"/>
      <c r="U59" s="6"/>
    </row>
    <row r="60" spans="1:22" ht="15" customHeight="1" x14ac:dyDescent="0.3">
      <c r="A60" s="43">
        <v>30397571</v>
      </c>
      <c r="B60" s="12" t="s">
        <v>44</v>
      </c>
      <c r="C60" s="12">
        <v>475</v>
      </c>
      <c r="D60" s="12">
        <v>0</v>
      </c>
      <c r="E60" s="13">
        <f t="shared" si="0"/>
        <v>308750</v>
      </c>
      <c r="F60" s="6">
        <v>203</v>
      </c>
      <c r="G60" s="14">
        <v>447</v>
      </c>
      <c r="H60" s="6"/>
      <c r="I60" s="6"/>
      <c r="J60" s="6"/>
      <c r="K60" s="6"/>
      <c r="L60" s="6"/>
      <c r="M60" s="6"/>
      <c r="N60" s="6">
        <f t="shared" si="8"/>
        <v>650</v>
      </c>
      <c r="O60" s="6">
        <f t="shared" si="2"/>
        <v>0</v>
      </c>
      <c r="P60" s="6">
        <v>7</v>
      </c>
      <c r="Q60" s="14">
        <v>16</v>
      </c>
      <c r="R60" s="6"/>
      <c r="S60" s="6"/>
      <c r="T60" s="6"/>
      <c r="U60" s="6"/>
    </row>
    <row r="61" spans="1:22" ht="15" customHeight="1" x14ac:dyDescent="0.3">
      <c r="A61" s="43">
        <v>30397572</v>
      </c>
      <c r="B61" s="12" t="s">
        <v>45</v>
      </c>
      <c r="C61" s="12">
        <v>480</v>
      </c>
      <c r="D61" s="12">
        <v>0</v>
      </c>
      <c r="E61" s="13">
        <f t="shared" si="0"/>
        <v>342240</v>
      </c>
      <c r="F61" s="6">
        <v>580</v>
      </c>
      <c r="G61" s="14">
        <f>6397-4466-580-580-638</f>
        <v>133</v>
      </c>
      <c r="H61" s="6"/>
      <c r="I61" s="6"/>
      <c r="J61" s="6"/>
      <c r="K61" s="6"/>
      <c r="L61" s="6"/>
      <c r="M61" s="6"/>
      <c r="N61" s="6">
        <f t="shared" si="8"/>
        <v>713</v>
      </c>
      <c r="O61" s="6">
        <f t="shared" si="2"/>
        <v>0</v>
      </c>
      <c r="P61" s="6">
        <v>20</v>
      </c>
      <c r="Q61" s="14">
        <f>221-154-20-20-22</f>
        <v>5</v>
      </c>
      <c r="R61" s="6"/>
      <c r="S61" s="6"/>
      <c r="T61" s="6"/>
      <c r="U61" s="6"/>
      <c r="V61" s="2" t="s">
        <v>107</v>
      </c>
    </row>
    <row r="62" spans="1:22" ht="15" customHeight="1" x14ac:dyDescent="0.3">
      <c r="A62" s="12">
        <v>41101139</v>
      </c>
      <c r="B62" s="12" t="s">
        <v>51</v>
      </c>
      <c r="C62" s="12">
        <v>395</v>
      </c>
      <c r="D62" s="12">
        <v>0</v>
      </c>
      <c r="E62" s="13">
        <f t="shared" si="0"/>
        <v>3555</v>
      </c>
      <c r="F62" s="6"/>
      <c r="G62" s="14"/>
      <c r="H62" s="6"/>
      <c r="I62" s="6"/>
      <c r="J62" s="6"/>
      <c r="K62" s="6"/>
      <c r="L62" s="6">
        <v>9</v>
      </c>
      <c r="M62" s="6"/>
      <c r="N62" s="6">
        <f t="shared" si="8"/>
        <v>0</v>
      </c>
      <c r="O62" s="6">
        <f t="shared" si="2"/>
        <v>9</v>
      </c>
      <c r="P62" s="6"/>
      <c r="Q62" s="14">
        <v>2</v>
      </c>
      <c r="R62" s="6"/>
      <c r="S62" s="6"/>
      <c r="T62" s="6"/>
      <c r="U62" s="6" t="s">
        <v>67</v>
      </c>
    </row>
    <row r="63" spans="1:22" ht="15" customHeight="1" x14ac:dyDescent="0.3">
      <c r="A63" s="12">
        <v>43101139</v>
      </c>
      <c r="B63" s="12" t="s">
        <v>52</v>
      </c>
      <c r="C63" s="12">
        <v>395</v>
      </c>
      <c r="D63" s="12">
        <v>0</v>
      </c>
      <c r="E63" s="13">
        <f t="shared" si="0"/>
        <v>11455</v>
      </c>
      <c r="F63" s="6"/>
      <c r="G63" s="14"/>
      <c r="H63" s="6"/>
      <c r="I63" s="6"/>
      <c r="J63" s="6"/>
      <c r="K63" s="6"/>
      <c r="L63" s="6">
        <v>29</v>
      </c>
      <c r="M63" s="6"/>
      <c r="N63" s="6">
        <f t="shared" si="8"/>
        <v>0</v>
      </c>
      <c r="O63" s="6">
        <f t="shared" si="2"/>
        <v>29</v>
      </c>
      <c r="P63" s="6"/>
      <c r="Q63" s="14">
        <v>1</v>
      </c>
      <c r="R63" s="6"/>
      <c r="S63" s="6"/>
      <c r="T63" s="6"/>
      <c r="U63" s="15" t="s">
        <v>53</v>
      </c>
    </row>
    <row r="64" spans="1:22" ht="15" customHeight="1" x14ac:dyDescent="0.3">
      <c r="A64" s="12">
        <v>43202124</v>
      </c>
      <c r="B64" s="12" t="s">
        <v>54</v>
      </c>
      <c r="C64" s="12">
        <v>320</v>
      </c>
      <c r="D64" s="12">
        <v>0</v>
      </c>
      <c r="E64" s="13">
        <f t="shared" ref="E64:E70" si="11">C64*(SUM(F64:M64))</f>
        <v>61440</v>
      </c>
      <c r="F64" s="6">
        <v>128</v>
      </c>
      <c r="G64" s="14"/>
      <c r="H64" s="6"/>
      <c r="I64" s="6"/>
      <c r="J64" s="6"/>
      <c r="K64" s="6">
        <v>64</v>
      </c>
      <c r="L64" s="6"/>
      <c r="M64" s="6"/>
      <c r="N64" s="6">
        <f t="shared" si="8"/>
        <v>128</v>
      </c>
      <c r="O64" s="6">
        <f t="shared" si="2"/>
        <v>64</v>
      </c>
      <c r="P64" s="6">
        <v>6</v>
      </c>
      <c r="Q64" s="14"/>
      <c r="R64" s="6"/>
      <c r="S64" s="6"/>
      <c r="T64" s="6"/>
      <c r="U64" s="6"/>
    </row>
    <row r="65" spans="1:21" ht="15" customHeight="1" x14ac:dyDescent="0.3">
      <c r="A65" s="12">
        <v>43207124</v>
      </c>
      <c r="B65" s="12" t="s">
        <v>55</v>
      </c>
      <c r="C65" s="12">
        <v>320</v>
      </c>
      <c r="D65" s="12">
        <v>0</v>
      </c>
      <c r="E65" s="13">
        <f t="shared" si="11"/>
        <v>30720</v>
      </c>
      <c r="F65" s="6"/>
      <c r="G65" s="14"/>
      <c r="H65" s="6"/>
      <c r="I65" s="6"/>
      <c r="J65" s="6"/>
      <c r="K65" s="6"/>
      <c r="L65" s="6">
        <v>96</v>
      </c>
      <c r="M65" s="6"/>
      <c r="N65" s="6">
        <f t="shared" ref="N65:N69" si="12">F65+G65+I65+H65+J65</f>
        <v>0</v>
      </c>
      <c r="O65" s="6">
        <f t="shared" si="2"/>
        <v>96</v>
      </c>
      <c r="P65" s="6"/>
      <c r="Q65" s="14">
        <v>3</v>
      </c>
      <c r="R65" s="6"/>
      <c r="S65" s="6"/>
      <c r="T65" s="6"/>
      <c r="U65" s="6" t="s">
        <v>65</v>
      </c>
    </row>
    <row r="66" spans="1:21" ht="15" customHeight="1" x14ac:dyDescent="0.3">
      <c r="A66" s="12">
        <v>44103133</v>
      </c>
      <c r="B66" s="12" t="s">
        <v>56</v>
      </c>
      <c r="C66" s="12">
        <v>365</v>
      </c>
      <c r="D66" s="12">
        <v>0</v>
      </c>
      <c r="E66" s="13">
        <f t="shared" si="11"/>
        <v>21170</v>
      </c>
      <c r="F66" s="6"/>
      <c r="G66" s="14">
        <f>79-21</f>
        <v>58</v>
      </c>
      <c r="H66" s="6"/>
      <c r="I66" s="6"/>
      <c r="J66" s="6"/>
      <c r="K66" s="6"/>
      <c r="L66" s="6"/>
      <c r="M66" s="6"/>
      <c r="N66" s="6">
        <f t="shared" si="12"/>
        <v>58</v>
      </c>
      <c r="O66" s="6">
        <f t="shared" si="2"/>
        <v>0</v>
      </c>
      <c r="P66" s="6"/>
      <c r="Q66" s="14">
        <f>3-1</f>
        <v>2</v>
      </c>
      <c r="R66" s="6"/>
      <c r="S66" s="6"/>
      <c r="T66" s="6"/>
      <c r="U66" s="6"/>
    </row>
    <row r="67" spans="1:21" ht="15" customHeight="1" x14ac:dyDescent="0.3">
      <c r="A67" s="12">
        <v>49401140</v>
      </c>
      <c r="B67" s="12" t="s">
        <v>100</v>
      </c>
      <c r="C67" s="12">
        <v>400</v>
      </c>
      <c r="D67" s="12">
        <v>0</v>
      </c>
      <c r="E67" s="13">
        <f t="shared" si="11"/>
        <v>307200</v>
      </c>
      <c r="F67" s="6"/>
      <c r="G67" s="14">
        <v>768</v>
      </c>
      <c r="H67" s="6"/>
      <c r="I67" s="6"/>
      <c r="J67" s="6"/>
      <c r="K67" s="6"/>
      <c r="L67" s="6"/>
      <c r="M67" s="6"/>
      <c r="N67" s="6">
        <f t="shared" ref="N67:N68" si="13">F67+G67+I67+H67+J67</f>
        <v>768</v>
      </c>
      <c r="O67" s="6">
        <f t="shared" ref="O67:O68" si="14">L67+K67+M67</f>
        <v>0</v>
      </c>
      <c r="P67" s="6"/>
      <c r="Q67" s="14">
        <v>24</v>
      </c>
      <c r="R67" s="6"/>
      <c r="S67" s="6"/>
      <c r="T67" s="6"/>
      <c r="U67" s="6"/>
    </row>
    <row r="68" spans="1:21" ht="15" customHeight="1" x14ac:dyDescent="0.3">
      <c r="A68" s="12" t="s">
        <v>57</v>
      </c>
      <c r="B68" s="12" t="s">
        <v>58</v>
      </c>
      <c r="C68" s="12">
        <v>340</v>
      </c>
      <c r="D68" s="12">
        <v>0</v>
      </c>
      <c r="E68" s="13">
        <f t="shared" si="11"/>
        <v>29580</v>
      </c>
      <c r="F68" s="6"/>
      <c r="G68" s="14"/>
      <c r="H68" s="6"/>
      <c r="I68" s="6"/>
      <c r="J68" s="6"/>
      <c r="K68" s="6"/>
      <c r="L68" s="6">
        <v>87</v>
      </c>
      <c r="M68" s="6"/>
      <c r="N68" s="6">
        <f t="shared" si="13"/>
        <v>0</v>
      </c>
      <c r="O68" s="6">
        <f t="shared" si="14"/>
        <v>87</v>
      </c>
      <c r="P68" s="6"/>
      <c r="Q68" s="14">
        <v>3</v>
      </c>
      <c r="R68" s="6"/>
      <c r="S68" s="6"/>
      <c r="T68" s="6"/>
      <c r="U68" s="6" t="s">
        <v>66</v>
      </c>
    </row>
    <row r="69" spans="1:21" ht="15" customHeight="1" x14ac:dyDescent="0.3">
      <c r="A69" s="12" t="s">
        <v>59</v>
      </c>
      <c r="B69" s="12" t="s">
        <v>60</v>
      </c>
      <c r="C69" s="12">
        <v>260</v>
      </c>
      <c r="D69" s="12">
        <v>0</v>
      </c>
      <c r="E69" s="13">
        <f t="shared" si="11"/>
        <v>780</v>
      </c>
      <c r="F69" s="6"/>
      <c r="G69" s="14"/>
      <c r="H69" s="6"/>
      <c r="I69" s="6"/>
      <c r="J69" s="6"/>
      <c r="K69" s="6"/>
      <c r="L69" s="6">
        <v>3</v>
      </c>
      <c r="M69" s="6"/>
      <c r="N69" s="6">
        <f t="shared" si="12"/>
        <v>0</v>
      </c>
      <c r="O69" s="6">
        <f t="shared" ref="O69" si="15">L69+K69+M69</f>
        <v>3</v>
      </c>
      <c r="P69" s="6"/>
      <c r="Q69" s="14">
        <v>1</v>
      </c>
      <c r="R69" s="6"/>
      <c r="S69" s="6"/>
      <c r="T69" s="6"/>
      <c r="U69" s="6" t="s">
        <v>67</v>
      </c>
    </row>
    <row r="70" spans="1:21" ht="15" customHeight="1" thickBot="1" x14ac:dyDescent="0.35">
      <c r="A70" s="12" t="s">
        <v>61</v>
      </c>
      <c r="B70" s="12" t="s">
        <v>62</v>
      </c>
      <c r="C70" s="12">
        <v>310</v>
      </c>
      <c r="D70" s="12">
        <v>0</v>
      </c>
      <c r="E70" s="13">
        <f t="shared" si="11"/>
        <v>4340</v>
      </c>
      <c r="F70" s="17"/>
      <c r="G70" s="18">
        <v>14</v>
      </c>
      <c r="H70" s="17"/>
      <c r="I70" s="17"/>
      <c r="J70" s="17"/>
      <c r="K70" s="17"/>
      <c r="L70" s="17"/>
      <c r="M70" s="17"/>
      <c r="N70" s="6">
        <f t="shared" ref="N70" si="16">F70+G70+I70+H70+J70</f>
        <v>14</v>
      </c>
      <c r="O70" s="6">
        <f t="shared" ref="O70" si="17">L70+K70</f>
        <v>0</v>
      </c>
      <c r="P70" s="17"/>
      <c r="Q70" s="18">
        <v>1</v>
      </c>
      <c r="R70" s="17"/>
      <c r="S70" s="17"/>
      <c r="T70" s="17"/>
      <c r="U70" s="6" t="s">
        <v>63</v>
      </c>
    </row>
    <row r="71" spans="1:21" ht="15.75" customHeight="1" thickBot="1" x14ac:dyDescent="0.35">
      <c r="A71" s="2"/>
      <c r="B71" s="2"/>
      <c r="C71" s="2"/>
      <c r="D71" s="2"/>
      <c r="E71" s="2"/>
      <c r="F71" s="19">
        <f t="shared" ref="F71:T71" si="18">SUM(F3:F70)</f>
        <v>28137</v>
      </c>
      <c r="G71" s="19">
        <f t="shared" si="18"/>
        <v>85208</v>
      </c>
      <c r="H71" s="19">
        <f t="shared" si="18"/>
        <v>29</v>
      </c>
      <c r="I71" s="19">
        <f t="shared" si="18"/>
        <v>10011</v>
      </c>
      <c r="J71" s="19">
        <f t="shared" si="18"/>
        <v>11501</v>
      </c>
      <c r="K71" s="19">
        <f t="shared" si="18"/>
        <v>67</v>
      </c>
      <c r="L71" s="19">
        <f t="shared" si="18"/>
        <v>356</v>
      </c>
      <c r="M71" s="19">
        <f t="shared" si="18"/>
        <v>29</v>
      </c>
      <c r="N71" s="19">
        <f>SUM(N3:N70)</f>
        <v>134886</v>
      </c>
      <c r="O71" s="19">
        <f t="shared" si="18"/>
        <v>452</v>
      </c>
      <c r="P71" s="19">
        <f t="shared" si="18"/>
        <v>973</v>
      </c>
      <c r="Q71" s="19">
        <f>SUM(Q3:Q70)</f>
        <v>2936</v>
      </c>
      <c r="R71" s="19">
        <f t="shared" si="18"/>
        <v>1</v>
      </c>
      <c r="S71" s="19">
        <f t="shared" si="18"/>
        <v>350</v>
      </c>
      <c r="T71" s="19">
        <f t="shared" si="18"/>
        <v>398</v>
      </c>
      <c r="U71" s="2"/>
    </row>
  </sheetData>
  <autoFilter ref="A2:V71"/>
  <mergeCells count="3">
    <mergeCell ref="F1:J1"/>
    <mergeCell ref="P1:T1"/>
    <mergeCell ref="K1:M1"/>
  </mergeCells>
  <pageMargins left="0.7" right="0.7" top="0.75" bottom="0.75" header="0.3" footer="0.3"/>
  <pageSetup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tabSelected="1" workbookViewId="0">
      <selection activeCell="G10" sqref="G10"/>
    </sheetView>
  </sheetViews>
  <sheetFormatPr defaultRowHeight="14.4" x14ac:dyDescent="0.3"/>
  <cols>
    <col min="1" max="1" width="14.5546875" style="29" bestFit="1" customWidth="1"/>
    <col min="2" max="2" width="11.44140625" style="29" bestFit="1" customWidth="1"/>
    <col min="3" max="6" width="9.109375" style="29"/>
    <col min="7" max="7" width="10.6640625" style="29" bestFit="1" customWidth="1"/>
    <col min="9" max="9" width="14" customWidth="1"/>
    <col min="10" max="10" width="10.5546875" customWidth="1"/>
    <col min="11" max="11" width="10.88671875" customWidth="1"/>
    <col min="12" max="12" width="12.6640625" customWidth="1"/>
    <col min="13" max="13" width="10.6640625" customWidth="1"/>
    <col min="17" max="17" width="18.33203125" style="29" bestFit="1" customWidth="1"/>
    <col min="18" max="18" width="13.88671875" style="29" bestFit="1" customWidth="1"/>
    <col min="19" max="19" width="13.33203125" style="29" bestFit="1" customWidth="1"/>
    <col min="20" max="20" width="28" style="29" bestFit="1" customWidth="1"/>
    <col min="21" max="21" width="9.109375" style="29"/>
    <col min="22" max="22" width="7.88671875" style="29" bestFit="1" customWidth="1"/>
    <col min="23" max="23" width="7.6640625" style="29" customWidth="1"/>
    <col min="24" max="24" width="3.6640625" style="29" bestFit="1" customWidth="1"/>
    <col min="25" max="25" width="12.44140625" style="29" bestFit="1" customWidth="1"/>
    <col min="26" max="26" width="45" customWidth="1"/>
  </cols>
  <sheetData>
    <row r="1" spans="1:26" ht="28.2" thickBot="1" x14ac:dyDescent="0.35">
      <c r="A1" s="30" t="s">
        <v>79</v>
      </c>
      <c r="B1" s="30" t="s">
        <v>80</v>
      </c>
      <c r="C1" s="30" t="s">
        <v>3</v>
      </c>
      <c r="D1" s="30" t="s">
        <v>81</v>
      </c>
      <c r="E1" s="30" t="s">
        <v>82</v>
      </c>
      <c r="F1" s="30" t="s">
        <v>83</v>
      </c>
      <c r="G1" s="30" t="s">
        <v>84</v>
      </c>
      <c r="Q1" s="27" t="s">
        <v>88</v>
      </c>
      <c r="R1" s="27" t="s">
        <v>89</v>
      </c>
      <c r="S1" s="27" t="s">
        <v>90</v>
      </c>
      <c r="T1" s="27" t="s">
        <v>91</v>
      </c>
      <c r="U1" s="27" t="s">
        <v>3</v>
      </c>
      <c r="V1" s="27" t="s">
        <v>81</v>
      </c>
      <c r="W1" s="27" t="s">
        <v>92</v>
      </c>
      <c r="X1" s="27" t="s">
        <v>93</v>
      </c>
      <c r="Y1" s="28" t="s">
        <v>87</v>
      </c>
      <c r="Z1" s="27" t="s">
        <v>99</v>
      </c>
    </row>
    <row r="2" spans="1:26" ht="15" thickBot="1" x14ac:dyDescent="0.35">
      <c r="A2" s="26" t="s">
        <v>116</v>
      </c>
      <c r="B2" s="40" t="s">
        <v>78</v>
      </c>
      <c r="C2" s="60" t="s">
        <v>105</v>
      </c>
      <c r="D2" s="60">
        <v>14.75</v>
      </c>
      <c r="E2" s="40">
        <v>768</v>
      </c>
      <c r="F2" s="40">
        <v>24</v>
      </c>
      <c r="G2" s="41">
        <v>44683</v>
      </c>
      <c r="I2" s="34" t="s">
        <v>98</v>
      </c>
      <c r="J2" s="31" t="s">
        <v>84</v>
      </c>
      <c r="K2" s="31" t="s">
        <v>3</v>
      </c>
      <c r="L2" t="s">
        <v>97</v>
      </c>
      <c r="M2" t="s">
        <v>96</v>
      </c>
      <c r="Q2" s="46" t="s">
        <v>114</v>
      </c>
      <c r="R2" s="47" t="s">
        <v>115</v>
      </c>
      <c r="S2" s="48" t="s">
        <v>123</v>
      </c>
      <c r="T2" s="47" t="s">
        <v>69</v>
      </c>
      <c r="U2" s="49">
        <v>12005832</v>
      </c>
      <c r="V2" s="58">
        <v>0</v>
      </c>
      <c r="W2" s="47">
        <v>600</v>
      </c>
      <c r="X2" s="47">
        <v>20</v>
      </c>
      <c r="Y2" s="59">
        <v>44683</v>
      </c>
      <c r="Z2" s="61" t="s">
        <v>108</v>
      </c>
    </row>
    <row r="3" spans="1:26" ht="15" thickBot="1" x14ac:dyDescent="0.35">
      <c r="A3" s="26" t="s">
        <v>117</v>
      </c>
      <c r="B3" s="40" t="s">
        <v>78</v>
      </c>
      <c r="C3" s="60" t="s">
        <v>105</v>
      </c>
      <c r="D3" s="60" t="s">
        <v>121</v>
      </c>
      <c r="E3" s="40">
        <v>768</v>
      </c>
      <c r="F3" s="40">
        <v>24</v>
      </c>
      <c r="G3" s="41">
        <v>44683</v>
      </c>
      <c r="I3" s="32" t="s">
        <v>7</v>
      </c>
      <c r="J3" s="35">
        <v>44683</v>
      </c>
      <c r="K3" s="32" t="s">
        <v>103</v>
      </c>
      <c r="L3" s="33">
        <v>140</v>
      </c>
      <c r="M3" s="33">
        <v>4060</v>
      </c>
      <c r="Q3" s="51" t="s">
        <v>124</v>
      </c>
      <c r="R3" s="52" t="s">
        <v>125</v>
      </c>
      <c r="S3" s="53" t="s">
        <v>126</v>
      </c>
      <c r="T3" s="52" t="s">
        <v>111</v>
      </c>
      <c r="U3" s="54" t="s">
        <v>112</v>
      </c>
      <c r="V3" s="55">
        <v>14.75</v>
      </c>
      <c r="W3" s="52">
        <v>624</v>
      </c>
      <c r="X3" s="52">
        <v>24</v>
      </c>
      <c r="Y3" s="59">
        <v>44683</v>
      </c>
      <c r="Z3" t="s">
        <v>106</v>
      </c>
    </row>
    <row r="4" spans="1:26" ht="15" thickBot="1" x14ac:dyDescent="0.35">
      <c r="A4" s="26" t="s">
        <v>118</v>
      </c>
      <c r="B4" s="40" t="s">
        <v>78</v>
      </c>
      <c r="C4" s="60" t="s">
        <v>105</v>
      </c>
      <c r="D4" s="60">
        <v>14.75</v>
      </c>
      <c r="E4" s="40">
        <v>832</v>
      </c>
      <c r="F4" s="40">
        <v>26</v>
      </c>
      <c r="G4" s="41">
        <v>44683</v>
      </c>
      <c r="J4" s="35">
        <v>44684</v>
      </c>
      <c r="K4" s="32" t="s">
        <v>103</v>
      </c>
      <c r="L4" s="33">
        <v>140</v>
      </c>
      <c r="M4" s="33">
        <v>4060</v>
      </c>
      <c r="Q4" s="51" t="s">
        <v>127</v>
      </c>
      <c r="R4" s="52" t="s">
        <v>128</v>
      </c>
      <c r="S4" s="53" t="s">
        <v>129</v>
      </c>
      <c r="T4" s="52" t="s">
        <v>104</v>
      </c>
      <c r="U4" s="54" t="s">
        <v>105</v>
      </c>
      <c r="V4" s="55">
        <v>14.75</v>
      </c>
      <c r="W4" s="52">
        <v>768</v>
      </c>
      <c r="X4" s="52">
        <v>24</v>
      </c>
      <c r="Y4" s="59">
        <v>44683</v>
      </c>
      <c r="Z4" t="s">
        <v>106</v>
      </c>
    </row>
    <row r="5" spans="1:26" ht="15" thickBot="1" x14ac:dyDescent="0.35">
      <c r="A5" s="26" t="s">
        <v>119</v>
      </c>
      <c r="B5" s="40" t="s">
        <v>78</v>
      </c>
      <c r="C5" s="60" t="s">
        <v>105</v>
      </c>
      <c r="D5" s="60">
        <v>14.75</v>
      </c>
      <c r="E5" s="40">
        <v>832</v>
      </c>
      <c r="F5" s="40">
        <v>26</v>
      </c>
      <c r="G5" s="41">
        <v>44683</v>
      </c>
      <c r="I5" s="32" t="s">
        <v>78</v>
      </c>
      <c r="J5" s="35">
        <v>44683</v>
      </c>
      <c r="K5" s="32" t="s">
        <v>105</v>
      </c>
      <c r="L5" s="33">
        <v>100</v>
      </c>
      <c r="M5" s="33">
        <v>3200</v>
      </c>
      <c r="Q5" s="51" t="s">
        <v>130</v>
      </c>
      <c r="R5" s="52" t="s">
        <v>131</v>
      </c>
      <c r="S5" s="53" t="s">
        <v>132</v>
      </c>
      <c r="T5" s="52" t="s">
        <v>104</v>
      </c>
      <c r="U5" s="54" t="s">
        <v>105</v>
      </c>
      <c r="V5" s="55">
        <v>14.75</v>
      </c>
      <c r="W5" s="52">
        <v>768</v>
      </c>
      <c r="X5" s="52">
        <v>24</v>
      </c>
      <c r="Y5" s="59">
        <v>44683</v>
      </c>
      <c r="Z5" t="s">
        <v>106</v>
      </c>
    </row>
    <row r="6" spans="1:26" ht="15" thickBot="1" x14ac:dyDescent="0.35">
      <c r="A6" s="26" t="s">
        <v>120</v>
      </c>
      <c r="B6" s="40" t="s">
        <v>78</v>
      </c>
      <c r="C6" s="44">
        <v>12005833</v>
      </c>
      <c r="D6" s="44">
        <v>0</v>
      </c>
      <c r="E6" s="40">
        <v>29</v>
      </c>
      <c r="F6" s="40">
        <v>1</v>
      </c>
      <c r="G6" s="62">
        <v>44683</v>
      </c>
      <c r="H6" t="s">
        <v>122</v>
      </c>
      <c r="K6" s="32">
        <v>12005833</v>
      </c>
      <c r="L6" s="33">
        <v>1</v>
      </c>
      <c r="M6" s="33">
        <v>29</v>
      </c>
      <c r="Q6" s="46" t="s">
        <v>109</v>
      </c>
      <c r="R6" s="47" t="s">
        <v>110</v>
      </c>
      <c r="S6" s="48" t="s">
        <v>133</v>
      </c>
      <c r="T6" s="47" t="s">
        <v>111</v>
      </c>
      <c r="U6" s="49" t="s">
        <v>112</v>
      </c>
      <c r="V6" s="50">
        <v>14.75</v>
      </c>
      <c r="W6" s="47">
        <v>624</v>
      </c>
      <c r="X6" s="47">
        <v>24</v>
      </c>
      <c r="Y6" s="59">
        <v>44683</v>
      </c>
      <c r="Z6" t="s">
        <v>106</v>
      </c>
    </row>
    <row r="7" spans="1:26" ht="15" thickBot="1" x14ac:dyDescent="0.35">
      <c r="A7" s="26">
        <v>394731564</v>
      </c>
      <c r="B7" s="40" t="s">
        <v>7</v>
      </c>
      <c r="C7" s="45" t="s">
        <v>103</v>
      </c>
      <c r="D7" s="45">
        <v>15</v>
      </c>
      <c r="E7" s="40">
        <v>580</v>
      </c>
      <c r="F7" s="40">
        <v>20</v>
      </c>
      <c r="G7" s="41">
        <v>44683</v>
      </c>
      <c r="J7" s="35">
        <v>44684</v>
      </c>
      <c r="K7" s="32" t="s">
        <v>105</v>
      </c>
      <c r="L7" s="33">
        <v>322</v>
      </c>
      <c r="M7" s="33">
        <v>10304</v>
      </c>
      <c r="Q7" s="46" t="s">
        <v>150</v>
      </c>
      <c r="R7" s="47" t="s">
        <v>151</v>
      </c>
      <c r="S7" s="48" t="s">
        <v>152</v>
      </c>
      <c r="T7" s="47" t="s">
        <v>69</v>
      </c>
      <c r="U7" s="49">
        <v>12005832</v>
      </c>
      <c r="V7" s="58">
        <v>0</v>
      </c>
      <c r="W7" s="47">
        <v>600</v>
      </c>
      <c r="X7" s="47">
        <v>20</v>
      </c>
      <c r="Y7" s="59">
        <v>44684</v>
      </c>
      <c r="Z7" s="61" t="s">
        <v>108</v>
      </c>
    </row>
    <row r="8" spans="1:26" ht="15" thickBot="1" x14ac:dyDescent="0.35">
      <c r="A8" s="26">
        <v>394731611</v>
      </c>
      <c r="B8" s="40" t="s">
        <v>7</v>
      </c>
      <c r="C8" s="45" t="s">
        <v>103</v>
      </c>
      <c r="D8" s="45">
        <v>15</v>
      </c>
      <c r="E8" s="40">
        <v>580</v>
      </c>
      <c r="F8" s="40">
        <v>20</v>
      </c>
      <c r="G8" s="41">
        <v>44683</v>
      </c>
      <c r="I8" s="32" t="s">
        <v>94</v>
      </c>
      <c r="J8" s="32" t="s">
        <v>94</v>
      </c>
      <c r="K8" s="32" t="s">
        <v>94</v>
      </c>
      <c r="L8" s="33"/>
      <c r="M8" s="33"/>
      <c r="Q8" s="51" t="s">
        <v>109</v>
      </c>
      <c r="R8" s="52" t="s">
        <v>110</v>
      </c>
      <c r="S8" s="53" t="s">
        <v>153</v>
      </c>
      <c r="T8" s="52" t="s">
        <v>111</v>
      </c>
      <c r="U8" s="54" t="s">
        <v>112</v>
      </c>
      <c r="V8" s="55">
        <v>14.75</v>
      </c>
      <c r="W8" s="52">
        <v>624</v>
      </c>
      <c r="X8" s="52">
        <v>24</v>
      </c>
      <c r="Y8" s="59">
        <v>44684</v>
      </c>
      <c r="Z8" t="s">
        <v>106</v>
      </c>
    </row>
    <row r="9" spans="1:26" ht="15" thickBot="1" x14ac:dyDescent="0.35">
      <c r="A9" s="26">
        <v>394731634</v>
      </c>
      <c r="B9" s="40" t="s">
        <v>7</v>
      </c>
      <c r="C9" s="45" t="s">
        <v>103</v>
      </c>
      <c r="D9" s="45">
        <v>15</v>
      </c>
      <c r="E9" s="40">
        <v>580</v>
      </c>
      <c r="F9" s="40">
        <v>20</v>
      </c>
      <c r="G9" s="41">
        <v>44683</v>
      </c>
      <c r="I9" s="32" t="s">
        <v>95</v>
      </c>
      <c r="L9" s="33">
        <v>703</v>
      </c>
      <c r="M9" s="33">
        <v>21653</v>
      </c>
      <c r="Q9" s="51" t="s">
        <v>109</v>
      </c>
      <c r="R9" s="52" t="s">
        <v>110</v>
      </c>
      <c r="S9" s="53" t="s">
        <v>154</v>
      </c>
      <c r="T9" s="52" t="s">
        <v>111</v>
      </c>
      <c r="U9" s="54" t="s">
        <v>112</v>
      </c>
      <c r="V9" s="55">
        <v>14.75</v>
      </c>
      <c r="W9" s="52">
        <v>624</v>
      </c>
      <c r="X9" s="52">
        <v>24</v>
      </c>
      <c r="Y9" s="59">
        <v>44684</v>
      </c>
      <c r="Z9" t="s">
        <v>106</v>
      </c>
    </row>
    <row r="10" spans="1:26" ht="15" thickBot="1" x14ac:dyDescent="0.35">
      <c r="A10" s="26">
        <v>394731659</v>
      </c>
      <c r="B10" s="40" t="s">
        <v>7</v>
      </c>
      <c r="C10" s="45" t="s">
        <v>103</v>
      </c>
      <c r="D10" s="45">
        <v>15</v>
      </c>
      <c r="E10" s="40">
        <v>580</v>
      </c>
      <c r="F10" s="40">
        <v>20</v>
      </c>
      <c r="G10" s="41">
        <v>44683</v>
      </c>
      <c r="Q10" s="51" t="s">
        <v>124</v>
      </c>
      <c r="R10" s="52" t="s">
        <v>125</v>
      </c>
      <c r="S10" s="53" t="s">
        <v>155</v>
      </c>
      <c r="T10" s="52" t="s">
        <v>111</v>
      </c>
      <c r="U10" s="54" t="s">
        <v>112</v>
      </c>
      <c r="V10" s="55">
        <v>14.75</v>
      </c>
      <c r="W10" s="52">
        <v>624</v>
      </c>
      <c r="X10" s="52">
        <v>24</v>
      </c>
      <c r="Y10" s="59">
        <v>44684</v>
      </c>
      <c r="Z10" t="s">
        <v>106</v>
      </c>
    </row>
    <row r="11" spans="1:26" ht="15" thickBot="1" x14ac:dyDescent="0.35">
      <c r="A11" s="26">
        <v>394731679</v>
      </c>
      <c r="B11" s="40" t="s">
        <v>7</v>
      </c>
      <c r="C11" s="45" t="s">
        <v>103</v>
      </c>
      <c r="D11" s="45">
        <v>15</v>
      </c>
      <c r="E11" s="40">
        <v>580</v>
      </c>
      <c r="F11" s="40">
        <v>20</v>
      </c>
      <c r="G11" s="41">
        <v>44683</v>
      </c>
      <c r="Q11" s="51" t="s">
        <v>124</v>
      </c>
      <c r="R11" s="52" t="s">
        <v>125</v>
      </c>
      <c r="S11" s="53" t="s">
        <v>156</v>
      </c>
      <c r="T11" s="52" t="s">
        <v>111</v>
      </c>
      <c r="U11" s="54" t="s">
        <v>112</v>
      </c>
      <c r="V11" s="55">
        <v>14.75</v>
      </c>
      <c r="W11" s="52">
        <v>624</v>
      </c>
      <c r="X11" s="52">
        <v>24</v>
      </c>
      <c r="Y11" s="59">
        <v>44684</v>
      </c>
      <c r="Z11" t="s">
        <v>106</v>
      </c>
    </row>
    <row r="12" spans="1:26" ht="15" thickBot="1" x14ac:dyDescent="0.35">
      <c r="A12" s="26">
        <v>394731717</v>
      </c>
      <c r="B12" s="40" t="s">
        <v>7</v>
      </c>
      <c r="C12" s="45" t="s">
        <v>103</v>
      </c>
      <c r="D12" s="45">
        <v>15</v>
      </c>
      <c r="E12" s="40">
        <v>580</v>
      </c>
      <c r="F12" s="40">
        <v>20</v>
      </c>
      <c r="G12" s="41">
        <v>44683</v>
      </c>
      <c r="Q12" s="51" t="s">
        <v>124</v>
      </c>
      <c r="R12" s="52" t="s">
        <v>125</v>
      </c>
      <c r="S12" s="53" t="s">
        <v>157</v>
      </c>
      <c r="T12" s="52" t="s">
        <v>111</v>
      </c>
      <c r="U12" s="54" t="s">
        <v>112</v>
      </c>
      <c r="V12" s="55">
        <v>14.75</v>
      </c>
      <c r="W12" s="52">
        <v>624</v>
      </c>
      <c r="X12" s="52">
        <v>24</v>
      </c>
      <c r="Y12" s="59">
        <v>44684</v>
      </c>
      <c r="Z12" t="s">
        <v>106</v>
      </c>
    </row>
    <row r="13" spans="1:26" ht="15" thickBot="1" x14ac:dyDescent="0.35">
      <c r="A13" s="36">
        <v>394731739</v>
      </c>
      <c r="B13" s="40" t="s">
        <v>7</v>
      </c>
      <c r="C13" s="38" t="s">
        <v>103</v>
      </c>
      <c r="D13" s="38">
        <v>15</v>
      </c>
      <c r="E13" s="37">
        <v>580</v>
      </c>
      <c r="F13" s="37">
        <v>20</v>
      </c>
      <c r="G13" s="39">
        <v>44683</v>
      </c>
      <c r="Q13" s="51" t="s">
        <v>124</v>
      </c>
      <c r="R13" s="52" t="s">
        <v>125</v>
      </c>
      <c r="S13" s="53" t="s">
        <v>158</v>
      </c>
      <c r="T13" s="52" t="s">
        <v>111</v>
      </c>
      <c r="U13" s="54" t="s">
        <v>112</v>
      </c>
      <c r="V13" s="55">
        <v>14.75</v>
      </c>
      <c r="W13" s="52">
        <v>624</v>
      </c>
      <c r="X13" s="52">
        <v>24</v>
      </c>
      <c r="Y13" s="59">
        <v>44684</v>
      </c>
      <c r="Z13" t="s">
        <v>106</v>
      </c>
    </row>
    <row r="14" spans="1:26" ht="15" thickBot="1" x14ac:dyDescent="0.35">
      <c r="A14" s="26" t="s">
        <v>134</v>
      </c>
      <c r="B14" s="40" t="s">
        <v>78</v>
      </c>
      <c r="C14" s="60" t="s">
        <v>105</v>
      </c>
      <c r="D14" s="60">
        <v>14.75</v>
      </c>
      <c r="E14" s="40">
        <v>768</v>
      </c>
      <c r="F14" s="40">
        <v>24</v>
      </c>
      <c r="G14" s="41">
        <v>44684</v>
      </c>
      <c r="Q14" s="51" t="s">
        <v>127</v>
      </c>
      <c r="R14" s="52" t="s">
        <v>128</v>
      </c>
      <c r="S14" s="53" t="s">
        <v>159</v>
      </c>
      <c r="T14" s="52" t="s">
        <v>104</v>
      </c>
      <c r="U14" s="54" t="s">
        <v>105</v>
      </c>
      <c r="V14" s="55">
        <v>14.75</v>
      </c>
      <c r="W14" s="52">
        <v>768</v>
      </c>
      <c r="X14" s="52">
        <v>24</v>
      </c>
      <c r="Y14" s="59">
        <v>44684</v>
      </c>
      <c r="Z14" t="s">
        <v>106</v>
      </c>
    </row>
    <row r="15" spans="1:26" ht="15" thickBot="1" x14ac:dyDescent="0.35">
      <c r="A15" s="26" t="s">
        <v>135</v>
      </c>
      <c r="B15" s="40" t="s">
        <v>78</v>
      </c>
      <c r="C15" s="60" t="s">
        <v>105</v>
      </c>
      <c r="D15" s="60">
        <v>14.75</v>
      </c>
      <c r="E15" s="40">
        <v>224</v>
      </c>
      <c r="F15" s="40">
        <v>7</v>
      </c>
      <c r="G15" s="41">
        <v>44684</v>
      </c>
      <c r="Q15" s="51" t="s">
        <v>127</v>
      </c>
      <c r="R15" s="52" t="s">
        <v>128</v>
      </c>
      <c r="S15" s="53" t="s">
        <v>160</v>
      </c>
      <c r="T15" s="52" t="s">
        <v>104</v>
      </c>
      <c r="U15" s="54" t="s">
        <v>105</v>
      </c>
      <c r="V15" s="55">
        <v>14.75</v>
      </c>
      <c r="W15" s="52">
        <v>768</v>
      </c>
      <c r="X15" s="52">
        <v>24</v>
      </c>
      <c r="Y15" s="59">
        <v>44684</v>
      </c>
      <c r="Z15" t="s">
        <v>106</v>
      </c>
    </row>
    <row r="16" spans="1:26" ht="15" thickBot="1" x14ac:dyDescent="0.35">
      <c r="A16" s="26" t="s">
        <v>136</v>
      </c>
      <c r="B16" s="40" t="s">
        <v>78</v>
      </c>
      <c r="C16" s="60" t="s">
        <v>105</v>
      </c>
      <c r="D16" s="60">
        <v>14.75</v>
      </c>
      <c r="E16" s="40">
        <v>224</v>
      </c>
      <c r="F16" s="40">
        <v>7</v>
      </c>
      <c r="G16" s="41">
        <v>44684</v>
      </c>
      <c r="Q16" s="51" t="s">
        <v>127</v>
      </c>
      <c r="R16" s="52" t="s">
        <v>128</v>
      </c>
      <c r="S16" s="53" t="s">
        <v>161</v>
      </c>
      <c r="T16" s="52" t="s">
        <v>104</v>
      </c>
      <c r="U16" s="54" t="s">
        <v>105</v>
      </c>
      <c r="V16" s="55">
        <v>14.75</v>
      </c>
      <c r="W16" s="52">
        <v>768</v>
      </c>
      <c r="X16" s="52">
        <v>24</v>
      </c>
      <c r="Y16" s="59">
        <v>44684</v>
      </c>
      <c r="Z16" t="s">
        <v>106</v>
      </c>
    </row>
    <row r="17" spans="1:26" ht="15" thickBot="1" x14ac:dyDescent="0.35">
      <c r="A17" s="26" t="s">
        <v>137</v>
      </c>
      <c r="B17" s="40" t="s">
        <v>78</v>
      </c>
      <c r="C17" s="60" t="s">
        <v>105</v>
      </c>
      <c r="D17" s="60">
        <v>14.75</v>
      </c>
      <c r="E17" s="40">
        <v>768</v>
      </c>
      <c r="F17" s="40">
        <v>24</v>
      </c>
      <c r="G17" s="41">
        <v>44684</v>
      </c>
      <c r="Q17" s="51" t="s">
        <v>130</v>
      </c>
      <c r="R17" s="52" t="s">
        <v>131</v>
      </c>
      <c r="S17" s="53" t="s">
        <v>162</v>
      </c>
      <c r="T17" s="52" t="s">
        <v>104</v>
      </c>
      <c r="U17" s="54" t="s">
        <v>105</v>
      </c>
      <c r="V17" s="55">
        <v>14.75</v>
      </c>
      <c r="W17" s="52">
        <v>768</v>
      </c>
      <c r="X17" s="52">
        <v>24</v>
      </c>
      <c r="Y17" s="59">
        <v>44684</v>
      </c>
      <c r="Z17" t="s">
        <v>106</v>
      </c>
    </row>
    <row r="18" spans="1:26" ht="15" thickBot="1" x14ac:dyDescent="0.35">
      <c r="A18" s="26" t="s">
        <v>138</v>
      </c>
      <c r="B18" s="40" t="s">
        <v>78</v>
      </c>
      <c r="C18" s="60" t="s">
        <v>105</v>
      </c>
      <c r="D18" s="60">
        <v>14.75</v>
      </c>
      <c r="E18" s="40">
        <v>768</v>
      </c>
      <c r="F18" s="40">
        <v>24</v>
      </c>
      <c r="G18" s="41">
        <v>44684</v>
      </c>
      <c r="Q18" s="51" t="s">
        <v>130</v>
      </c>
      <c r="R18" s="52" t="s">
        <v>131</v>
      </c>
      <c r="S18" s="53" t="s">
        <v>163</v>
      </c>
      <c r="T18" s="52" t="s">
        <v>104</v>
      </c>
      <c r="U18" s="54" t="s">
        <v>105</v>
      </c>
      <c r="V18" s="55">
        <v>14.75</v>
      </c>
      <c r="W18" s="52">
        <v>768</v>
      </c>
      <c r="X18" s="52">
        <v>24</v>
      </c>
      <c r="Y18" s="59">
        <v>44684</v>
      </c>
      <c r="Z18" t="s">
        <v>106</v>
      </c>
    </row>
    <row r="19" spans="1:26" ht="15" thickBot="1" x14ac:dyDescent="0.35">
      <c r="A19" s="26" t="s">
        <v>139</v>
      </c>
      <c r="B19" s="40" t="s">
        <v>78</v>
      </c>
      <c r="C19" s="60" t="s">
        <v>105</v>
      </c>
      <c r="D19" s="60">
        <v>14.75</v>
      </c>
      <c r="E19" s="40">
        <v>544</v>
      </c>
      <c r="F19" s="40">
        <v>17</v>
      </c>
      <c r="G19" s="41">
        <v>44684</v>
      </c>
      <c r="Q19" s="51" t="s">
        <v>130</v>
      </c>
      <c r="R19" s="52" t="s">
        <v>131</v>
      </c>
      <c r="S19" s="53" t="s">
        <v>164</v>
      </c>
      <c r="T19" s="52" t="s">
        <v>104</v>
      </c>
      <c r="U19" s="54" t="s">
        <v>105</v>
      </c>
      <c r="V19" s="55">
        <v>14.75</v>
      </c>
      <c r="W19" s="52">
        <v>768</v>
      </c>
      <c r="X19" s="52">
        <v>24</v>
      </c>
      <c r="Y19" s="59">
        <v>44684</v>
      </c>
      <c r="Z19" t="s">
        <v>106</v>
      </c>
    </row>
    <row r="20" spans="1:26" ht="15" thickBot="1" x14ac:dyDescent="0.35">
      <c r="A20" s="26" t="s">
        <v>140</v>
      </c>
      <c r="B20" s="40" t="s">
        <v>78</v>
      </c>
      <c r="C20" s="60" t="s">
        <v>105</v>
      </c>
      <c r="D20" s="60" t="s">
        <v>121</v>
      </c>
      <c r="E20" s="40">
        <v>864</v>
      </c>
      <c r="F20" s="40">
        <v>27</v>
      </c>
      <c r="G20" s="41">
        <v>44684</v>
      </c>
      <c r="Q20" s="51" t="s">
        <v>130</v>
      </c>
      <c r="R20" s="52" t="s">
        <v>131</v>
      </c>
      <c r="S20" s="53" t="s">
        <v>165</v>
      </c>
      <c r="T20" s="52" t="s">
        <v>104</v>
      </c>
      <c r="U20" s="54" t="s">
        <v>105</v>
      </c>
      <c r="V20" s="55">
        <v>14.75</v>
      </c>
      <c r="W20" s="52">
        <v>768</v>
      </c>
      <c r="X20" s="52">
        <v>24</v>
      </c>
      <c r="Y20" s="59">
        <v>44684</v>
      </c>
      <c r="Z20" t="s">
        <v>106</v>
      </c>
    </row>
    <row r="21" spans="1:26" ht="15" thickBot="1" x14ac:dyDescent="0.35">
      <c r="A21" s="26" t="s">
        <v>141</v>
      </c>
      <c r="B21" s="40" t="s">
        <v>78</v>
      </c>
      <c r="C21" s="60" t="s">
        <v>105</v>
      </c>
      <c r="D21" s="60">
        <v>14.75</v>
      </c>
      <c r="E21" s="40">
        <v>608</v>
      </c>
      <c r="F21" s="40">
        <v>19</v>
      </c>
      <c r="G21" s="41">
        <v>44684</v>
      </c>
      <c r="Q21" s="51" t="s">
        <v>130</v>
      </c>
      <c r="R21" s="52" t="s">
        <v>131</v>
      </c>
      <c r="S21" s="53" t="s">
        <v>166</v>
      </c>
      <c r="T21" s="52" t="s">
        <v>104</v>
      </c>
      <c r="U21" s="54" t="s">
        <v>105</v>
      </c>
      <c r="V21" s="55">
        <v>14.75</v>
      </c>
      <c r="W21" s="52">
        <v>768</v>
      </c>
      <c r="X21" s="52">
        <v>24</v>
      </c>
      <c r="Y21" s="59">
        <v>44684</v>
      </c>
      <c r="Z21" t="s">
        <v>106</v>
      </c>
    </row>
    <row r="22" spans="1:26" ht="15" thickBot="1" x14ac:dyDescent="0.35">
      <c r="A22" s="26" t="s">
        <v>142</v>
      </c>
      <c r="B22" s="40" t="s">
        <v>78</v>
      </c>
      <c r="C22" s="60" t="s">
        <v>105</v>
      </c>
      <c r="D22" s="60" t="s">
        <v>121</v>
      </c>
      <c r="E22" s="40">
        <v>512</v>
      </c>
      <c r="F22" s="40">
        <v>16</v>
      </c>
      <c r="G22" s="41">
        <v>44684</v>
      </c>
      <c r="Q22" s="51" t="s">
        <v>130</v>
      </c>
      <c r="R22" s="52" t="s">
        <v>131</v>
      </c>
      <c r="S22" s="53" t="s">
        <v>167</v>
      </c>
      <c r="T22" s="52" t="s">
        <v>104</v>
      </c>
      <c r="U22" s="54" t="s">
        <v>105</v>
      </c>
      <c r="V22" s="55">
        <v>14.75</v>
      </c>
      <c r="W22" s="52">
        <v>768</v>
      </c>
      <c r="X22" s="52">
        <v>24</v>
      </c>
      <c r="Y22" s="59">
        <v>44684</v>
      </c>
      <c r="Z22" t="s">
        <v>106</v>
      </c>
    </row>
    <row r="23" spans="1:26" x14ac:dyDescent="0.3">
      <c r="A23" s="26" t="s">
        <v>143</v>
      </c>
      <c r="B23" s="40" t="s">
        <v>78</v>
      </c>
      <c r="C23" s="60" t="s">
        <v>105</v>
      </c>
      <c r="D23" s="60">
        <v>14.75</v>
      </c>
      <c r="E23" s="40">
        <v>640</v>
      </c>
      <c r="F23" s="40">
        <v>20</v>
      </c>
      <c r="G23" s="41">
        <v>44684</v>
      </c>
    </row>
    <row r="24" spans="1:26" x14ac:dyDescent="0.3">
      <c r="A24" s="26" t="s">
        <v>144</v>
      </c>
      <c r="B24" s="40" t="s">
        <v>78</v>
      </c>
      <c r="C24" s="60" t="s">
        <v>105</v>
      </c>
      <c r="D24" s="60">
        <v>14.75</v>
      </c>
      <c r="E24" s="40">
        <v>416</v>
      </c>
      <c r="F24" s="40">
        <v>13</v>
      </c>
      <c r="G24" s="41">
        <v>44684</v>
      </c>
    </row>
    <row r="25" spans="1:26" x14ac:dyDescent="0.3">
      <c r="A25" s="26" t="s">
        <v>145</v>
      </c>
      <c r="B25" s="40" t="s">
        <v>78</v>
      </c>
      <c r="C25" s="60" t="s">
        <v>105</v>
      </c>
      <c r="D25" s="60">
        <v>14.75</v>
      </c>
      <c r="E25" s="40">
        <v>832</v>
      </c>
      <c r="F25" s="40">
        <v>26</v>
      </c>
      <c r="G25" s="41">
        <v>44684</v>
      </c>
    </row>
    <row r="26" spans="1:26" x14ac:dyDescent="0.3">
      <c r="A26" s="26" t="s">
        <v>146</v>
      </c>
      <c r="B26" s="40" t="s">
        <v>78</v>
      </c>
      <c r="C26" s="60" t="s">
        <v>105</v>
      </c>
      <c r="D26" s="60">
        <v>14.75</v>
      </c>
      <c r="E26" s="40">
        <v>832</v>
      </c>
      <c r="F26" s="40">
        <v>26</v>
      </c>
      <c r="G26" s="41">
        <v>44684</v>
      </c>
    </row>
    <row r="27" spans="1:26" x14ac:dyDescent="0.3">
      <c r="A27" s="26" t="s">
        <v>147</v>
      </c>
      <c r="B27" s="40" t="s">
        <v>78</v>
      </c>
      <c r="C27" s="60" t="s">
        <v>105</v>
      </c>
      <c r="D27" s="60">
        <v>14.75</v>
      </c>
      <c r="E27" s="40">
        <v>768</v>
      </c>
      <c r="F27" s="40">
        <v>24</v>
      </c>
      <c r="G27" s="41">
        <v>44684</v>
      </c>
    </row>
    <row r="28" spans="1:26" x14ac:dyDescent="0.3">
      <c r="A28" s="26" t="s">
        <v>148</v>
      </c>
      <c r="B28" s="40" t="s">
        <v>78</v>
      </c>
      <c r="C28" s="60" t="s">
        <v>105</v>
      </c>
      <c r="D28" s="60">
        <v>14.75</v>
      </c>
      <c r="E28" s="40">
        <v>768</v>
      </c>
      <c r="F28" s="40">
        <v>24</v>
      </c>
      <c r="G28" s="41">
        <v>44684</v>
      </c>
    </row>
    <row r="29" spans="1:26" x14ac:dyDescent="0.3">
      <c r="A29" s="26" t="s">
        <v>149</v>
      </c>
      <c r="B29" s="40" t="s">
        <v>78</v>
      </c>
      <c r="C29" s="60" t="s">
        <v>105</v>
      </c>
      <c r="D29" s="60">
        <v>14.75</v>
      </c>
      <c r="E29" s="40">
        <v>768</v>
      </c>
      <c r="F29" s="40">
        <v>24</v>
      </c>
      <c r="G29" s="41">
        <v>44684</v>
      </c>
    </row>
    <row r="30" spans="1:26" x14ac:dyDescent="0.3">
      <c r="A30" s="26">
        <v>394731761</v>
      </c>
      <c r="B30" s="40" t="s">
        <v>7</v>
      </c>
      <c r="C30" s="45" t="s">
        <v>103</v>
      </c>
      <c r="D30" s="45">
        <v>15</v>
      </c>
      <c r="E30" s="40">
        <v>580</v>
      </c>
      <c r="F30" s="40">
        <v>20</v>
      </c>
      <c r="G30" s="41">
        <v>44684</v>
      </c>
    </row>
    <row r="31" spans="1:26" x14ac:dyDescent="0.3">
      <c r="A31" s="26">
        <v>394731786</v>
      </c>
      <c r="B31" s="40" t="s">
        <v>7</v>
      </c>
      <c r="C31" s="45" t="s">
        <v>103</v>
      </c>
      <c r="D31" s="45">
        <v>15</v>
      </c>
      <c r="E31" s="40">
        <v>580</v>
      </c>
      <c r="F31" s="40">
        <v>20</v>
      </c>
      <c r="G31" s="41">
        <v>44684</v>
      </c>
    </row>
    <row r="32" spans="1:26" x14ac:dyDescent="0.3">
      <c r="A32" s="26">
        <v>394731867</v>
      </c>
      <c r="B32" s="40" t="s">
        <v>7</v>
      </c>
      <c r="C32" s="45" t="s">
        <v>103</v>
      </c>
      <c r="D32" s="45">
        <v>15</v>
      </c>
      <c r="E32" s="40">
        <v>580</v>
      </c>
      <c r="F32" s="40">
        <v>20</v>
      </c>
      <c r="G32" s="41">
        <v>44684</v>
      </c>
    </row>
    <row r="33" spans="1:11" x14ac:dyDescent="0.3">
      <c r="A33" s="26">
        <v>394732027</v>
      </c>
      <c r="B33" s="40" t="s">
        <v>7</v>
      </c>
      <c r="C33" s="45" t="s">
        <v>103</v>
      </c>
      <c r="D33" s="45">
        <v>15</v>
      </c>
      <c r="E33" s="40">
        <v>580</v>
      </c>
      <c r="F33" s="40">
        <v>20</v>
      </c>
      <c r="G33" s="41">
        <v>44684</v>
      </c>
    </row>
    <row r="34" spans="1:11" x14ac:dyDescent="0.3">
      <c r="A34" s="26">
        <v>395265426</v>
      </c>
      <c r="B34" s="40" t="s">
        <v>7</v>
      </c>
      <c r="C34" s="45" t="s">
        <v>103</v>
      </c>
      <c r="D34" s="45">
        <v>15</v>
      </c>
      <c r="E34" s="40">
        <v>580</v>
      </c>
      <c r="F34" s="40">
        <v>20</v>
      </c>
      <c r="G34" s="41">
        <v>44684</v>
      </c>
    </row>
    <row r="35" spans="1:11" x14ac:dyDescent="0.3">
      <c r="A35" s="26">
        <v>395267749</v>
      </c>
      <c r="B35" s="40" t="s">
        <v>7</v>
      </c>
      <c r="C35" s="45" t="s">
        <v>103</v>
      </c>
      <c r="D35" s="45">
        <v>15</v>
      </c>
      <c r="E35" s="40">
        <v>580</v>
      </c>
      <c r="F35" s="40">
        <v>20</v>
      </c>
      <c r="G35" s="41">
        <v>44684</v>
      </c>
      <c r="I35" s="31" t="s">
        <v>168</v>
      </c>
      <c r="J35" t="s">
        <v>170</v>
      </c>
      <c r="K35" t="s">
        <v>169</v>
      </c>
    </row>
    <row r="36" spans="1:11" ht="15" thickBot="1" x14ac:dyDescent="0.35">
      <c r="A36" s="36">
        <v>395267903</v>
      </c>
      <c r="B36" s="40" t="s">
        <v>7</v>
      </c>
      <c r="C36" s="38" t="s">
        <v>103</v>
      </c>
      <c r="D36" s="38">
        <v>15</v>
      </c>
      <c r="E36" s="37">
        <v>580</v>
      </c>
      <c r="F36" s="37">
        <v>20</v>
      </c>
      <c r="G36" s="39">
        <v>44684</v>
      </c>
      <c r="I36" s="35">
        <v>44683</v>
      </c>
      <c r="J36" s="33">
        <v>116</v>
      </c>
      <c r="K36" s="33">
        <v>3384</v>
      </c>
    </row>
    <row r="37" spans="1:11" x14ac:dyDescent="0.3">
      <c r="I37" s="63">
        <v>12005832</v>
      </c>
      <c r="J37" s="33">
        <v>20</v>
      </c>
      <c r="K37" s="33">
        <v>600</v>
      </c>
    </row>
    <row r="38" spans="1:11" x14ac:dyDescent="0.3">
      <c r="I38" s="63" t="s">
        <v>112</v>
      </c>
      <c r="J38" s="33">
        <v>48</v>
      </c>
      <c r="K38" s="33">
        <v>1248</v>
      </c>
    </row>
    <row r="39" spans="1:11" x14ac:dyDescent="0.3">
      <c r="I39" s="63" t="s">
        <v>105</v>
      </c>
      <c r="J39" s="33">
        <v>48</v>
      </c>
      <c r="K39" s="33">
        <v>1536</v>
      </c>
    </row>
    <row r="40" spans="1:11" x14ac:dyDescent="0.3">
      <c r="I40" s="35">
        <v>44684</v>
      </c>
      <c r="J40" s="33">
        <v>380</v>
      </c>
      <c r="K40" s="33">
        <v>11256</v>
      </c>
    </row>
    <row r="41" spans="1:11" x14ac:dyDescent="0.3">
      <c r="I41" s="63">
        <v>12005832</v>
      </c>
      <c r="J41" s="33">
        <v>20</v>
      </c>
      <c r="K41" s="33">
        <v>600</v>
      </c>
    </row>
    <row r="42" spans="1:11" x14ac:dyDescent="0.3">
      <c r="I42" s="63" t="s">
        <v>112</v>
      </c>
      <c r="J42" s="33">
        <v>144</v>
      </c>
      <c r="K42" s="33">
        <v>3744</v>
      </c>
    </row>
    <row r="43" spans="1:11" x14ac:dyDescent="0.3">
      <c r="I43" s="63" t="s">
        <v>105</v>
      </c>
      <c r="J43" s="33">
        <v>216</v>
      </c>
      <c r="K43" s="33">
        <v>6912</v>
      </c>
    </row>
    <row r="44" spans="1:11" x14ac:dyDescent="0.3">
      <c r="I44" s="32" t="s">
        <v>94</v>
      </c>
      <c r="J44" s="33"/>
      <c r="K44" s="33"/>
    </row>
    <row r="45" spans="1:11" x14ac:dyDescent="0.3">
      <c r="I45" s="63" t="s">
        <v>94</v>
      </c>
      <c r="J45" s="33"/>
      <c r="K45" s="33"/>
    </row>
    <row r="46" spans="1:11" x14ac:dyDescent="0.3">
      <c r="I46" s="32" t="s">
        <v>95</v>
      </c>
      <c r="J46" s="33">
        <v>496</v>
      </c>
      <c r="K46" s="33">
        <v>14640</v>
      </c>
    </row>
    <row r="67" spans="27:27" x14ac:dyDescent="0.3">
      <c r="AA67" s="29"/>
    </row>
    <row r="68" spans="27:27" x14ac:dyDescent="0.3">
      <c r="AA68" s="29"/>
    </row>
    <row r="69" spans="27:27" x14ac:dyDescent="0.3">
      <c r="AA69" s="29"/>
    </row>
  </sheetData>
  <autoFilter ref="Q1:Z22"/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Daily 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SDSA</cp:lastModifiedBy>
  <dcterms:created xsi:type="dcterms:W3CDTF">2021-10-09T04:12:47Z</dcterms:created>
  <dcterms:modified xsi:type="dcterms:W3CDTF">2022-05-04T21:16:15Z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