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3.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omments1.xml" ContentType="application/vnd.openxmlformats-officedocument.spreadsheetml.comments+xml"/>
  <Override PartName="/xl/drawings/drawing9.xml" ContentType="application/vnd.openxmlformats-officedocument.drawing+xml"/>
  <Override PartName="/xl/ctrlProps/ctrlProp40.xml" ContentType="application/vnd.ms-excel.controlproperties+xml"/>
  <Override PartName="/xl/drawings/drawing10.xml" ContentType="application/vnd.openxmlformats-officedocument.drawing+xml"/>
  <Override PartName="/xl/drawings/drawing11.xml" ContentType="application/vnd.openxmlformats-officedocument.drawing+xml"/>
  <Override PartName="/xl/ctrlProps/ctrlProp41.xml" ContentType="application/vnd.ms-excel.controlproperties+xml"/>
  <Override PartName="/xl/drawings/drawing12.xml" ContentType="application/vnd.openxmlformats-officedocument.drawing+xml"/>
  <Override PartName="/xl/drawings/drawing13.xml" ContentType="application/vnd.openxmlformats-officedocument.drawing+xml"/>
  <Override PartName="/xl/ctrlProps/ctrlProp4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DC747B9D-DBBB-FA85-71B4-595EBAB97821}"/>
  <workbookPr codeName="현재_통합_문서"/>
  <mc:AlternateContent xmlns:mc="http://schemas.openxmlformats.org/markup-compatibility/2006">
    <mc:Choice Requires="x15">
      <x15ac:absPath xmlns:x15ac="http://schemas.microsoft.com/office/spreadsheetml/2010/11/ac" url="C:\Users\netne\Desktop\신규홈페이지 데이터\리스\해제완료\"/>
    </mc:Choice>
  </mc:AlternateContent>
  <xr:revisionPtr revIDLastSave="0" documentId="13_ncr:1_{9901D1ED-EC8C-4644-83E7-2D7A183703CA}" xr6:coauthVersionLast="47" xr6:coauthVersionMax="47" xr10:uidLastSave="{00000000-0000-0000-0000-000000000000}"/>
  <bookViews>
    <workbookView xWindow="-120" yWindow="-120" windowWidth="29040" windowHeight="15840" tabRatio="717" activeTab="1" xr2:uid="{00000000-000D-0000-FFFF-FFFF00000000}"/>
  </bookViews>
  <sheets>
    <sheet name="AG 입력시트" sheetId="3" r:id="rId1"/>
    <sheet name="운용리스_단일" sheetId="24" r:id="rId2"/>
    <sheet name="운용리스_비교" sheetId="1" state="hidden" r:id="rId3"/>
    <sheet name="계산_운용리스" sheetId="6" state="veryHidden" r:id="rId4"/>
    <sheet name="계산_운용리스_단일" sheetId="25" state="hidden" r:id="rId5"/>
    <sheet name="탁송" sheetId="29" state="veryHidden" r:id="rId6"/>
    <sheet name="실행요청서(본사직원사용)" sheetId="33" state="veryHidden" r:id="rId7"/>
    <sheet name="자금집행요청서" sheetId="39" state="hidden" r:id="rId8"/>
    <sheet name="실행(발주)요청서" sheetId="34" state="hidden" r:id="rId9"/>
    <sheet name="프로모션잔가시트" sheetId="43" state="veryHidden" r:id="rId10"/>
    <sheet name="전산입력용_단일" sheetId="31" state="veryHidden" r:id="rId11"/>
    <sheet name="차량정보" sheetId="7" r:id="rId12"/>
    <sheet name="제휴조건" sheetId="8" state="veryHidden" r:id="rId13"/>
    <sheet name="공채확인서" sheetId="40" state="hidden" r:id="rId14"/>
    <sheet name="할부" sheetId="27" state="hidden" r:id="rId15"/>
    <sheet name="할부금융계산" sheetId="15" state="veryHidden" r:id="rId16"/>
    <sheet name="카버스 실행요청서(제휴점)" sheetId="41" state="veryHidden" r:id="rId17"/>
    <sheet name="전기차특약" sheetId="37" state="veryHidden" r:id="rId18"/>
    <sheet name="보조금22" sheetId="36" state="hidden" r:id="rId19"/>
    <sheet name="보조금" sheetId="38" state="veryHidden" r:id="rId20"/>
    <sheet name="기타_용품" sheetId="28" state="hidden" r:id="rId21"/>
    <sheet name="카버스용품" sheetId="42" state="veryHidden" r:id="rId22"/>
  </sheets>
  <externalReferences>
    <externalReference r:id="rId23"/>
    <externalReference r:id="rId24"/>
    <externalReference r:id="rId25"/>
    <externalReference r:id="rId26"/>
    <externalReference r:id="rId27"/>
    <externalReference r:id="rId28"/>
  </externalReferences>
  <definedNames>
    <definedName name="_xlnm._FilterDatabase" localSheetId="18" hidden="1">보조금22!$B$3:$W$19</definedName>
    <definedName name="_xlnm._FilterDatabase" localSheetId="8" hidden="1">'실행(발주)요청서'!#REF!</definedName>
    <definedName name="_xlnm._FilterDatabase" localSheetId="6" hidden="1">'실행요청서(본사직원사용)'!#REF!</definedName>
    <definedName name="_xlnm._FilterDatabase" localSheetId="11" hidden="1">차량정보!$A$3:$CK$702</definedName>
    <definedName name="_xlnm._FilterDatabase" localSheetId="16" hidden="1">'카버스 실행요청서(제휴점)'!#REF!</definedName>
    <definedName name="_xlnm._FilterDatabase" localSheetId="5" hidden="1">탁송!$A$2:$U$149</definedName>
    <definedName name="AUDI">차량정보!$D$275:$D$361</definedName>
    <definedName name="AUDI_제휴">차량정보!$AL$14:$AL$15</definedName>
    <definedName name="BENTLEY">차량정보!$D$798:$D$802</definedName>
    <definedName name="Benz">차량정보!$D$4:$D$109</definedName>
    <definedName name="Benz_제휴">차량정보!$AL$5:$AL$10</definedName>
    <definedName name="BM">[1]수입차물품!$C$3:$C$51</definedName>
    <definedName name="BMW">차량정보!$D$118:$D$269</definedName>
    <definedName name="BMW_제휴">차량정보!$AL$11:$AL$13</definedName>
    <definedName name="BZ">[1]수입차물품!$C$53:$C$101</definedName>
    <definedName name="CADILLAC">차량정보!$D$673:$D$683</definedName>
    <definedName name="Chrysler">차량정보!$D$757:$D$759</definedName>
    <definedName name="Citroen">차량정보!$D$770:$D$774</definedName>
    <definedName name="FCA">[1]수입차물품!$C$179:$C$200</definedName>
    <definedName name="FD">[1]수입차물품!$C$119:$C$124</definedName>
    <definedName name="FERRARI">차량정보!$D$807:$D$822</definedName>
    <definedName name="Fiat">차량정보!$D$778:$D$783</definedName>
    <definedName name="Ford">차량정보!$D$535:$D$554</definedName>
    <definedName name="GM">'[2](국)A'!$B$149:$B$171</definedName>
    <definedName name="GM차">[1]국산차물품!$C$216:$C$236</definedName>
    <definedName name="Honda">차량정보!$D$718:$D$724</definedName>
    <definedName name="HONDA_제휴">차량정보!$AL$22:$AL$23</definedName>
    <definedName name="IF">[1]수입차물품!$C$210:$C$215</definedName>
    <definedName name="Infiniti">차량정보!#REF!</definedName>
    <definedName name="JAGUAR_LANDROVER">차량정보!$D$426:$D$471</definedName>
    <definedName name="JAGUAR_LANDROVER_제휴">차량정보!$AL$20:$AL$21</definedName>
    <definedName name="Jeep">차량정보!$D$587:$D$609</definedName>
    <definedName name="JGR">[1]수입차물품!$C$152:$C$164</definedName>
    <definedName name="KG모빌리티">차량정보!$D$1032:$D$1033</definedName>
    <definedName name="KG모빌리티_특판">차량정보!$D$1033</definedName>
    <definedName name="LAMBORGHINI">차량정보!$D$826:$D$836</definedName>
    <definedName name="LCN">[1]수입차물품!$C$126:$C$130</definedName>
    <definedName name="LD">[1]수입차물품!$C$132:$C$150</definedName>
    <definedName name="Lexus">차량정보!$D$639:$D$666</definedName>
    <definedName name="Lincoln">차량정보!$D$762:$D$767</definedName>
    <definedName name="LX">[1]수입차물품!$C$166:$C$177</definedName>
    <definedName name="Maserati">차량정보!$D$481:$D$499</definedName>
    <definedName name="McLaren">차량정보!$D$853:$D$863</definedName>
    <definedName name="Mini">차량정보!$D$616:$D$632</definedName>
    <definedName name="MN">[1]수입차물품!$C$106:$C$117</definedName>
    <definedName name="Nissan">차량정보!#REF!</definedName>
    <definedName name="NS">[1]수입차물품!$C$202:$C$317</definedName>
    <definedName name="Peugeot">차량정보!$D$731:$D$753</definedName>
    <definedName name="PG">[1]수입차물품!$C$217:$C$295</definedName>
    <definedName name="Porsche">차량정보!$D$369:$D$420</definedName>
    <definedName name="PORSCHE_제휴">차량정보!$AL$16:$AL$17</definedName>
    <definedName name="_xlnm.Print_Area" localSheetId="13">공채확인서!$C$2:$L$42</definedName>
    <definedName name="_xlnm.Print_Area" localSheetId="8">'실행(발주)요청서'!$A$1:$N$44</definedName>
    <definedName name="_xlnm.Print_Area" localSheetId="6">'실행요청서(본사직원사용)'!$A$1:$N$50</definedName>
    <definedName name="_xlnm.Print_Area" localSheetId="1">운용리스_단일!$B$1:$AK$48</definedName>
    <definedName name="_xlnm.Print_Area" localSheetId="2">운용리스_비교!$A$1:$AJ$51</definedName>
    <definedName name="_xlnm.Print_Area" localSheetId="7">자금집행요청서!$B$1:$D$20</definedName>
    <definedName name="_xlnm.Print_Area" localSheetId="17">전기차특약!$A$1:$L$27</definedName>
    <definedName name="_xlnm.Print_Area" localSheetId="16">'카버스 실행요청서(제휴점)'!$A$1:$N$49</definedName>
    <definedName name="_xlnm.Print_Area" localSheetId="5">탁송!$A$1:$M$15</definedName>
    <definedName name="_xlnm.Print_Area" localSheetId="14">할부!$B$1:$AK$47</definedName>
    <definedName name="ROLLS_ROYCE">차량정보!$D$787:$D$795</definedName>
    <definedName name="TESLA">차량정보!$D$839:$D$849</definedName>
    <definedName name="Toyota">차량정보!$D$691:$D$710</definedName>
    <definedName name="Volkswagen">차량정보!$D$560:$D$581</definedName>
    <definedName name="VOLKSWAGEN_제휴">차량정보!$AL$18:$AL$19</definedName>
    <definedName name="Volvo">차량정보!$D$506:$D$528</definedName>
    <definedName name="VW">[1]수입차물품!$C$103:$C$104</definedName>
    <definedName name="고급">'카버스 실행요청서(제휴점)'!$T$21:$T$21</definedName>
    <definedName name="국산">차량정보!$Z$33:$Z$39</definedName>
    <definedName name="기본">'카버스 실행요청서(제휴점)'!$T$21:$T$21</definedName>
    <definedName name="기아" localSheetId="20">'[2](국)A'!$B$90:$B$148</definedName>
    <definedName name="기아" localSheetId="8">'[2](국)A'!$B$90:$B$148</definedName>
    <definedName name="기아" localSheetId="6">'[2](국)A'!$B$90:$B$148</definedName>
    <definedName name="기아" localSheetId="10">'[2](국)A'!$B$90:$B$148</definedName>
    <definedName name="기아" localSheetId="5">'[2](국)A'!$B$90:$B$148</definedName>
    <definedName name="기아">차량정보!$D$966:$D$1031</definedName>
    <definedName name="기아차">[1]국산차물품!$C$89:$C$178</definedName>
    <definedName name="기타" localSheetId="20">[1]수입차물품!$C$202:$C$294</definedName>
    <definedName name="기타" localSheetId="8">[1]수입차물품!$C$202:$C$294</definedName>
    <definedName name="기타" localSheetId="6">[1]수입차물품!$C$202:$C$294</definedName>
    <definedName name="기타" localSheetId="10">[1]수입차물품!$C$202:$C$294</definedName>
    <definedName name="기타" localSheetId="5">[1]수입차물품!$C$202:$C$294</definedName>
    <definedName name="기타">제휴조건!$D$19</definedName>
    <definedName name="르노">차량정보!$D$1034:$D$1035</definedName>
    <definedName name="르노_특판">차량정보!$D$1034:$D$1035</definedName>
    <definedName name="르노삼성">차량정보!$D$1036:$D$1042</definedName>
    <definedName name="삼성차">[1]국산차물품!$C$180:$C$196</definedName>
    <definedName name="선보">기타_용품!$D$13:$D$17</definedName>
    <definedName name="선보블랙박스">운용리스_단일!$EI$41:$EI$46</definedName>
    <definedName name="선보썬팅">운용리스_단일!$EG$41:$EG$46</definedName>
    <definedName name="선보전면썬팅">운용리스_단일!$EG$41:$EG$46</definedName>
    <definedName name="선보측후면썬팅">운용리스_단일!$EH$41:$EH$46</definedName>
    <definedName name="셀프">[1]정비기준!$H$82</definedName>
    <definedName name="수입">차량정보!$Z$4:$Z$29</definedName>
    <definedName name="수입잔가">[1]잔가율!$R$14:$AK$18</definedName>
    <definedName name="수입차프로모션">차량정보!$AB$91:$AB$124</definedName>
    <definedName name="순회">[1]정비기준!$H$76:$H$79</definedName>
    <definedName name="쉐보레">차량정보!$D$1043:$D$1054</definedName>
    <definedName name="쌍용" localSheetId="20">'[2](국)A'!$B$172:$B$189</definedName>
    <definedName name="쌍용" localSheetId="8">'[2](국)A'!$B$172:$B$189</definedName>
    <definedName name="쌍용" localSheetId="6">'[2](국)A'!$B$172:$B$189</definedName>
    <definedName name="쌍용" localSheetId="10">'[2](국)A'!$B$172:$B$189</definedName>
    <definedName name="쌍용" localSheetId="5">'[2](국)A'!$B$172:$B$189</definedName>
    <definedName name="쌍용">차량정보!$D$1055:$D$1060</definedName>
    <definedName name="쌍용차">[1]국산차물품!$C$198:$C$214</definedName>
    <definedName name="유림로지스">기타_용품!$R$13:$R$14</definedName>
    <definedName name="유림로지스전면썬팅">운용리스_단일!$EG$41:$EG$43</definedName>
    <definedName name="유림블랙박스">운용리스_단일!$EI$41:$EI$44</definedName>
    <definedName name="유림전면썬팅">운용리스_단일!$EG$41:$EG$43</definedName>
    <definedName name="유림측후면썬팅">운용리스_단일!$EH$41:$EH$44</definedName>
    <definedName name="이차외주탁송고객인수지">[3]탁송!$I$7:$I$18</definedName>
    <definedName name="일차이차외주탁송고객인수지">[3]탁송!$I$39:$I$52</definedName>
    <definedName name="입고">[1]정비기준!$H$80:$H$81</definedName>
    <definedName name="자동차싸이트" localSheetId="8">'실행(발주)요청서'!#REF!</definedName>
    <definedName name="자동차싸이트" localSheetId="6">[4]발주요청서!#REF!</definedName>
    <definedName name="자동차싸이트" localSheetId="10">[5]발주요청서!#REF!</definedName>
    <definedName name="자동차싸이트" localSheetId="9">[6]발주요청서!#REF!</definedName>
    <definedName name="자동차싸이트">[6]발주요청서!#REF!</definedName>
    <definedName name="전기차">보조금22!$E$4:$E$20</definedName>
    <definedName name="지점대리점출고">운용리스_단일!$DT$27:$DT$29</definedName>
    <definedName name="직접등록">운용리스_단일!$EG$47</definedName>
    <definedName name="차량등록지">[3]공채!$L$6:$L$22</definedName>
    <definedName name="카버스직접등록">'카버스 실행요청서(제휴점)'!$T$21:$T$25</definedName>
    <definedName name="특판출고진행">운용리스_단일!$DT$27</definedName>
    <definedName name="프리미엄">'카버스 실행요청서(제휴점)'!$T$21:$T$25</definedName>
    <definedName name="현대" localSheetId="20">'[2](국)A'!$B$23:$B$89</definedName>
    <definedName name="현대" localSheetId="8">'[2](국)A'!$B$23:$B$89</definedName>
    <definedName name="현대" localSheetId="6">'[2](국)A'!$B$23:$B$89</definedName>
    <definedName name="현대" localSheetId="10">'[2](국)A'!$B$23:$B$89</definedName>
    <definedName name="현대" localSheetId="5">'[2](국)A'!$B$23:$B$89</definedName>
    <definedName name="현대">차량정보!$D$877:$D$965</definedName>
    <definedName name="현대차">[1]국산차물품!$C$3:$C$87</definedName>
    <definedName name="현대특판">차량정보!$D$877:$D$954</definedName>
  </definedNames>
  <calcPr calcId="191029"/>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S6" i="24" l="1"/>
  <c r="AE51" i="3"/>
  <c r="I32" i="25" l="1"/>
  <c r="I33" i="25"/>
  <c r="I34" i="25"/>
  <c r="CM12" i="24" l="1"/>
  <c r="H1033" i="7" l="1"/>
  <c r="G1033" i="7"/>
  <c r="G1034" i="7"/>
  <c r="H1034" i="7"/>
  <c r="G1035" i="7"/>
  <c r="H1035" i="7"/>
  <c r="A657" i="7" l="1"/>
  <c r="A658" i="7"/>
  <c r="A659" i="7"/>
  <c r="A648" i="7"/>
  <c r="A649" i="7"/>
  <c r="A497" i="7"/>
  <c r="A498" i="7"/>
  <c r="A499" i="7"/>
  <c r="A489" i="7"/>
  <c r="A490" i="7"/>
  <c r="A491" i="7"/>
  <c r="A492" i="7"/>
  <c r="A493" i="7"/>
  <c r="A381" i="7" l="1"/>
  <c r="A382" i="7"/>
  <c r="A383" i="7"/>
  <c r="A384" i="7"/>
  <c r="A385" i="7"/>
  <c r="A389" i="7"/>
  <c r="A390" i="7"/>
  <c r="A391" i="7"/>
  <c r="S196" i="7"/>
  <c r="A196" i="7"/>
  <c r="A197" i="7"/>
  <c r="S9" i="7"/>
  <c r="S10" i="7"/>
  <c r="S11" i="7"/>
  <c r="A9" i="7"/>
  <c r="A10" i="7"/>
  <c r="A11" i="7"/>
  <c r="A12" i="7"/>
  <c r="S18" i="7"/>
  <c r="S17" i="7"/>
  <c r="A17" i="7"/>
  <c r="A18" i="7"/>
  <c r="A19" i="7"/>
  <c r="A20" i="7"/>
  <c r="A105" i="7"/>
  <c r="A106" i="7"/>
  <c r="A107" i="7"/>
  <c r="A108" i="7"/>
  <c r="A109" i="7"/>
  <c r="S106" i="7"/>
  <c r="A97" i="7"/>
  <c r="A98" i="7"/>
  <c r="A99" i="7"/>
  <c r="A100" i="7"/>
  <c r="A101" i="7"/>
  <c r="A102" i="7"/>
  <c r="A103" i="7"/>
  <c r="S97" i="7"/>
  <c r="S98" i="7"/>
  <c r="S99" i="7"/>
  <c r="R1033" i="7" l="1"/>
  <c r="T1034" i="7" l="1"/>
  <c r="T1033" i="7"/>
  <c r="AQ58" i="24" l="1"/>
  <c r="AU56" i="24"/>
  <c r="AY56" i="24" s="1"/>
  <c r="BC56" i="24" s="1"/>
  <c r="G975" i="7" l="1"/>
  <c r="H975" i="7"/>
  <c r="I975" i="7"/>
  <c r="J975" i="7"/>
  <c r="K975" i="7"/>
  <c r="G881" i="7"/>
  <c r="H881" i="7"/>
  <c r="I881" i="7"/>
  <c r="J881" i="7"/>
  <c r="K881" i="7"/>
  <c r="G882" i="7"/>
  <c r="H882" i="7"/>
  <c r="I882" i="7"/>
  <c r="J882" i="7"/>
  <c r="K882" i="7"/>
  <c r="G880" i="7"/>
  <c r="H880" i="7"/>
  <c r="I880" i="7"/>
  <c r="J880" i="7"/>
  <c r="K880" i="7"/>
  <c r="AM37" i="7" l="1"/>
  <c r="AN37" i="7"/>
  <c r="DZ28" i="24"/>
  <c r="DZ29" i="24"/>
  <c r="DZ26" i="24"/>
  <c r="S32" i="6" l="1"/>
  <c r="S33" i="6"/>
  <c r="S34" i="6"/>
  <c r="D7" i="15" l="1"/>
  <c r="T968" i="7" l="1"/>
  <c r="T969" i="7"/>
  <c r="Q64" i="43"/>
  <c r="U64" i="43" s="1"/>
  <c r="AD64" i="43" l="1"/>
  <c r="P64" i="43"/>
  <c r="T64" i="43" s="1"/>
  <c r="O64" i="43"/>
  <c r="S64" i="43" s="1"/>
  <c r="BG56" i="24" l="1"/>
  <c r="AL878" i="7" l="1"/>
  <c r="AL879" i="7"/>
  <c r="AL880" i="7"/>
  <c r="AL881" i="7"/>
  <c r="AL882" i="7"/>
  <c r="AL883" i="7"/>
  <c r="AL885" i="7"/>
  <c r="AL886" i="7"/>
  <c r="AL887" i="7"/>
  <c r="AL888" i="7"/>
  <c r="AL889" i="7"/>
  <c r="AL890" i="7"/>
  <c r="AL891" i="7"/>
  <c r="AL893" i="7"/>
  <c r="AL894" i="7"/>
  <c r="AL895" i="7"/>
  <c r="AL896" i="7"/>
  <c r="AL897" i="7"/>
  <c r="AL898" i="7"/>
  <c r="AL899" i="7"/>
  <c r="AL900" i="7"/>
  <c r="AL901" i="7"/>
  <c r="AL902" i="7"/>
  <c r="AL903" i="7"/>
  <c r="AL904" i="7"/>
  <c r="AL905" i="7"/>
  <c r="AL906" i="7"/>
  <c r="AL907" i="7"/>
  <c r="AL908" i="7"/>
  <c r="AL909" i="7"/>
  <c r="AL910" i="7"/>
  <c r="AL911" i="7"/>
  <c r="AL912" i="7"/>
  <c r="AL913" i="7"/>
  <c r="AL914" i="7"/>
  <c r="AL915" i="7"/>
  <c r="AL916" i="7"/>
  <c r="AL917" i="7"/>
  <c r="AL918" i="7"/>
  <c r="AL919" i="7"/>
  <c r="AL920" i="7"/>
  <c r="AL921" i="7"/>
  <c r="AL922" i="7"/>
  <c r="AL923" i="7"/>
  <c r="AL924" i="7"/>
  <c r="AL925" i="7"/>
  <c r="AL926" i="7"/>
  <c r="AL927" i="7"/>
  <c r="AL928" i="7"/>
  <c r="AL929" i="7"/>
  <c r="AL930" i="7"/>
  <c r="AL931" i="7"/>
  <c r="AL932" i="7"/>
  <c r="AL933" i="7"/>
  <c r="AL934" i="7"/>
  <c r="AL935" i="7"/>
  <c r="AL936" i="7"/>
  <c r="AL937" i="7"/>
  <c r="AL938" i="7"/>
  <c r="AL939" i="7"/>
  <c r="AL940" i="7"/>
  <c r="AL941" i="7"/>
  <c r="AL942" i="7"/>
  <c r="AL943" i="7"/>
  <c r="AL944" i="7"/>
  <c r="AL945" i="7"/>
  <c r="AL946" i="7"/>
  <c r="AL947" i="7"/>
  <c r="AL948" i="7"/>
  <c r="AL949" i="7"/>
  <c r="AL950" i="7"/>
  <c r="AL951" i="7"/>
  <c r="AL952" i="7"/>
  <c r="AL953" i="7"/>
  <c r="AL954" i="7"/>
  <c r="AL955" i="7"/>
  <c r="AL956" i="7"/>
  <c r="AL957" i="7"/>
  <c r="AL958" i="7"/>
  <c r="AL959" i="7"/>
  <c r="AL960" i="7"/>
  <c r="AL961" i="7"/>
  <c r="AL962" i="7"/>
  <c r="AL963" i="7"/>
  <c r="AL964" i="7"/>
  <c r="AL965" i="7"/>
  <c r="AL877" i="7"/>
  <c r="AA32" i="6"/>
  <c r="O6" i="43" l="1"/>
  <c r="S6" i="43" s="1"/>
  <c r="P6" i="43"/>
  <c r="T6" i="43" s="1"/>
  <c r="Q6" i="43"/>
  <c r="U6" i="43" s="1"/>
  <c r="O7" i="43"/>
  <c r="S7" i="43" s="1"/>
  <c r="P7" i="43"/>
  <c r="T7" i="43" s="1"/>
  <c r="Q7" i="43"/>
  <c r="U7" i="43" s="1"/>
  <c r="O8" i="43"/>
  <c r="S8" i="43" s="1"/>
  <c r="P8" i="43"/>
  <c r="T8" i="43" s="1"/>
  <c r="Q8" i="43"/>
  <c r="U8" i="43" s="1"/>
  <c r="O9" i="43"/>
  <c r="S9" i="43" s="1"/>
  <c r="P9" i="43"/>
  <c r="T9" i="43" s="1"/>
  <c r="Q9" i="43"/>
  <c r="U9" i="43" s="1"/>
  <c r="O10" i="43"/>
  <c r="S10" i="43" s="1"/>
  <c r="P10" i="43"/>
  <c r="T10" i="43" s="1"/>
  <c r="Q10" i="43"/>
  <c r="U10" i="43" s="1"/>
  <c r="O11" i="43"/>
  <c r="S11" i="43" s="1"/>
  <c r="P11" i="43"/>
  <c r="T11" i="43" s="1"/>
  <c r="Q11" i="43"/>
  <c r="U11" i="43" s="1"/>
  <c r="O12" i="43"/>
  <c r="S12" i="43" s="1"/>
  <c r="P12" i="43"/>
  <c r="T12" i="43" s="1"/>
  <c r="Q12" i="43"/>
  <c r="U12" i="43" s="1"/>
  <c r="O13" i="43"/>
  <c r="S13" i="43" s="1"/>
  <c r="P13" i="43"/>
  <c r="T13" i="43" s="1"/>
  <c r="Q13" i="43"/>
  <c r="U13" i="43" s="1"/>
  <c r="O14" i="43"/>
  <c r="S14" i="43" s="1"/>
  <c r="P14" i="43"/>
  <c r="T14" i="43" s="1"/>
  <c r="Q14" i="43"/>
  <c r="U14" i="43" s="1"/>
  <c r="O15" i="43"/>
  <c r="S15" i="43" s="1"/>
  <c r="P15" i="43"/>
  <c r="T15" i="43" s="1"/>
  <c r="Q15" i="43"/>
  <c r="U15" i="43" s="1"/>
  <c r="O16" i="43"/>
  <c r="S16" i="43" s="1"/>
  <c r="P16" i="43"/>
  <c r="T16" i="43" s="1"/>
  <c r="Q16" i="43"/>
  <c r="U16" i="43" s="1"/>
  <c r="O17" i="43"/>
  <c r="S17" i="43" s="1"/>
  <c r="P17" i="43"/>
  <c r="T17" i="43" s="1"/>
  <c r="Q17" i="43"/>
  <c r="U17" i="43" s="1"/>
  <c r="O18" i="43"/>
  <c r="S18" i="43" s="1"/>
  <c r="P18" i="43"/>
  <c r="T18" i="43" s="1"/>
  <c r="Q18" i="43"/>
  <c r="U18" i="43" s="1"/>
  <c r="O19" i="43"/>
  <c r="S19" i="43" s="1"/>
  <c r="P19" i="43"/>
  <c r="T19" i="43" s="1"/>
  <c r="Q19" i="43"/>
  <c r="U19" i="43" s="1"/>
  <c r="O20" i="43"/>
  <c r="S20" i="43" s="1"/>
  <c r="P20" i="43"/>
  <c r="T20" i="43" s="1"/>
  <c r="Q20" i="43"/>
  <c r="U20" i="43" s="1"/>
  <c r="O21" i="43"/>
  <c r="S21" i="43" s="1"/>
  <c r="P21" i="43"/>
  <c r="T21" i="43" s="1"/>
  <c r="Q21" i="43"/>
  <c r="U21" i="43" s="1"/>
  <c r="O22" i="43"/>
  <c r="S22" i="43" s="1"/>
  <c r="P22" i="43"/>
  <c r="T22" i="43" s="1"/>
  <c r="Q22" i="43"/>
  <c r="U22" i="43" s="1"/>
  <c r="O23" i="43"/>
  <c r="S23" i="43" s="1"/>
  <c r="P23" i="43"/>
  <c r="T23" i="43" s="1"/>
  <c r="Q23" i="43"/>
  <c r="U23" i="43" s="1"/>
  <c r="O24" i="43"/>
  <c r="S24" i="43" s="1"/>
  <c r="P24" i="43"/>
  <c r="T24" i="43" s="1"/>
  <c r="Q24" i="43"/>
  <c r="U24" i="43" s="1"/>
  <c r="O25" i="43"/>
  <c r="S25" i="43" s="1"/>
  <c r="P25" i="43"/>
  <c r="T25" i="43" s="1"/>
  <c r="Q25" i="43"/>
  <c r="U25" i="43" s="1"/>
  <c r="O26" i="43"/>
  <c r="S26" i="43" s="1"/>
  <c r="P26" i="43"/>
  <c r="T26" i="43" s="1"/>
  <c r="Q26" i="43"/>
  <c r="U26" i="43" s="1"/>
  <c r="O27" i="43"/>
  <c r="S27" i="43" s="1"/>
  <c r="P27" i="43"/>
  <c r="T27" i="43" s="1"/>
  <c r="Q27" i="43"/>
  <c r="U27" i="43" s="1"/>
  <c r="O28" i="43"/>
  <c r="S28" i="43" s="1"/>
  <c r="P28" i="43"/>
  <c r="T28" i="43" s="1"/>
  <c r="Q28" i="43"/>
  <c r="U28" i="43" s="1"/>
  <c r="O29" i="43"/>
  <c r="S29" i="43" s="1"/>
  <c r="P29" i="43"/>
  <c r="T29" i="43" s="1"/>
  <c r="Q29" i="43"/>
  <c r="U29" i="43" s="1"/>
  <c r="O30" i="43"/>
  <c r="S30" i="43" s="1"/>
  <c r="P30" i="43"/>
  <c r="T30" i="43" s="1"/>
  <c r="Q30" i="43"/>
  <c r="U30" i="43" s="1"/>
  <c r="O31" i="43"/>
  <c r="S31" i="43" s="1"/>
  <c r="P31" i="43"/>
  <c r="T31" i="43" s="1"/>
  <c r="Q31" i="43"/>
  <c r="U31" i="43" s="1"/>
  <c r="O32" i="43"/>
  <c r="S32" i="43" s="1"/>
  <c r="P32" i="43"/>
  <c r="T32" i="43" s="1"/>
  <c r="Q32" i="43"/>
  <c r="U32" i="43" s="1"/>
  <c r="O33" i="43"/>
  <c r="S33" i="43" s="1"/>
  <c r="P33" i="43"/>
  <c r="T33" i="43" s="1"/>
  <c r="Q33" i="43"/>
  <c r="U33" i="43" s="1"/>
  <c r="O34" i="43"/>
  <c r="S34" i="43" s="1"/>
  <c r="P34" i="43"/>
  <c r="T34" i="43" s="1"/>
  <c r="Q34" i="43"/>
  <c r="U34" i="43" s="1"/>
  <c r="O35" i="43"/>
  <c r="S35" i="43" s="1"/>
  <c r="P35" i="43"/>
  <c r="T35" i="43" s="1"/>
  <c r="Q35" i="43"/>
  <c r="U35" i="43" s="1"/>
  <c r="O36" i="43"/>
  <c r="S36" i="43" s="1"/>
  <c r="P36" i="43"/>
  <c r="T36" i="43" s="1"/>
  <c r="Q36" i="43"/>
  <c r="U36" i="43" s="1"/>
  <c r="O37" i="43"/>
  <c r="S37" i="43" s="1"/>
  <c r="P37" i="43"/>
  <c r="T37" i="43" s="1"/>
  <c r="Q37" i="43"/>
  <c r="U37" i="43" s="1"/>
  <c r="O38" i="43"/>
  <c r="S38" i="43" s="1"/>
  <c r="P38" i="43"/>
  <c r="T38" i="43" s="1"/>
  <c r="Q38" i="43"/>
  <c r="U38" i="43" s="1"/>
  <c r="O39" i="43"/>
  <c r="S39" i="43" s="1"/>
  <c r="P39" i="43"/>
  <c r="T39" i="43" s="1"/>
  <c r="Q39" i="43"/>
  <c r="U39" i="43" s="1"/>
  <c r="O40" i="43"/>
  <c r="S40" i="43" s="1"/>
  <c r="P40" i="43"/>
  <c r="T40" i="43" s="1"/>
  <c r="Q40" i="43"/>
  <c r="U40" i="43" s="1"/>
  <c r="O41" i="43"/>
  <c r="S41" i="43" s="1"/>
  <c r="P41" i="43"/>
  <c r="T41" i="43" s="1"/>
  <c r="Q41" i="43"/>
  <c r="U41" i="43" s="1"/>
  <c r="O42" i="43"/>
  <c r="S42" i="43" s="1"/>
  <c r="P42" i="43"/>
  <c r="T42" i="43" s="1"/>
  <c r="Q42" i="43"/>
  <c r="U42" i="43" s="1"/>
  <c r="O43" i="43"/>
  <c r="S43" i="43" s="1"/>
  <c r="P43" i="43"/>
  <c r="T43" i="43" s="1"/>
  <c r="Q43" i="43"/>
  <c r="U43" i="43" s="1"/>
  <c r="O44" i="43"/>
  <c r="S44" i="43" s="1"/>
  <c r="P44" i="43"/>
  <c r="T44" i="43" s="1"/>
  <c r="Q44" i="43"/>
  <c r="U44" i="43" s="1"/>
  <c r="O45" i="43"/>
  <c r="S45" i="43" s="1"/>
  <c r="P45" i="43"/>
  <c r="T45" i="43" s="1"/>
  <c r="Q45" i="43"/>
  <c r="U45" i="43" s="1"/>
  <c r="O46" i="43"/>
  <c r="S46" i="43" s="1"/>
  <c r="P46" i="43"/>
  <c r="T46" i="43" s="1"/>
  <c r="Q46" i="43"/>
  <c r="U46" i="43" s="1"/>
  <c r="O47" i="43"/>
  <c r="S47" i="43" s="1"/>
  <c r="P47" i="43"/>
  <c r="T47" i="43" s="1"/>
  <c r="Q47" i="43"/>
  <c r="U47" i="43" s="1"/>
  <c r="O48" i="43"/>
  <c r="S48" i="43" s="1"/>
  <c r="P48" i="43"/>
  <c r="T48" i="43" s="1"/>
  <c r="Q48" i="43"/>
  <c r="U48" i="43" s="1"/>
  <c r="O49" i="43"/>
  <c r="S49" i="43" s="1"/>
  <c r="P49" i="43"/>
  <c r="T49" i="43" s="1"/>
  <c r="Q49" i="43"/>
  <c r="U49" i="43" s="1"/>
  <c r="O50" i="43"/>
  <c r="S50" i="43" s="1"/>
  <c r="P50" i="43"/>
  <c r="T50" i="43" s="1"/>
  <c r="Q50" i="43"/>
  <c r="U50" i="43" s="1"/>
  <c r="O51" i="43"/>
  <c r="S51" i="43" s="1"/>
  <c r="P51" i="43"/>
  <c r="T51" i="43" s="1"/>
  <c r="Q51" i="43"/>
  <c r="U51" i="43" s="1"/>
  <c r="O52" i="43"/>
  <c r="S52" i="43" s="1"/>
  <c r="P52" i="43"/>
  <c r="T52" i="43" s="1"/>
  <c r="Q52" i="43"/>
  <c r="U52" i="43" s="1"/>
  <c r="O53" i="43"/>
  <c r="S53" i="43" s="1"/>
  <c r="P53" i="43"/>
  <c r="T53" i="43" s="1"/>
  <c r="Q53" i="43"/>
  <c r="U53" i="43" s="1"/>
  <c r="O54" i="43"/>
  <c r="S54" i="43" s="1"/>
  <c r="P54" i="43"/>
  <c r="T54" i="43" s="1"/>
  <c r="Q54" i="43"/>
  <c r="U54" i="43" s="1"/>
  <c r="O55" i="43"/>
  <c r="S55" i="43" s="1"/>
  <c r="P55" i="43"/>
  <c r="T55" i="43" s="1"/>
  <c r="Q55" i="43"/>
  <c r="U55" i="43" s="1"/>
  <c r="K56" i="43" l="1"/>
  <c r="L56" i="43"/>
  <c r="M56" i="43"/>
  <c r="K57" i="43"/>
  <c r="L57" i="43"/>
  <c r="M57" i="43"/>
  <c r="K58" i="43"/>
  <c r="L58" i="43"/>
  <c r="M58" i="43"/>
  <c r="K59" i="43"/>
  <c r="L59" i="43"/>
  <c r="M59" i="43"/>
  <c r="K60" i="43"/>
  <c r="L60" i="43"/>
  <c r="M60" i="43"/>
  <c r="K61" i="43"/>
  <c r="L61" i="43"/>
  <c r="M61" i="43"/>
  <c r="K62" i="43"/>
  <c r="L62" i="43"/>
  <c r="M62" i="43"/>
  <c r="K63" i="43"/>
  <c r="L63" i="43"/>
  <c r="M63" i="43"/>
  <c r="K20" i="43"/>
  <c r="L20" i="43"/>
  <c r="M20" i="43"/>
  <c r="K21" i="43"/>
  <c r="L21" i="43"/>
  <c r="M21" i="43"/>
  <c r="K48" i="43"/>
  <c r="L48" i="43"/>
  <c r="M48" i="43"/>
  <c r="K52" i="43"/>
  <c r="L52" i="43"/>
  <c r="M52" i="43"/>
  <c r="K53" i="43"/>
  <c r="L53" i="43"/>
  <c r="M53" i="43"/>
  <c r="K54" i="43"/>
  <c r="L54" i="43"/>
  <c r="M54" i="43"/>
  <c r="K55" i="43"/>
  <c r="L55" i="43"/>
  <c r="M55" i="43"/>
  <c r="Y55" i="43" l="1"/>
  <c r="AC55" i="43"/>
  <c r="Y53" i="43"/>
  <c r="AC53" i="43"/>
  <c r="Y21" i="43"/>
  <c r="AC21" i="43"/>
  <c r="W55" i="43"/>
  <c r="AA55" i="43"/>
  <c r="W53" i="43"/>
  <c r="AA53" i="43"/>
  <c r="W21" i="43"/>
  <c r="AA21" i="43"/>
  <c r="AB55" i="43"/>
  <c r="X55" i="43"/>
  <c r="Y54" i="43"/>
  <c r="AC54" i="43"/>
  <c r="Y52" i="43"/>
  <c r="AC52" i="43"/>
  <c r="Y48" i="43"/>
  <c r="AC48" i="43"/>
  <c r="Y20" i="43"/>
  <c r="AC20" i="43"/>
  <c r="AB53" i="43"/>
  <c r="X53" i="43"/>
  <c r="X21" i="43"/>
  <c r="AB21" i="43"/>
  <c r="X54" i="43"/>
  <c r="AB54" i="43"/>
  <c r="X52" i="43"/>
  <c r="AB52" i="43"/>
  <c r="AB48" i="43"/>
  <c r="X48" i="43"/>
  <c r="X20" i="43"/>
  <c r="AB20" i="43"/>
  <c r="W54" i="43"/>
  <c r="AA54" i="43"/>
  <c r="W52" i="43"/>
  <c r="AA52" i="43"/>
  <c r="W48" i="43"/>
  <c r="AA48" i="43"/>
  <c r="W20" i="43"/>
  <c r="AA20" i="43"/>
  <c r="AD63" i="43"/>
  <c r="Q63" i="43"/>
  <c r="U63" i="43" s="1"/>
  <c r="P63" i="43"/>
  <c r="T63" i="43" s="1"/>
  <c r="AB63" i="43" s="1"/>
  <c r="O63" i="43"/>
  <c r="S63" i="43" s="1"/>
  <c r="AA63" i="43" s="1"/>
  <c r="AD62" i="43"/>
  <c r="Q62" i="43"/>
  <c r="U62" i="43" s="1"/>
  <c r="P62" i="43"/>
  <c r="O62" i="43"/>
  <c r="S62" i="43" s="1"/>
  <c r="AD61" i="43"/>
  <c r="Q61" i="43"/>
  <c r="U61" i="43" s="1"/>
  <c r="P61" i="43"/>
  <c r="T61" i="43" s="1"/>
  <c r="O61" i="43"/>
  <c r="S61" i="43" s="1"/>
  <c r="AD60" i="43"/>
  <c r="Q60" i="43"/>
  <c r="U60" i="43" s="1"/>
  <c r="P60" i="43"/>
  <c r="T60" i="43" s="1"/>
  <c r="AB60" i="43" s="1"/>
  <c r="O60" i="43"/>
  <c r="S60" i="43" s="1"/>
  <c r="AD59" i="43"/>
  <c r="Q59" i="43"/>
  <c r="U59" i="43" s="1"/>
  <c r="P59" i="43"/>
  <c r="T59" i="43" s="1"/>
  <c r="O59" i="43"/>
  <c r="S59" i="43" s="1"/>
  <c r="AD58" i="43"/>
  <c r="Q58" i="43"/>
  <c r="U58" i="43" s="1"/>
  <c r="P58" i="43"/>
  <c r="T58" i="43" s="1"/>
  <c r="O58" i="43"/>
  <c r="S58" i="43" s="1"/>
  <c r="AD57" i="43"/>
  <c r="Q57" i="43"/>
  <c r="U57" i="43" s="1"/>
  <c r="P57" i="43"/>
  <c r="T57" i="43" s="1"/>
  <c r="O57" i="43"/>
  <c r="S57" i="43" s="1"/>
  <c r="AD56" i="43"/>
  <c r="Q56" i="43"/>
  <c r="U56" i="43" s="1"/>
  <c r="P56" i="43"/>
  <c r="T56" i="43" s="1"/>
  <c r="O56" i="43"/>
  <c r="S56" i="43" s="1"/>
  <c r="AD55" i="43"/>
  <c r="AD54" i="43"/>
  <c r="AD53" i="43"/>
  <c r="AD52" i="43"/>
  <c r="AD51" i="43"/>
  <c r="AD50" i="43"/>
  <c r="AD49" i="43"/>
  <c r="AD48" i="43"/>
  <c r="AD47" i="43"/>
  <c r="AD46" i="43"/>
  <c r="AD45" i="43"/>
  <c r="AD44" i="43"/>
  <c r="AD43" i="43"/>
  <c r="AD42" i="43"/>
  <c r="AD39" i="43"/>
  <c r="AD38" i="43"/>
  <c r="AD37" i="43"/>
  <c r="AD36" i="43"/>
  <c r="AD35" i="43"/>
  <c r="AD34" i="43"/>
  <c r="AD33" i="43"/>
  <c r="AD32" i="43"/>
  <c r="AD31" i="43"/>
  <c r="AD30" i="43"/>
  <c r="AD29" i="43"/>
  <c r="AD28" i="43"/>
  <c r="AD27" i="43"/>
  <c r="AD24" i="43"/>
  <c r="AD23" i="43"/>
  <c r="AD22" i="43"/>
  <c r="AD21" i="43"/>
  <c r="AD20" i="43"/>
  <c r="AD19" i="43"/>
  <c r="AD18" i="43"/>
  <c r="AD17" i="43"/>
  <c r="AD16" i="43"/>
  <c r="AD15" i="43"/>
  <c r="AD14" i="43"/>
  <c r="AD13" i="43"/>
  <c r="AD12" i="43"/>
  <c r="AD11" i="43"/>
  <c r="AD10" i="43"/>
  <c r="AD9" i="43"/>
  <c r="AD8" i="43"/>
  <c r="AD7" i="43"/>
  <c r="AD6" i="43"/>
  <c r="AD5" i="43"/>
  <c r="Q5" i="43"/>
  <c r="U5" i="43" s="1"/>
  <c r="P5" i="43"/>
  <c r="O5" i="43"/>
  <c r="S5" i="43" s="1"/>
  <c r="T5" i="43" l="1"/>
  <c r="W56" i="43"/>
  <c r="Y62" i="43"/>
  <c r="X59" i="43"/>
  <c r="X57" i="43"/>
  <c r="AA61" i="43"/>
  <c r="AC62" i="43"/>
  <c r="AC61" i="43"/>
  <c r="AC57" i="43"/>
  <c r="AB61" i="43"/>
  <c r="X58" i="43"/>
  <c r="Y58" i="43"/>
  <c r="AC56" i="43"/>
  <c r="AA57" i="43"/>
  <c r="AC59" i="43"/>
  <c r="AA59" i="43"/>
  <c r="AA58" i="43"/>
  <c r="AA60" i="43"/>
  <c r="AA62" i="43"/>
  <c r="AB56" i="43"/>
  <c r="AC60" i="43"/>
  <c r="W58" i="43"/>
  <c r="AC63" i="43"/>
  <c r="Y60" i="43"/>
  <c r="W62" i="43"/>
  <c r="AA56" i="43"/>
  <c r="X63" i="43"/>
  <c r="AB59" i="43"/>
  <c r="X60" i="43"/>
  <c r="Y63" i="43"/>
  <c r="T62" i="43"/>
  <c r="AB62" i="43" s="1"/>
  <c r="X62" i="43"/>
  <c r="W61" i="43"/>
  <c r="W57" i="43"/>
  <c r="Y59" i="43"/>
  <c r="W60" i="43"/>
  <c r="W63" i="43"/>
  <c r="X56" i="43"/>
  <c r="Y57" i="43"/>
  <c r="AB57" i="43" l="1"/>
  <c r="Y61" i="43"/>
  <c r="X61" i="43"/>
  <c r="AC58" i="43"/>
  <c r="AB58" i="43"/>
  <c r="Y56" i="43"/>
  <c r="W59" i="43"/>
  <c r="A399" i="7" l="1"/>
  <c r="A311" i="7"/>
  <c r="S15" i="7"/>
  <c r="S16" i="7"/>
  <c r="A15" i="7"/>
  <c r="A16" i="7"/>
  <c r="J8" i="29" l="1"/>
  <c r="K8" i="29"/>
  <c r="D121" i="29"/>
  <c r="D8" i="29" s="1"/>
  <c r="E121" i="29"/>
  <c r="E8" i="29" s="1"/>
  <c r="F121" i="29"/>
  <c r="F8" i="29" s="1"/>
  <c r="G121" i="29"/>
  <c r="G8" i="29" s="1"/>
  <c r="H121" i="29"/>
  <c r="H8" i="29" s="1"/>
  <c r="I121" i="29"/>
  <c r="I8" i="29" s="1"/>
  <c r="J121" i="29"/>
  <c r="K121" i="29"/>
  <c r="C121" i="29"/>
  <c r="C8" i="29" s="1"/>
  <c r="L129" i="29"/>
  <c r="L121" i="29" s="1"/>
  <c r="L8" i="29" s="1"/>
  <c r="S231" i="7" l="1"/>
  <c r="A231" i="7"/>
  <c r="S218" i="7"/>
  <c r="A218" i="7"/>
  <c r="A719" i="7" l="1"/>
  <c r="A720" i="7"/>
  <c r="A704" i="7"/>
  <c r="A604" i="7"/>
  <c r="A605" i="7"/>
  <c r="A606" i="7"/>
  <c r="A607" i="7"/>
  <c r="A608" i="7"/>
  <c r="A609" i="7"/>
  <c r="A600" i="7"/>
  <c r="A468" i="7"/>
  <c r="A440" i="7"/>
  <c r="A409" i="7"/>
  <c r="A342" i="7"/>
  <c r="S28" i="7"/>
  <c r="S29" i="7"/>
  <c r="S27" i="7"/>
  <c r="A27" i="7"/>
  <c r="A28" i="7"/>
  <c r="A29" i="7"/>
  <c r="S23" i="7"/>
  <c r="A23" i="7"/>
  <c r="G1020" i="7" l="1"/>
  <c r="H1020" i="7"/>
  <c r="G1021" i="7"/>
  <c r="H1021" i="7"/>
  <c r="G1022" i="7"/>
  <c r="H1022" i="7"/>
  <c r="G1023" i="7"/>
  <c r="H1023" i="7"/>
  <c r="G1026" i="7"/>
  <c r="H1026" i="7"/>
  <c r="G1027" i="7"/>
  <c r="H1027" i="7"/>
  <c r="G1028" i="7"/>
  <c r="H1028" i="7"/>
  <c r="G1029" i="7"/>
  <c r="H1029" i="7"/>
  <c r="R1024" i="7" l="1"/>
  <c r="T1024" i="7"/>
  <c r="R1025" i="7"/>
  <c r="T1025" i="7"/>
  <c r="R1026" i="7"/>
  <c r="T1026" i="7"/>
  <c r="R1027" i="7"/>
  <c r="T1027" i="7"/>
  <c r="R1028" i="7"/>
  <c r="T1028" i="7"/>
  <c r="R1029" i="7"/>
  <c r="T1029" i="7"/>
  <c r="R1030" i="7"/>
  <c r="T1030" i="7"/>
  <c r="R1031" i="7"/>
  <c r="T1031" i="7"/>
  <c r="A693" i="7" l="1"/>
  <c r="A694" i="7"/>
  <c r="A695" i="7"/>
  <c r="A696" i="7"/>
  <c r="A520" i="7" l="1"/>
  <c r="A521" i="7"/>
  <c r="A465" i="7"/>
  <c r="A466" i="7"/>
  <c r="A447" i="7"/>
  <c r="S194" i="7"/>
  <c r="S195" i="7"/>
  <c r="A194" i="7"/>
  <c r="A195" i="7"/>
  <c r="S55" i="7"/>
  <c r="A55" i="7"/>
  <c r="A763" i="7" l="1"/>
  <c r="A721" i="7"/>
  <c r="A722" i="7"/>
  <c r="A723" i="7"/>
  <c r="A709" i="7"/>
  <c r="A445" i="7"/>
  <c r="A446" i="7"/>
  <c r="A402" i="7"/>
  <c r="A396" i="7"/>
  <c r="A326" i="7"/>
  <c r="A327" i="7"/>
  <c r="S258" i="7"/>
  <c r="S257" i="7"/>
  <c r="S256" i="7"/>
  <c r="S255" i="7"/>
  <c r="S254" i="7"/>
  <c r="S253" i="7"/>
  <c r="S252" i="7"/>
  <c r="A252" i="7"/>
  <c r="A253" i="7"/>
  <c r="A254" i="7"/>
  <c r="A255" i="7"/>
  <c r="A256" i="7"/>
  <c r="A257" i="7"/>
  <c r="A258" i="7"/>
  <c r="A177" i="7"/>
  <c r="S142" i="7"/>
  <c r="A142" i="7"/>
  <c r="A78" i="7"/>
  <c r="A79" i="7"/>
  <c r="L12" i="41" l="1"/>
  <c r="J1037" i="7" l="1"/>
  <c r="I10" i="28" l="1"/>
  <c r="G8" i="28"/>
  <c r="F8" i="28"/>
  <c r="H7" i="28"/>
  <c r="U52" i="36"/>
  <c r="T52" i="36"/>
  <c r="S52" i="36"/>
  <c r="R52" i="36"/>
  <c r="Q52" i="36"/>
  <c r="P52" i="36"/>
  <c r="O52" i="36"/>
  <c r="N52" i="36"/>
  <c r="M52" i="36"/>
  <c r="L52" i="36"/>
  <c r="K52" i="36"/>
  <c r="J52" i="36"/>
  <c r="I52" i="36"/>
  <c r="H52" i="36"/>
  <c r="G52" i="36"/>
  <c r="F52" i="36"/>
  <c r="U51" i="36"/>
  <c r="T51" i="36"/>
  <c r="S51" i="36"/>
  <c r="R51" i="36"/>
  <c r="Q51" i="36"/>
  <c r="P51" i="36"/>
  <c r="O51" i="36"/>
  <c r="N51" i="36"/>
  <c r="M51" i="36"/>
  <c r="L51" i="36"/>
  <c r="K51" i="36"/>
  <c r="J51" i="36"/>
  <c r="I51" i="36"/>
  <c r="H51" i="36"/>
  <c r="G51" i="36"/>
  <c r="F51" i="36"/>
  <c r="U50" i="36"/>
  <c r="T50" i="36"/>
  <c r="S50" i="36"/>
  <c r="R50" i="36"/>
  <c r="Q50" i="36"/>
  <c r="P50" i="36"/>
  <c r="O50" i="36"/>
  <c r="N50" i="36"/>
  <c r="M50" i="36"/>
  <c r="L50" i="36"/>
  <c r="K50" i="36"/>
  <c r="J50" i="36"/>
  <c r="I50" i="36"/>
  <c r="H50" i="36"/>
  <c r="G50" i="36"/>
  <c r="F50" i="36"/>
  <c r="U49" i="36"/>
  <c r="T49" i="36"/>
  <c r="S49" i="36"/>
  <c r="R49" i="36"/>
  <c r="Q49" i="36"/>
  <c r="P49" i="36"/>
  <c r="O49" i="36"/>
  <c r="N49" i="36"/>
  <c r="M49" i="36"/>
  <c r="L49" i="36"/>
  <c r="K49" i="36"/>
  <c r="J49" i="36"/>
  <c r="I49" i="36"/>
  <c r="H49" i="36"/>
  <c r="G49" i="36"/>
  <c r="F49" i="36"/>
  <c r="U48" i="36"/>
  <c r="T48" i="36"/>
  <c r="S48" i="36"/>
  <c r="R48" i="36"/>
  <c r="Q48" i="36"/>
  <c r="P48" i="36"/>
  <c r="O48" i="36"/>
  <c r="N48" i="36"/>
  <c r="M48" i="36"/>
  <c r="L48" i="36"/>
  <c r="K48" i="36"/>
  <c r="J48" i="36"/>
  <c r="I48" i="36"/>
  <c r="H48" i="36"/>
  <c r="G48" i="36"/>
  <c r="F48" i="36"/>
  <c r="U47" i="36"/>
  <c r="T47" i="36"/>
  <c r="S47" i="36"/>
  <c r="R47" i="36"/>
  <c r="Q47" i="36"/>
  <c r="P47" i="36"/>
  <c r="O47" i="36"/>
  <c r="N47" i="36"/>
  <c r="M47" i="36"/>
  <c r="L47" i="36"/>
  <c r="K47" i="36"/>
  <c r="J47" i="36"/>
  <c r="I47" i="36"/>
  <c r="H47" i="36"/>
  <c r="G47" i="36"/>
  <c r="F47" i="36"/>
  <c r="U46" i="36"/>
  <c r="T46" i="36"/>
  <c r="S46" i="36"/>
  <c r="R46" i="36"/>
  <c r="Q46" i="36"/>
  <c r="P46" i="36"/>
  <c r="O46" i="36"/>
  <c r="N46" i="36"/>
  <c r="M46" i="36"/>
  <c r="L46" i="36"/>
  <c r="K46" i="36"/>
  <c r="J46" i="36"/>
  <c r="I46" i="36"/>
  <c r="H46" i="36"/>
  <c r="G46" i="36"/>
  <c r="F46" i="36"/>
  <c r="U45" i="36"/>
  <c r="T45" i="36"/>
  <c r="S45" i="36"/>
  <c r="R45" i="36"/>
  <c r="Q45" i="36"/>
  <c r="P45" i="36"/>
  <c r="O45" i="36"/>
  <c r="N45" i="36"/>
  <c r="M45" i="36"/>
  <c r="L45" i="36"/>
  <c r="K45" i="36"/>
  <c r="J45" i="36"/>
  <c r="I45" i="36"/>
  <c r="H45" i="36"/>
  <c r="G45" i="36"/>
  <c r="F45" i="36"/>
  <c r="U44" i="36"/>
  <c r="T44" i="36"/>
  <c r="S44" i="36"/>
  <c r="R44" i="36"/>
  <c r="Q44" i="36"/>
  <c r="P44" i="36"/>
  <c r="O44" i="36"/>
  <c r="N44" i="36"/>
  <c r="M44" i="36"/>
  <c r="L44" i="36"/>
  <c r="K44" i="36"/>
  <c r="J44" i="36"/>
  <c r="I44" i="36"/>
  <c r="H44" i="36"/>
  <c r="G44" i="36"/>
  <c r="F44" i="36"/>
  <c r="U43" i="36"/>
  <c r="T43" i="36"/>
  <c r="S43" i="36"/>
  <c r="R43" i="36"/>
  <c r="Q43" i="36"/>
  <c r="P43" i="36"/>
  <c r="O43" i="36"/>
  <c r="N43" i="36"/>
  <c r="M43" i="36"/>
  <c r="L43" i="36"/>
  <c r="K43" i="36"/>
  <c r="J43" i="36"/>
  <c r="I43" i="36"/>
  <c r="H43" i="36"/>
  <c r="G43" i="36"/>
  <c r="F43" i="36"/>
  <c r="U42" i="36"/>
  <c r="T42" i="36"/>
  <c r="S42" i="36"/>
  <c r="R42" i="36"/>
  <c r="Q42" i="36"/>
  <c r="P42" i="36"/>
  <c r="O42" i="36"/>
  <c r="N42" i="36"/>
  <c r="M42" i="36"/>
  <c r="L42" i="36"/>
  <c r="K42" i="36"/>
  <c r="J42" i="36"/>
  <c r="I42" i="36"/>
  <c r="H42" i="36"/>
  <c r="G42" i="36"/>
  <c r="F42" i="36"/>
  <c r="U41" i="36"/>
  <c r="T41" i="36"/>
  <c r="S41" i="36"/>
  <c r="R41" i="36"/>
  <c r="Q41" i="36"/>
  <c r="P41" i="36"/>
  <c r="O41" i="36"/>
  <c r="N41" i="36"/>
  <c r="M41" i="36"/>
  <c r="L41" i="36"/>
  <c r="K41" i="36"/>
  <c r="J41" i="36"/>
  <c r="I41" i="36"/>
  <c r="H41" i="36"/>
  <c r="G41" i="36"/>
  <c r="F41" i="36"/>
  <c r="U40" i="36"/>
  <c r="T40" i="36"/>
  <c r="S40" i="36"/>
  <c r="R40" i="36"/>
  <c r="Q40" i="36"/>
  <c r="P40" i="36"/>
  <c r="O40" i="36"/>
  <c r="N40" i="36"/>
  <c r="M40" i="36"/>
  <c r="L40" i="36"/>
  <c r="K40" i="36"/>
  <c r="J40" i="36"/>
  <c r="I40" i="36"/>
  <c r="H40" i="36"/>
  <c r="G40" i="36"/>
  <c r="F40" i="36"/>
  <c r="U39" i="36"/>
  <c r="T39" i="36"/>
  <c r="S39" i="36"/>
  <c r="R39" i="36"/>
  <c r="Q39" i="36"/>
  <c r="P39" i="36"/>
  <c r="O39" i="36"/>
  <c r="N39" i="36"/>
  <c r="M39" i="36"/>
  <c r="L39" i="36"/>
  <c r="K39" i="36"/>
  <c r="J39" i="36"/>
  <c r="I39" i="36"/>
  <c r="H39" i="36"/>
  <c r="G39" i="36"/>
  <c r="F39" i="36"/>
  <c r="U38" i="36"/>
  <c r="T38" i="36"/>
  <c r="S38" i="36"/>
  <c r="R38" i="36"/>
  <c r="Q38" i="36"/>
  <c r="P38" i="36"/>
  <c r="O38" i="36"/>
  <c r="N38" i="36"/>
  <c r="M38" i="36"/>
  <c r="L38" i="36"/>
  <c r="K38" i="36"/>
  <c r="J38" i="36"/>
  <c r="I38" i="36"/>
  <c r="H38" i="36"/>
  <c r="G38" i="36"/>
  <c r="F38" i="36"/>
  <c r="U37" i="36"/>
  <c r="T37" i="36"/>
  <c r="S37" i="36"/>
  <c r="R37" i="36"/>
  <c r="Q37" i="36"/>
  <c r="P37" i="36"/>
  <c r="O37" i="36"/>
  <c r="N37" i="36"/>
  <c r="M37" i="36"/>
  <c r="L37" i="36"/>
  <c r="K37" i="36"/>
  <c r="J37" i="36"/>
  <c r="I37" i="36"/>
  <c r="H37" i="36"/>
  <c r="G37" i="36"/>
  <c r="F37" i="36"/>
  <c r="U36" i="36"/>
  <c r="T36" i="36"/>
  <c r="S36" i="36"/>
  <c r="R36" i="36"/>
  <c r="Q36" i="36"/>
  <c r="P36" i="36"/>
  <c r="O36" i="36"/>
  <c r="N36" i="36"/>
  <c r="M36" i="36"/>
  <c r="L36" i="36"/>
  <c r="K36" i="36"/>
  <c r="J36" i="36"/>
  <c r="I36" i="36"/>
  <c r="H36" i="36"/>
  <c r="G36" i="36"/>
  <c r="F36" i="36"/>
  <c r="U35" i="36"/>
  <c r="T35" i="36"/>
  <c r="S35" i="36"/>
  <c r="R35" i="36"/>
  <c r="Q35" i="36"/>
  <c r="P35" i="36"/>
  <c r="O35" i="36"/>
  <c r="N35" i="36"/>
  <c r="M35" i="36"/>
  <c r="L35" i="36"/>
  <c r="K35" i="36"/>
  <c r="J35" i="36"/>
  <c r="I35" i="36"/>
  <c r="H35" i="36"/>
  <c r="G35" i="36"/>
  <c r="F35" i="36"/>
  <c r="U34" i="36"/>
  <c r="T34" i="36"/>
  <c r="S34" i="36"/>
  <c r="R34" i="36"/>
  <c r="Q34" i="36"/>
  <c r="P34" i="36"/>
  <c r="O34" i="36"/>
  <c r="N34" i="36"/>
  <c r="M34" i="36"/>
  <c r="L34" i="36"/>
  <c r="K34" i="36"/>
  <c r="J34" i="36"/>
  <c r="I34" i="36"/>
  <c r="H34" i="36"/>
  <c r="G34" i="36"/>
  <c r="F34" i="36"/>
  <c r="U33" i="36"/>
  <c r="T33" i="36"/>
  <c r="S33" i="36"/>
  <c r="R33" i="36"/>
  <c r="Q33" i="36"/>
  <c r="P33" i="36"/>
  <c r="O33" i="36"/>
  <c r="N33" i="36"/>
  <c r="M33" i="36"/>
  <c r="L33" i="36"/>
  <c r="K33" i="36"/>
  <c r="J33" i="36"/>
  <c r="I33" i="36"/>
  <c r="H33" i="36"/>
  <c r="G33" i="36"/>
  <c r="F33" i="36"/>
  <c r="U32" i="36"/>
  <c r="T32" i="36"/>
  <c r="S32" i="36"/>
  <c r="R32" i="36"/>
  <c r="Q32" i="36"/>
  <c r="P32" i="36"/>
  <c r="O32" i="36"/>
  <c r="N32" i="36"/>
  <c r="M32" i="36"/>
  <c r="L32" i="36"/>
  <c r="K32" i="36"/>
  <c r="J32" i="36"/>
  <c r="I32" i="36"/>
  <c r="H32" i="36"/>
  <c r="G32" i="36"/>
  <c r="F32" i="36"/>
  <c r="U31" i="36"/>
  <c r="T31" i="36"/>
  <c r="S31" i="36"/>
  <c r="R31" i="36"/>
  <c r="Q31" i="36"/>
  <c r="P31" i="36"/>
  <c r="O31" i="36"/>
  <c r="N31" i="36"/>
  <c r="M31" i="36"/>
  <c r="L31" i="36"/>
  <c r="K31" i="36"/>
  <c r="J31" i="36"/>
  <c r="I31" i="36"/>
  <c r="H31" i="36"/>
  <c r="G31" i="36"/>
  <c r="F31" i="36"/>
  <c r="V25" i="36"/>
  <c r="F25" i="36"/>
  <c r="V24" i="36"/>
  <c r="F24" i="36"/>
  <c r="V23" i="36"/>
  <c r="F23" i="36"/>
  <c r="V22" i="36"/>
  <c r="F22" i="36"/>
  <c r="V21" i="36"/>
  <c r="F21" i="36"/>
  <c r="V20" i="36"/>
  <c r="F20" i="36"/>
  <c r="V19" i="36"/>
  <c r="F19" i="36"/>
  <c r="V18" i="36"/>
  <c r="F18" i="36"/>
  <c r="V17" i="36"/>
  <c r="F17" i="36"/>
  <c r="V16" i="36"/>
  <c r="F16" i="36"/>
  <c r="V15" i="36"/>
  <c r="F15" i="36"/>
  <c r="V14" i="36"/>
  <c r="F14" i="36"/>
  <c r="V13" i="36"/>
  <c r="F13" i="36"/>
  <c r="V12" i="36"/>
  <c r="F12" i="36"/>
  <c r="V11" i="36"/>
  <c r="F11" i="36"/>
  <c r="V10" i="36"/>
  <c r="F10" i="36"/>
  <c r="V9" i="36"/>
  <c r="F9" i="36"/>
  <c r="V8" i="36"/>
  <c r="F8" i="36"/>
  <c r="V7" i="36"/>
  <c r="F7" i="36"/>
  <c r="V6" i="36"/>
  <c r="F6" i="36"/>
  <c r="V5" i="36"/>
  <c r="F5" i="36"/>
  <c r="V4" i="36"/>
  <c r="F4" i="36"/>
  <c r="L127" i="29"/>
  <c r="L126" i="29"/>
  <c r="L13" i="29" s="1"/>
  <c r="L125" i="29"/>
  <c r="L124" i="29"/>
  <c r="L123" i="29"/>
  <c r="L10" i="29" s="1"/>
  <c r="L122" i="29"/>
  <c r="L120" i="29"/>
  <c r="L119" i="29"/>
  <c r="L6" i="29" s="1"/>
  <c r="L118" i="29"/>
  <c r="L5" i="29" s="1"/>
  <c r="L117" i="29"/>
  <c r="L116" i="29"/>
  <c r="L3" i="29" s="1"/>
  <c r="L113" i="29"/>
  <c r="K113" i="29"/>
  <c r="J113" i="29"/>
  <c r="I113" i="29"/>
  <c r="H113" i="29"/>
  <c r="G113" i="29"/>
  <c r="F113" i="29"/>
  <c r="E113" i="29"/>
  <c r="D113" i="29"/>
  <c r="C113" i="29"/>
  <c r="L112" i="29"/>
  <c r="K112" i="29"/>
  <c r="J112" i="29"/>
  <c r="I112" i="29"/>
  <c r="H112" i="29"/>
  <c r="G112" i="29"/>
  <c r="F112" i="29"/>
  <c r="E112" i="29"/>
  <c r="D112" i="29"/>
  <c r="C112" i="29"/>
  <c r="L111" i="29"/>
  <c r="K111" i="29"/>
  <c r="J111" i="29"/>
  <c r="I111" i="29"/>
  <c r="H111" i="29"/>
  <c r="G111" i="29"/>
  <c r="F111" i="29"/>
  <c r="E111" i="29"/>
  <c r="D111" i="29"/>
  <c r="C111" i="29"/>
  <c r="L110" i="29"/>
  <c r="K110" i="29"/>
  <c r="J110" i="29"/>
  <c r="I110" i="29"/>
  <c r="H110" i="29"/>
  <c r="G110" i="29"/>
  <c r="F110" i="29"/>
  <c r="E110" i="29"/>
  <c r="D110" i="29"/>
  <c r="C110" i="29"/>
  <c r="L109" i="29"/>
  <c r="K109" i="29"/>
  <c r="J109" i="29"/>
  <c r="I109" i="29"/>
  <c r="H109" i="29"/>
  <c r="G109" i="29"/>
  <c r="F109" i="29"/>
  <c r="E109" i="29"/>
  <c r="D109" i="29"/>
  <c r="C109" i="29"/>
  <c r="L108" i="29"/>
  <c r="K108" i="29"/>
  <c r="J108" i="29"/>
  <c r="I108" i="29"/>
  <c r="H108" i="29"/>
  <c r="G108" i="29"/>
  <c r="F108" i="29"/>
  <c r="E108" i="29"/>
  <c r="D108" i="29"/>
  <c r="C108" i="29"/>
  <c r="L107" i="29"/>
  <c r="K107" i="29"/>
  <c r="J107" i="29"/>
  <c r="I107" i="29"/>
  <c r="H107" i="29"/>
  <c r="G107" i="29"/>
  <c r="F107" i="29"/>
  <c r="E107" i="29"/>
  <c r="D107" i="29"/>
  <c r="C107" i="29"/>
  <c r="L106" i="29"/>
  <c r="K106" i="29"/>
  <c r="J106" i="29"/>
  <c r="I106" i="29"/>
  <c r="H106" i="29"/>
  <c r="G106" i="29"/>
  <c r="F106" i="29"/>
  <c r="E106" i="29"/>
  <c r="D106" i="29"/>
  <c r="C106" i="29"/>
  <c r="L105" i="29"/>
  <c r="K105" i="29"/>
  <c r="J105" i="29"/>
  <c r="I105" i="29"/>
  <c r="H105" i="29"/>
  <c r="G105" i="29"/>
  <c r="F105" i="29"/>
  <c r="E105" i="29"/>
  <c r="D105" i="29"/>
  <c r="C105" i="29"/>
  <c r="L104" i="29"/>
  <c r="K104" i="29"/>
  <c r="J104" i="29"/>
  <c r="I104" i="29"/>
  <c r="H104" i="29"/>
  <c r="G104" i="29"/>
  <c r="F104" i="29"/>
  <c r="E104" i="29"/>
  <c r="D104" i="29"/>
  <c r="C104" i="29"/>
  <c r="L103" i="29"/>
  <c r="K103" i="29"/>
  <c r="J103" i="29"/>
  <c r="I103" i="29"/>
  <c r="H103" i="29"/>
  <c r="G103" i="29"/>
  <c r="F103" i="29"/>
  <c r="E103" i="29"/>
  <c r="D103" i="29"/>
  <c r="C103" i="29"/>
  <c r="L102" i="29"/>
  <c r="K102" i="29"/>
  <c r="J102" i="29"/>
  <c r="I102" i="29"/>
  <c r="H102" i="29"/>
  <c r="G102" i="29"/>
  <c r="F102" i="29"/>
  <c r="E102" i="29"/>
  <c r="D102" i="29"/>
  <c r="C102" i="29"/>
  <c r="L101" i="29"/>
  <c r="K101" i="29"/>
  <c r="J101" i="29"/>
  <c r="I101" i="29"/>
  <c r="H101" i="29"/>
  <c r="G101" i="29"/>
  <c r="F101" i="29"/>
  <c r="E101" i="29"/>
  <c r="D101" i="29"/>
  <c r="C101" i="29"/>
  <c r="L100" i="29"/>
  <c r="K100" i="29"/>
  <c r="J100" i="29"/>
  <c r="I100" i="29"/>
  <c r="H100" i="29"/>
  <c r="G100" i="29"/>
  <c r="F100" i="29"/>
  <c r="E100" i="29"/>
  <c r="D100" i="29"/>
  <c r="C100" i="29"/>
  <c r="L99" i="29"/>
  <c r="K99" i="29"/>
  <c r="J99" i="29"/>
  <c r="I99" i="29"/>
  <c r="H99" i="29"/>
  <c r="G99" i="29"/>
  <c r="F99" i="29"/>
  <c r="E99" i="29"/>
  <c r="D99" i="29"/>
  <c r="C99" i="29"/>
  <c r="K57" i="29"/>
  <c r="J57" i="29"/>
  <c r="I57" i="29"/>
  <c r="H57" i="29"/>
  <c r="G57" i="29"/>
  <c r="F57" i="29"/>
  <c r="E57" i="29"/>
  <c r="D57" i="29"/>
  <c r="L57" i="29" s="1"/>
  <c r="K56" i="29"/>
  <c r="J56" i="29"/>
  <c r="I56" i="29"/>
  <c r="H56" i="29"/>
  <c r="G56" i="29"/>
  <c r="F56" i="29"/>
  <c r="E56" i="29"/>
  <c r="D56" i="29"/>
  <c r="L56" i="29" s="1"/>
  <c r="K55" i="29"/>
  <c r="J55" i="29"/>
  <c r="I55" i="29"/>
  <c r="H55" i="29"/>
  <c r="G55" i="29"/>
  <c r="F55" i="29"/>
  <c r="E55" i="29"/>
  <c r="D55" i="29"/>
  <c r="L55" i="29" s="1"/>
  <c r="K54" i="29"/>
  <c r="J54" i="29"/>
  <c r="I54" i="29"/>
  <c r="H54" i="29"/>
  <c r="G54" i="29"/>
  <c r="F54" i="29"/>
  <c r="E54" i="29"/>
  <c r="D54" i="29"/>
  <c r="L54" i="29" s="1"/>
  <c r="K53" i="29"/>
  <c r="J53" i="29"/>
  <c r="I53" i="29"/>
  <c r="H53" i="29"/>
  <c r="G53" i="29"/>
  <c r="F53" i="29"/>
  <c r="E53" i="29"/>
  <c r="D53" i="29"/>
  <c r="L53" i="29" s="1"/>
  <c r="L52" i="29"/>
  <c r="K52" i="29"/>
  <c r="J52" i="29"/>
  <c r="I52" i="29"/>
  <c r="H52" i="29"/>
  <c r="G52" i="29"/>
  <c r="F52" i="29"/>
  <c r="E52" i="29"/>
  <c r="D52" i="29"/>
  <c r="K51" i="29"/>
  <c r="J51" i="29"/>
  <c r="I51" i="29"/>
  <c r="H51" i="29"/>
  <c r="G51" i="29"/>
  <c r="F51" i="29"/>
  <c r="E51" i="29"/>
  <c r="D51" i="29"/>
  <c r="L51" i="29" s="1"/>
  <c r="K50" i="29"/>
  <c r="J50" i="29"/>
  <c r="I50" i="29"/>
  <c r="H50" i="29"/>
  <c r="G50" i="29"/>
  <c r="F50" i="29"/>
  <c r="E50" i="29"/>
  <c r="D50" i="29"/>
  <c r="L50" i="29" s="1"/>
  <c r="K49" i="29"/>
  <c r="J49" i="29"/>
  <c r="I49" i="29"/>
  <c r="H49" i="29"/>
  <c r="G49" i="29"/>
  <c r="F49" i="29"/>
  <c r="E49" i="29"/>
  <c r="D49" i="29"/>
  <c r="L49" i="29" s="1"/>
  <c r="K48" i="29"/>
  <c r="J48" i="29"/>
  <c r="I48" i="29"/>
  <c r="H48" i="29"/>
  <c r="G48" i="29"/>
  <c r="F48" i="29"/>
  <c r="E48" i="29"/>
  <c r="D48" i="29"/>
  <c r="L48" i="29" s="1"/>
  <c r="K47" i="29"/>
  <c r="J47" i="29"/>
  <c r="I47" i="29"/>
  <c r="H47" i="29"/>
  <c r="G47" i="29"/>
  <c r="F47" i="29"/>
  <c r="E47" i="29"/>
  <c r="D47" i="29"/>
  <c r="L47" i="29" s="1"/>
  <c r="L46" i="29"/>
  <c r="K46" i="29"/>
  <c r="J46" i="29"/>
  <c r="I46" i="29"/>
  <c r="H46" i="29"/>
  <c r="G46" i="29"/>
  <c r="F46" i="29"/>
  <c r="E46" i="29"/>
  <c r="D46" i="29"/>
  <c r="K45" i="29"/>
  <c r="J45" i="29"/>
  <c r="I45" i="29"/>
  <c r="H45" i="29"/>
  <c r="G45" i="29"/>
  <c r="F45" i="29"/>
  <c r="E45" i="29"/>
  <c r="D45" i="29"/>
  <c r="L45" i="29" s="1"/>
  <c r="K44" i="29"/>
  <c r="J44" i="29"/>
  <c r="I44" i="29"/>
  <c r="H44" i="29"/>
  <c r="G44" i="29"/>
  <c r="F44" i="29"/>
  <c r="E44" i="29"/>
  <c r="D44" i="29"/>
  <c r="L44" i="29" s="1"/>
  <c r="K43" i="29"/>
  <c r="J43" i="29"/>
  <c r="I43" i="29"/>
  <c r="H43" i="29"/>
  <c r="G43" i="29"/>
  <c r="F43" i="29"/>
  <c r="E43" i="29"/>
  <c r="D43" i="29"/>
  <c r="L43" i="29" s="1"/>
  <c r="L40" i="29"/>
  <c r="K40" i="29"/>
  <c r="J40" i="29"/>
  <c r="I40" i="29"/>
  <c r="H40" i="29"/>
  <c r="G40" i="29"/>
  <c r="F40" i="29"/>
  <c r="E40" i="29"/>
  <c r="D40" i="29"/>
  <c r="C40" i="29"/>
  <c r="L39" i="29"/>
  <c r="K39" i="29"/>
  <c r="J39" i="29"/>
  <c r="I39" i="29"/>
  <c r="H39" i="29"/>
  <c r="G39" i="29"/>
  <c r="F39" i="29"/>
  <c r="E39" i="29"/>
  <c r="D39" i="29"/>
  <c r="C39" i="29"/>
  <c r="L38" i="29"/>
  <c r="K38" i="29"/>
  <c r="J38" i="29"/>
  <c r="I38" i="29"/>
  <c r="H38" i="29"/>
  <c r="G38" i="29"/>
  <c r="F38" i="29"/>
  <c r="E38" i="29"/>
  <c r="D38" i="29"/>
  <c r="C38" i="29"/>
  <c r="L37" i="29"/>
  <c r="K37" i="29"/>
  <c r="J37" i="29"/>
  <c r="I37" i="29"/>
  <c r="H37" i="29"/>
  <c r="G37" i="29"/>
  <c r="F37" i="29"/>
  <c r="E37" i="29"/>
  <c r="D37" i="29"/>
  <c r="C37" i="29"/>
  <c r="L36" i="29"/>
  <c r="K36" i="29"/>
  <c r="J36" i="29"/>
  <c r="I36" i="29"/>
  <c r="H36" i="29"/>
  <c r="G36" i="29"/>
  <c r="F36" i="29"/>
  <c r="E36" i="29"/>
  <c r="D36" i="29"/>
  <c r="C36" i="29"/>
  <c r="L35" i="29"/>
  <c r="K35" i="29"/>
  <c r="J35" i="29"/>
  <c r="I35" i="29"/>
  <c r="H35" i="29"/>
  <c r="G35" i="29"/>
  <c r="F35" i="29"/>
  <c r="E35" i="29"/>
  <c r="D35" i="29"/>
  <c r="C35" i="29"/>
  <c r="L34" i="29"/>
  <c r="K34" i="29"/>
  <c r="J34" i="29"/>
  <c r="I34" i="29"/>
  <c r="H34" i="29"/>
  <c r="G34" i="29"/>
  <c r="F34" i="29"/>
  <c r="E34" i="29"/>
  <c r="D34" i="29"/>
  <c r="C34" i="29"/>
  <c r="L33" i="29"/>
  <c r="K33" i="29"/>
  <c r="J33" i="29"/>
  <c r="I33" i="29"/>
  <c r="H33" i="29"/>
  <c r="G33" i="29"/>
  <c r="F33" i="29"/>
  <c r="E33" i="29"/>
  <c r="D33" i="29"/>
  <c r="C33" i="29"/>
  <c r="L32" i="29"/>
  <c r="K32" i="29"/>
  <c r="J32" i="29"/>
  <c r="I32" i="29"/>
  <c r="H32" i="29"/>
  <c r="G32" i="29"/>
  <c r="F32" i="29"/>
  <c r="E32" i="29"/>
  <c r="D32" i="29"/>
  <c r="C32" i="29"/>
  <c r="L31" i="29"/>
  <c r="K31" i="29"/>
  <c r="J31" i="29"/>
  <c r="I31" i="29"/>
  <c r="H31" i="29"/>
  <c r="G31" i="29"/>
  <c r="F31" i="29"/>
  <c r="E31" i="29"/>
  <c r="D31" i="29"/>
  <c r="C31" i="29"/>
  <c r="L30" i="29"/>
  <c r="K30" i="29"/>
  <c r="J30" i="29"/>
  <c r="I30" i="29"/>
  <c r="H30" i="29"/>
  <c r="G30" i="29"/>
  <c r="F30" i="29"/>
  <c r="E30" i="29"/>
  <c r="D30" i="29"/>
  <c r="C30" i="29"/>
  <c r="S16" i="29"/>
  <c r="S15" i="29"/>
  <c r="L14" i="29"/>
  <c r="K14" i="29"/>
  <c r="J14" i="29"/>
  <c r="I14" i="29"/>
  <c r="H14" i="29"/>
  <c r="G14" i="29"/>
  <c r="F14" i="29"/>
  <c r="E14" i="29"/>
  <c r="D14" i="29"/>
  <c r="C14" i="29"/>
  <c r="K13" i="29"/>
  <c r="J13" i="29"/>
  <c r="I13" i="29"/>
  <c r="H13" i="29"/>
  <c r="G13" i="29"/>
  <c r="F13" i="29"/>
  <c r="E13" i="29"/>
  <c r="D13" i="29"/>
  <c r="C13" i="29"/>
  <c r="L12" i="29"/>
  <c r="K12" i="29"/>
  <c r="J12" i="29"/>
  <c r="I12" i="29"/>
  <c r="H12" i="29"/>
  <c r="G12" i="29"/>
  <c r="F12" i="29"/>
  <c r="E12" i="29"/>
  <c r="D12" i="29"/>
  <c r="C12" i="29"/>
  <c r="L11" i="29"/>
  <c r="K11" i="29"/>
  <c r="J11" i="29"/>
  <c r="I11" i="29"/>
  <c r="H11" i="29"/>
  <c r="G11" i="29"/>
  <c r="F11" i="29"/>
  <c r="E11" i="29"/>
  <c r="D11" i="29"/>
  <c r="C11" i="29"/>
  <c r="K10" i="29"/>
  <c r="J10" i="29"/>
  <c r="I10" i="29"/>
  <c r="H10" i="29"/>
  <c r="G10" i="29"/>
  <c r="F10" i="29"/>
  <c r="E10" i="29"/>
  <c r="D10" i="29"/>
  <c r="C10" i="29"/>
  <c r="L9" i="29"/>
  <c r="K9" i="29"/>
  <c r="J9" i="29"/>
  <c r="I9" i="29"/>
  <c r="H9" i="29"/>
  <c r="G9" i="29"/>
  <c r="F9" i="29"/>
  <c r="E9" i="29"/>
  <c r="D9" i="29"/>
  <c r="C9" i="29"/>
  <c r="L7" i="29"/>
  <c r="K7" i="29"/>
  <c r="J7" i="29"/>
  <c r="I7" i="29"/>
  <c r="H7" i="29"/>
  <c r="G7" i="29"/>
  <c r="F7" i="29"/>
  <c r="E7" i="29"/>
  <c r="D7" i="29"/>
  <c r="C7" i="29"/>
  <c r="K6" i="29"/>
  <c r="J6" i="29"/>
  <c r="I6" i="29"/>
  <c r="H6" i="29"/>
  <c r="G6" i="29"/>
  <c r="F6" i="29"/>
  <c r="E6" i="29"/>
  <c r="D6" i="29"/>
  <c r="C6" i="29"/>
  <c r="K5" i="29"/>
  <c r="J5" i="29"/>
  <c r="I5" i="29"/>
  <c r="H5" i="29"/>
  <c r="G5" i="29"/>
  <c r="F5" i="29"/>
  <c r="E5" i="29"/>
  <c r="D5" i="29"/>
  <c r="C5" i="29"/>
  <c r="L4" i="29"/>
  <c r="K4" i="29"/>
  <c r="J4" i="29"/>
  <c r="I4" i="29"/>
  <c r="H4" i="29"/>
  <c r="G4" i="29"/>
  <c r="F4" i="29"/>
  <c r="E4" i="29"/>
  <c r="D4" i="29"/>
  <c r="C4" i="29"/>
  <c r="K3" i="29"/>
  <c r="J3" i="29"/>
  <c r="I3" i="29"/>
  <c r="H3" i="29"/>
  <c r="G3" i="29"/>
  <c r="F3" i="29"/>
  <c r="E3" i="29"/>
  <c r="D3" i="29"/>
  <c r="C3" i="29"/>
  <c r="M49" i="41"/>
  <c r="L34" i="41"/>
  <c r="R31" i="41"/>
  <c r="T25" i="41"/>
  <c r="T24" i="41"/>
  <c r="T23" i="41"/>
  <c r="T22" i="41"/>
  <c r="T21" i="41"/>
  <c r="K19" i="41"/>
  <c r="M44" i="34"/>
  <c r="J39" i="34"/>
  <c r="G39" i="34"/>
  <c r="H19" i="34"/>
  <c r="D19" i="34"/>
  <c r="D12" i="34"/>
  <c r="L12" i="34" s="1"/>
  <c r="C54" i="15"/>
  <c r="D31" i="15" s="1"/>
  <c r="Q32" i="15"/>
  <c r="R32" i="15" s="1"/>
  <c r="R31" i="15"/>
  <c r="Q31" i="15"/>
  <c r="Q30" i="15"/>
  <c r="R30" i="15" s="1"/>
  <c r="Q29" i="15"/>
  <c r="R29" i="15" s="1"/>
  <c r="I29" i="15"/>
  <c r="J29" i="15" s="1"/>
  <c r="Q28" i="15"/>
  <c r="R28" i="15" s="1"/>
  <c r="G24" i="15"/>
  <c r="C14" i="15"/>
  <c r="I27" i="15" s="1"/>
  <c r="J27" i="15" s="1"/>
  <c r="C13" i="15"/>
  <c r="D12" i="15"/>
  <c r="C12" i="15"/>
  <c r="C21" i="15" s="1"/>
  <c r="D11" i="15"/>
  <c r="C11" i="15"/>
  <c r="C20" i="15" s="1"/>
  <c r="D10" i="15"/>
  <c r="C9" i="15"/>
  <c r="U13" i="15" s="1"/>
  <c r="I7" i="15"/>
  <c r="I6" i="15"/>
  <c r="C6" i="15"/>
  <c r="I10" i="15" s="1"/>
  <c r="C4" i="15"/>
  <c r="D3" i="15"/>
  <c r="B1" i="15"/>
  <c r="AI8" i="27" s="1"/>
  <c r="AS39" i="27"/>
  <c r="C15" i="15" s="1"/>
  <c r="AA37" i="27"/>
  <c r="V37" i="27"/>
  <c r="I37" i="27"/>
  <c r="D37" i="27"/>
  <c r="V36" i="27"/>
  <c r="T28" i="27"/>
  <c r="K25" i="27"/>
  <c r="BR24" i="27"/>
  <c r="K23" i="27"/>
  <c r="AA19" i="27"/>
  <c r="T19" i="27"/>
  <c r="AA17" i="27"/>
  <c r="T17" i="27"/>
  <c r="K13" i="27"/>
  <c r="K12" i="27"/>
  <c r="K11" i="27"/>
  <c r="AS9" i="27"/>
  <c r="AD11" i="27" s="1"/>
  <c r="C5" i="15" s="1"/>
  <c r="AB7" i="27"/>
  <c r="Y6" i="27"/>
  <c r="AS5" i="27"/>
  <c r="D4" i="15" s="1"/>
  <c r="D3" i="27"/>
  <c r="K1060" i="7"/>
  <c r="J1060" i="7"/>
  <c r="I1060" i="7"/>
  <c r="H1060" i="7"/>
  <c r="G1060" i="7"/>
  <c r="K1059" i="7"/>
  <c r="J1059" i="7"/>
  <c r="I1059" i="7"/>
  <c r="H1059" i="7"/>
  <c r="G1059" i="7"/>
  <c r="K1058" i="7"/>
  <c r="J1058" i="7"/>
  <c r="I1058" i="7"/>
  <c r="H1058" i="7"/>
  <c r="G1058" i="7"/>
  <c r="K1057" i="7"/>
  <c r="J1057" i="7"/>
  <c r="I1057" i="7"/>
  <c r="H1057" i="7"/>
  <c r="G1057" i="7"/>
  <c r="K1056" i="7"/>
  <c r="J1056" i="7"/>
  <c r="I1056" i="7"/>
  <c r="H1056" i="7"/>
  <c r="G1056" i="7"/>
  <c r="K1055" i="7"/>
  <c r="J1055" i="7"/>
  <c r="I1055" i="7"/>
  <c r="H1055" i="7"/>
  <c r="G1055" i="7"/>
  <c r="K1054" i="7"/>
  <c r="J1054" i="7"/>
  <c r="I1054" i="7"/>
  <c r="H1054" i="7"/>
  <c r="G1054" i="7"/>
  <c r="K1053" i="7"/>
  <c r="J1053" i="7"/>
  <c r="I1053" i="7"/>
  <c r="H1053" i="7"/>
  <c r="G1053" i="7"/>
  <c r="K1052" i="7"/>
  <c r="J1052" i="7"/>
  <c r="I1052" i="7"/>
  <c r="H1052" i="7"/>
  <c r="G1052" i="7"/>
  <c r="K1051" i="7"/>
  <c r="J1051" i="7"/>
  <c r="I1051" i="7"/>
  <c r="H1051" i="7"/>
  <c r="G1051" i="7"/>
  <c r="K1050" i="7"/>
  <c r="J1050" i="7"/>
  <c r="I1050" i="7"/>
  <c r="H1050" i="7"/>
  <c r="G1050" i="7"/>
  <c r="K1049" i="7"/>
  <c r="J1049" i="7"/>
  <c r="I1049" i="7"/>
  <c r="H1049" i="7"/>
  <c r="G1049" i="7"/>
  <c r="K1048" i="7"/>
  <c r="J1048" i="7"/>
  <c r="I1048" i="7"/>
  <c r="H1048" i="7"/>
  <c r="G1048" i="7"/>
  <c r="K1047" i="7"/>
  <c r="J1047" i="7"/>
  <c r="I1047" i="7"/>
  <c r="H1047" i="7"/>
  <c r="G1047" i="7"/>
  <c r="K1046" i="7"/>
  <c r="J1046" i="7"/>
  <c r="I1046" i="7"/>
  <c r="H1046" i="7"/>
  <c r="G1046" i="7"/>
  <c r="K1045" i="7"/>
  <c r="J1045" i="7"/>
  <c r="I1045" i="7"/>
  <c r="H1045" i="7"/>
  <c r="G1045" i="7"/>
  <c r="K1044" i="7"/>
  <c r="J1044" i="7"/>
  <c r="I1044" i="7"/>
  <c r="H1044" i="7"/>
  <c r="G1044" i="7"/>
  <c r="K1043" i="7"/>
  <c r="J1043" i="7"/>
  <c r="I1043" i="7"/>
  <c r="H1043" i="7"/>
  <c r="G1043" i="7"/>
  <c r="K1042" i="7"/>
  <c r="J1042" i="7"/>
  <c r="I1042" i="7"/>
  <c r="H1042" i="7"/>
  <c r="G1042" i="7"/>
  <c r="K1041" i="7"/>
  <c r="J1041" i="7"/>
  <c r="I1041" i="7"/>
  <c r="H1041" i="7"/>
  <c r="G1041" i="7"/>
  <c r="K1040" i="7"/>
  <c r="J1040" i="7"/>
  <c r="I1040" i="7"/>
  <c r="H1040" i="7"/>
  <c r="G1040" i="7"/>
  <c r="K1039" i="7"/>
  <c r="J1039" i="7"/>
  <c r="I1039" i="7"/>
  <c r="H1039" i="7"/>
  <c r="G1039" i="7"/>
  <c r="K1038" i="7"/>
  <c r="J1038" i="7"/>
  <c r="I1038" i="7"/>
  <c r="H1038" i="7"/>
  <c r="G1038" i="7"/>
  <c r="K1037" i="7"/>
  <c r="I1037" i="7"/>
  <c r="H1037" i="7"/>
  <c r="G1037" i="7"/>
  <c r="K1036" i="7"/>
  <c r="J1036" i="7"/>
  <c r="I1036" i="7"/>
  <c r="H1036" i="7"/>
  <c r="G1036" i="7"/>
  <c r="T1032" i="7"/>
  <c r="R1032" i="7"/>
  <c r="K1032" i="7"/>
  <c r="J1032" i="7"/>
  <c r="I1032" i="7"/>
  <c r="H1032" i="7"/>
  <c r="G1032" i="7"/>
  <c r="T1023" i="7"/>
  <c r="R1023" i="7"/>
  <c r="T1022" i="7"/>
  <c r="R1022" i="7"/>
  <c r="T1021" i="7"/>
  <c r="R1021" i="7"/>
  <c r="T1020" i="7"/>
  <c r="R1020" i="7"/>
  <c r="T1019" i="7"/>
  <c r="R1019" i="7"/>
  <c r="K1019" i="7"/>
  <c r="J1019" i="7"/>
  <c r="I1019" i="7"/>
  <c r="H1019" i="7"/>
  <c r="G1019" i="7"/>
  <c r="T1018" i="7"/>
  <c r="R1018" i="7"/>
  <c r="K1018" i="7"/>
  <c r="J1018" i="7"/>
  <c r="I1018" i="7"/>
  <c r="H1018" i="7"/>
  <c r="G1018" i="7"/>
  <c r="T1017" i="7"/>
  <c r="R1017" i="7"/>
  <c r="K1017" i="7"/>
  <c r="J1017" i="7"/>
  <c r="I1017" i="7"/>
  <c r="H1017" i="7"/>
  <c r="G1017" i="7"/>
  <c r="T1016" i="7"/>
  <c r="R1016" i="7"/>
  <c r="K1016" i="7"/>
  <c r="M41" i="43" s="1"/>
  <c r="J1016" i="7"/>
  <c r="L41" i="43" s="1"/>
  <c r="I1016" i="7"/>
  <c r="K41" i="43" s="1"/>
  <c r="H1016" i="7"/>
  <c r="G1016" i="7"/>
  <c r="T1015" i="7"/>
  <c r="R1015" i="7"/>
  <c r="K1015" i="7"/>
  <c r="M40" i="43" s="1"/>
  <c r="J1015" i="7"/>
  <c r="L40" i="43" s="1"/>
  <c r="I1015" i="7"/>
  <c r="K40" i="43" s="1"/>
  <c r="H1015" i="7"/>
  <c r="G1015" i="7"/>
  <c r="T1014" i="7"/>
  <c r="R1014" i="7"/>
  <c r="K1014" i="7"/>
  <c r="M39" i="43" s="1"/>
  <c r="J1014" i="7"/>
  <c r="L39" i="43" s="1"/>
  <c r="I1014" i="7"/>
  <c r="K39" i="43" s="1"/>
  <c r="H1014" i="7"/>
  <c r="G1014" i="7"/>
  <c r="T1013" i="7"/>
  <c r="R1013" i="7"/>
  <c r="K1013" i="7"/>
  <c r="M38" i="43" s="1"/>
  <c r="J1013" i="7"/>
  <c r="L38" i="43" s="1"/>
  <c r="I1013" i="7"/>
  <c r="K38" i="43" s="1"/>
  <c r="H1013" i="7"/>
  <c r="G1013" i="7"/>
  <c r="T1012" i="7"/>
  <c r="R1012" i="7"/>
  <c r="K1012" i="7"/>
  <c r="M37" i="43" s="1"/>
  <c r="J1012" i="7"/>
  <c r="L37" i="43" s="1"/>
  <c r="I1012" i="7"/>
  <c r="K37" i="43" s="1"/>
  <c r="H1012" i="7"/>
  <c r="G1012" i="7"/>
  <c r="T1011" i="7"/>
  <c r="R1011" i="7"/>
  <c r="K1011" i="7"/>
  <c r="M36" i="43" s="1"/>
  <c r="J1011" i="7"/>
  <c r="L36" i="43" s="1"/>
  <c r="I1011" i="7"/>
  <c r="K36" i="43" s="1"/>
  <c r="H1011" i="7"/>
  <c r="G1011" i="7"/>
  <c r="T1010" i="7"/>
  <c r="R1010" i="7"/>
  <c r="K1010" i="7"/>
  <c r="M44" i="43" s="1"/>
  <c r="J1010" i="7"/>
  <c r="L44" i="43" s="1"/>
  <c r="I1010" i="7"/>
  <c r="K44" i="43" s="1"/>
  <c r="H1010" i="7"/>
  <c r="G1010" i="7"/>
  <c r="T1009" i="7"/>
  <c r="R1009" i="7"/>
  <c r="K1009" i="7"/>
  <c r="M43" i="43" s="1"/>
  <c r="J1009" i="7"/>
  <c r="L43" i="43" s="1"/>
  <c r="I1009" i="7"/>
  <c r="K43" i="43" s="1"/>
  <c r="H1009" i="7"/>
  <c r="G1009" i="7"/>
  <c r="T1008" i="7"/>
  <c r="R1008" i="7"/>
  <c r="K1008" i="7"/>
  <c r="M42" i="43" s="1"/>
  <c r="J1008" i="7"/>
  <c r="L42" i="43" s="1"/>
  <c r="I1008" i="7"/>
  <c r="K42" i="43" s="1"/>
  <c r="H1008" i="7"/>
  <c r="G1008" i="7"/>
  <c r="T1007" i="7"/>
  <c r="R1007" i="7"/>
  <c r="K1007" i="7"/>
  <c r="J1007" i="7"/>
  <c r="I1007" i="7"/>
  <c r="H1007" i="7"/>
  <c r="G1007" i="7"/>
  <c r="T1006" i="7"/>
  <c r="R1006" i="7"/>
  <c r="K1006" i="7"/>
  <c r="J1006" i="7"/>
  <c r="I1006" i="7"/>
  <c r="H1006" i="7"/>
  <c r="G1006" i="7"/>
  <c r="T1005" i="7"/>
  <c r="R1005" i="7"/>
  <c r="K1005" i="7"/>
  <c r="J1005" i="7"/>
  <c r="I1005" i="7"/>
  <c r="H1005" i="7"/>
  <c r="G1005" i="7"/>
  <c r="T1004" i="7"/>
  <c r="R1004" i="7"/>
  <c r="K1004" i="7"/>
  <c r="J1004" i="7"/>
  <c r="I1004" i="7"/>
  <c r="H1004" i="7"/>
  <c r="G1004" i="7"/>
  <c r="T1003" i="7"/>
  <c r="R1003" i="7"/>
  <c r="K1003" i="7"/>
  <c r="J1003" i="7"/>
  <c r="I1003" i="7"/>
  <c r="H1003" i="7"/>
  <c r="G1003" i="7"/>
  <c r="T1002" i="7"/>
  <c r="R1002" i="7"/>
  <c r="K1002" i="7"/>
  <c r="J1002" i="7"/>
  <c r="I1002" i="7"/>
  <c r="H1002" i="7"/>
  <c r="G1002" i="7"/>
  <c r="T1001" i="7"/>
  <c r="R1001" i="7"/>
  <c r="K1001" i="7"/>
  <c r="J1001" i="7"/>
  <c r="I1001" i="7"/>
  <c r="H1001" i="7"/>
  <c r="G1001" i="7"/>
  <c r="T1000" i="7"/>
  <c r="R1000" i="7"/>
  <c r="K1000" i="7"/>
  <c r="J1000" i="7"/>
  <c r="I1000" i="7"/>
  <c r="H1000" i="7"/>
  <c r="G1000" i="7"/>
  <c r="T999" i="7"/>
  <c r="R999" i="7"/>
  <c r="K999" i="7"/>
  <c r="J999" i="7"/>
  <c r="I999" i="7"/>
  <c r="H999" i="7"/>
  <c r="G999" i="7"/>
  <c r="T998" i="7"/>
  <c r="R998" i="7"/>
  <c r="K998" i="7"/>
  <c r="J998" i="7"/>
  <c r="I998" i="7"/>
  <c r="H998" i="7"/>
  <c r="G998" i="7"/>
  <c r="T997" i="7"/>
  <c r="R997" i="7"/>
  <c r="K997" i="7"/>
  <c r="J997" i="7"/>
  <c r="I997" i="7"/>
  <c r="H997" i="7"/>
  <c r="G997" i="7"/>
  <c r="T996" i="7"/>
  <c r="R996" i="7"/>
  <c r="K996" i="7"/>
  <c r="J996" i="7"/>
  <c r="I996" i="7"/>
  <c r="H996" i="7"/>
  <c r="G996" i="7"/>
  <c r="T995" i="7"/>
  <c r="R995" i="7"/>
  <c r="K995" i="7"/>
  <c r="J995" i="7"/>
  <c r="I995" i="7"/>
  <c r="H995" i="7"/>
  <c r="G995" i="7"/>
  <c r="T994" i="7"/>
  <c r="R994" i="7"/>
  <c r="K994" i="7"/>
  <c r="M45" i="43" s="1"/>
  <c r="J994" i="7"/>
  <c r="L45" i="43" s="1"/>
  <c r="I994" i="7"/>
  <c r="K45" i="43" s="1"/>
  <c r="H994" i="7"/>
  <c r="G994" i="7"/>
  <c r="T993" i="7"/>
  <c r="R993" i="7"/>
  <c r="K993" i="7"/>
  <c r="J993" i="7"/>
  <c r="I993" i="7"/>
  <c r="H993" i="7"/>
  <c r="G993" i="7"/>
  <c r="T992" i="7"/>
  <c r="R992" i="7"/>
  <c r="K992" i="7"/>
  <c r="M46" i="43" s="1"/>
  <c r="J992" i="7"/>
  <c r="L46" i="43" s="1"/>
  <c r="I992" i="7"/>
  <c r="K46" i="43" s="1"/>
  <c r="H992" i="7"/>
  <c r="G992" i="7"/>
  <c r="T991" i="7"/>
  <c r="R991" i="7"/>
  <c r="K991" i="7"/>
  <c r="J991" i="7"/>
  <c r="I991" i="7"/>
  <c r="H991" i="7"/>
  <c r="G991" i="7"/>
  <c r="T990" i="7"/>
  <c r="R990" i="7"/>
  <c r="K990" i="7"/>
  <c r="J990" i="7"/>
  <c r="I990" i="7"/>
  <c r="H990" i="7"/>
  <c r="G990" i="7"/>
  <c r="T989" i="7"/>
  <c r="R989" i="7"/>
  <c r="K989" i="7"/>
  <c r="J989" i="7"/>
  <c r="I989" i="7"/>
  <c r="H989" i="7"/>
  <c r="G989" i="7"/>
  <c r="T988" i="7"/>
  <c r="R988" i="7"/>
  <c r="K988" i="7"/>
  <c r="J988" i="7"/>
  <c r="I988" i="7"/>
  <c r="H988" i="7"/>
  <c r="G988" i="7"/>
  <c r="T987" i="7"/>
  <c r="R987" i="7"/>
  <c r="K987" i="7"/>
  <c r="J987" i="7"/>
  <c r="I987" i="7"/>
  <c r="H987" i="7"/>
  <c r="G987" i="7"/>
  <c r="T986" i="7"/>
  <c r="R986" i="7"/>
  <c r="K986" i="7"/>
  <c r="J986" i="7"/>
  <c r="I986" i="7"/>
  <c r="H986" i="7"/>
  <c r="G986" i="7"/>
  <c r="T985" i="7"/>
  <c r="R985" i="7"/>
  <c r="K985" i="7"/>
  <c r="J985" i="7"/>
  <c r="I985" i="7"/>
  <c r="H985" i="7"/>
  <c r="G985" i="7"/>
  <c r="T984" i="7"/>
  <c r="R984" i="7"/>
  <c r="K984" i="7"/>
  <c r="J984" i="7"/>
  <c r="I984" i="7"/>
  <c r="H984" i="7"/>
  <c r="G984" i="7"/>
  <c r="T983" i="7"/>
  <c r="R983" i="7"/>
  <c r="K983" i="7"/>
  <c r="J983" i="7"/>
  <c r="I983" i="7"/>
  <c r="H983" i="7"/>
  <c r="G983" i="7"/>
  <c r="T982" i="7"/>
  <c r="R982" i="7"/>
  <c r="K982" i="7"/>
  <c r="J982" i="7"/>
  <c r="I982" i="7"/>
  <c r="H982" i="7"/>
  <c r="G982" i="7"/>
  <c r="T981" i="7"/>
  <c r="R981" i="7"/>
  <c r="K981" i="7"/>
  <c r="J981" i="7"/>
  <c r="I981" i="7"/>
  <c r="H981" i="7"/>
  <c r="G981" i="7"/>
  <c r="T980" i="7"/>
  <c r="R980" i="7"/>
  <c r="K980" i="7"/>
  <c r="J980" i="7"/>
  <c r="I980" i="7"/>
  <c r="H980" i="7"/>
  <c r="G980" i="7"/>
  <c r="T979" i="7"/>
  <c r="R979" i="7"/>
  <c r="K979" i="7"/>
  <c r="J979" i="7"/>
  <c r="I979" i="7"/>
  <c r="H979" i="7"/>
  <c r="G979" i="7"/>
  <c r="T978" i="7"/>
  <c r="R978" i="7"/>
  <c r="K978" i="7"/>
  <c r="J978" i="7"/>
  <c r="I978" i="7"/>
  <c r="H978" i="7"/>
  <c r="G978" i="7"/>
  <c r="T977" i="7"/>
  <c r="R977" i="7"/>
  <c r="K977" i="7"/>
  <c r="J977" i="7"/>
  <c r="I977" i="7"/>
  <c r="H977" i="7"/>
  <c r="G977" i="7"/>
  <c r="T976" i="7"/>
  <c r="R976" i="7"/>
  <c r="K976" i="7"/>
  <c r="M47" i="43" s="1"/>
  <c r="J976" i="7"/>
  <c r="L47" i="43" s="1"/>
  <c r="I976" i="7"/>
  <c r="K47" i="43" s="1"/>
  <c r="H976" i="7"/>
  <c r="G976" i="7"/>
  <c r="T975" i="7"/>
  <c r="R975" i="7"/>
  <c r="T974" i="7"/>
  <c r="R974" i="7"/>
  <c r="K974" i="7"/>
  <c r="J974" i="7"/>
  <c r="I974" i="7"/>
  <c r="H974" i="7"/>
  <c r="G974" i="7"/>
  <c r="T973" i="7"/>
  <c r="R973" i="7"/>
  <c r="K973" i="7"/>
  <c r="M49" i="43" s="1"/>
  <c r="J973" i="7"/>
  <c r="L49" i="43" s="1"/>
  <c r="I973" i="7"/>
  <c r="K49" i="43" s="1"/>
  <c r="H973" i="7"/>
  <c r="G973" i="7"/>
  <c r="T972" i="7"/>
  <c r="R972" i="7"/>
  <c r="K972" i="7"/>
  <c r="M50" i="43" s="1"/>
  <c r="J972" i="7"/>
  <c r="L50" i="43" s="1"/>
  <c r="I972" i="7"/>
  <c r="K50" i="43" s="1"/>
  <c r="H972" i="7"/>
  <c r="G972" i="7"/>
  <c r="T971" i="7"/>
  <c r="R971" i="7"/>
  <c r="K971" i="7"/>
  <c r="J971" i="7"/>
  <c r="I971" i="7"/>
  <c r="H971" i="7"/>
  <c r="G971" i="7"/>
  <c r="T970" i="7"/>
  <c r="R970" i="7"/>
  <c r="K970" i="7"/>
  <c r="M51" i="43" s="1"/>
  <c r="J970" i="7"/>
  <c r="L51" i="43" s="1"/>
  <c r="I970" i="7"/>
  <c r="K51" i="43" s="1"/>
  <c r="H970" i="7"/>
  <c r="G970" i="7"/>
  <c r="R969" i="7"/>
  <c r="K969" i="7"/>
  <c r="J969" i="7"/>
  <c r="I969" i="7"/>
  <c r="H969" i="7"/>
  <c r="G969" i="7"/>
  <c r="R968" i="7"/>
  <c r="K968" i="7"/>
  <c r="M64" i="43" s="1"/>
  <c r="J968" i="7"/>
  <c r="L64" i="43" s="1"/>
  <c r="I968" i="7"/>
  <c r="K64" i="43" s="1"/>
  <c r="H968" i="7"/>
  <c r="G968" i="7"/>
  <c r="T967" i="7"/>
  <c r="R967" i="7"/>
  <c r="K967" i="7"/>
  <c r="J967" i="7"/>
  <c r="I967" i="7"/>
  <c r="H967" i="7"/>
  <c r="G967" i="7"/>
  <c r="T966" i="7"/>
  <c r="R966" i="7"/>
  <c r="K966" i="7"/>
  <c r="J966" i="7"/>
  <c r="I966" i="7"/>
  <c r="H966" i="7"/>
  <c r="G966" i="7"/>
  <c r="Z965" i="7"/>
  <c r="T965" i="7"/>
  <c r="R965" i="7"/>
  <c r="K965" i="7"/>
  <c r="J965" i="7"/>
  <c r="I965" i="7"/>
  <c r="H965" i="7"/>
  <c r="G965" i="7"/>
  <c r="Z964" i="7"/>
  <c r="T964" i="7"/>
  <c r="R964" i="7"/>
  <c r="K964" i="7"/>
  <c r="J964" i="7"/>
  <c r="I964" i="7"/>
  <c r="H964" i="7"/>
  <c r="G964" i="7"/>
  <c r="Z963" i="7"/>
  <c r="T963" i="7"/>
  <c r="R963" i="7"/>
  <c r="K963" i="7"/>
  <c r="J963" i="7"/>
  <c r="I963" i="7"/>
  <c r="H963" i="7"/>
  <c r="G963" i="7"/>
  <c r="Z962" i="7"/>
  <c r="T962" i="7"/>
  <c r="R962" i="7"/>
  <c r="K962" i="7"/>
  <c r="J962" i="7"/>
  <c r="I962" i="7"/>
  <c r="H962" i="7"/>
  <c r="G962" i="7"/>
  <c r="Z961" i="7"/>
  <c r="T961" i="7"/>
  <c r="R961" i="7"/>
  <c r="K961" i="7"/>
  <c r="J961" i="7"/>
  <c r="I961" i="7"/>
  <c r="H961" i="7"/>
  <c r="G961" i="7"/>
  <c r="Z960" i="7"/>
  <c r="T960" i="7"/>
  <c r="R960" i="7"/>
  <c r="K960" i="7"/>
  <c r="J960" i="7"/>
  <c r="I960" i="7"/>
  <c r="H960" i="7"/>
  <c r="G960" i="7"/>
  <c r="Z959" i="7"/>
  <c r="T959" i="7"/>
  <c r="R959" i="7"/>
  <c r="K959" i="7"/>
  <c r="J959" i="7"/>
  <c r="I959" i="7"/>
  <c r="H959" i="7"/>
  <c r="G959" i="7"/>
  <c r="Z958" i="7"/>
  <c r="T958" i="7"/>
  <c r="R958" i="7"/>
  <c r="K958" i="7"/>
  <c r="J958" i="7"/>
  <c r="I958" i="7"/>
  <c r="H958" i="7"/>
  <c r="G958" i="7"/>
  <c r="Z957" i="7"/>
  <c r="T957" i="7"/>
  <c r="R957" i="7"/>
  <c r="K957" i="7"/>
  <c r="J957" i="7"/>
  <c r="I957" i="7"/>
  <c r="H957" i="7"/>
  <c r="G957" i="7"/>
  <c r="Z956" i="7"/>
  <c r="T956" i="7"/>
  <c r="R956" i="7"/>
  <c r="K956" i="7"/>
  <c r="J956" i="7"/>
  <c r="I956" i="7"/>
  <c r="H956" i="7"/>
  <c r="G956" i="7"/>
  <c r="Z955" i="7"/>
  <c r="T955" i="7"/>
  <c r="R955" i="7"/>
  <c r="K955" i="7"/>
  <c r="J955" i="7"/>
  <c r="I955" i="7"/>
  <c r="H955" i="7"/>
  <c r="G955" i="7"/>
  <c r="Z954" i="7"/>
  <c r="T954" i="7"/>
  <c r="R954" i="7"/>
  <c r="K954" i="7"/>
  <c r="M32" i="43" s="1"/>
  <c r="J954" i="7"/>
  <c r="L32" i="43" s="1"/>
  <c r="I954" i="7"/>
  <c r="K32" i="43" s="1"/>
  <c r="H954" i="7"/>
  <c r="G954" i="7"/>
  <c r="Z953" i="7"/>
  <c r="T953" i="7"/>
  <c r="R953" i="7"/>
  <c r="K953" i="7"/>
  <c r="M31" i="43" s="1"/>
  <c r="J953" i="7"/>
  <c r="L31" i="43" s="1"/>
  <c r="I953" i="7"/>
  <c r="K31" i="43" s="1"/>
  <c r="H953" i="7"/>
  <c r="G953" i="7"/>
  <c r="Z952" i="7"/>
  <c r="T952" i="7"/>
  <c r="R952" i="7"/>
  <c r="K952" i="7"/>
  <c r="J952" i="7"/>
  <c r="I952" i="7"/>
  <c r="H952" i="7"/>
  <c r="G952" i="7"/>
  <c r="Z951" i="7"/>
  <c r="T951" i="7"/>
  <c r="R951" i="7"/>
  <c r="K951" i="7"/>
  <c r="J951" i="7"/>
  <c r="I951" i="7"/>
  <c r="H951" i="7"/>
  <c r="G951" i="7"/>
  <c r="Z950" i="7"/>
  <c r="T950" i="7"/>
  <c r="R950" i="7"/>
  <c r="K950" i="7"/>
  <c r="M27" i="43" s="1"/>
  <c r="J950" i="7"/>
  <c r="L27" i="43" s="1"/>
  <c r="I950" i="7"/>
  <c r="K27" i="43" s="1"/>
  <c r="H950" i="7"/>
  <c r="G950" i="7"/>
  <c r="Z949" i="7"/>
  <c r="T949" i="7"/>
  <c r="R949" i="7"/>
  <c r="K949" i="7"/>
  <c r="M26" i="43" s="1"/>
  <c r="J949" i="7"/>
  <c r="L26" i="43" s="1"/>
  <c r="I949" i="7"/>
  <c r="K26" i="43" s="1"/>
  <c r="H949" i="7"/>
  <c r="G949" i="7"/>
  <c r="Z948" i="7"/>
  <c r="T948" i="7"/>
  <c r="R948" i="7"/>
  <c r="K948" i="7"/>
  <c r="M25" i="43" s="1"/>
  <c r="J948" i="7"/>
  <c r="L25" i="43" s="1"/>
  <c r="I948" i="7"/>
  <c r="K25" i="43" s="1"/>
  <c r="H948" i="7"/>
  <c r="G948" i="7"/>
  <c r="Z947" i="7"/>
  <c r="T947" i="7"/>
  <c r="R947" i="7"/>
  <c r="K947" i="7"/>
  <c r="M24" i="43" s="1"/>
  <c r="J947" i="7"/>
  <c r="L24" i="43" s="1"/>
  <c r="I947" i="7"/>
  <c r="K24" i="43" s="1"/>
  <c r="H947" i="7"/>
  <c r="G947" i="7"/>
  <c r="Z946" i="7"/>
  <c r="T946" i="7"/>
  <c r="R946" i="7"/>
  <c r="K946" i="7"/>
  <c r="M23" i="43" s="1"/>
  <c r="J946" i="7"/>
  <c r="L23" i="43" s="1"/>
  <c r="I946" i="7"/>
  <c r="K23" i="43" s="1"/>
  <c r="H946" i="7"/>
  <c r="G946" i="7"/>
  <c r="Z945" i="7"/>
  <c r="T945" i="7"/>
  <c r="R945" i="7"/>
  <c r="K945" i="7"/>
  <c r="M22" i="43" s="1"/>
  <c r="J945" i="7"/>
  <c r="L22" i="43" s="1"/>
  <c r="I945" i="7"/>
  <c r="K22" i="43" s="1"/>
  <c r="H945" i="7"/>
  <c r="G945" i="7"/>
  <c r="Z944" i="7"/>
  <c r="T944" i="7"/>
  <c r="R944" i="7"/>
  <c r="K944" i="7"/>
  <c r="M30" i="43" s="1"/>
  <c r="J944" i="7"/>
  <c r="L30" i="43" s="1"/>
  <c r="I944" i="7"/>
  <c r="K30" i="43" s="1"/>
  <c r="H944" i="7"/>
  <c r="G944" i="7"/>
  <c r="Z943" i="7"/>
  <c r="T943" i="7"/>
  <c r="R943" i="7"/>
  <c r="K943" i="7"/>
  <c r="M29" i="43" s="1"/>
  <c r="J943" i="7"/>
  <c r="L29" i="43" s="1"/>
  <c r="I943" i="7"/>
  <c r="K29" i="43" s="1"/>
  <c r="H943" i="7"/>
  <c r="G943" i="7"/>
  <c r="Z942" i="7"/>
  <c r="T942" i="7"/>
  <c r="R942" i="7"/>
  <c r="K942" i="7"/>
  <c r="M28" i="43" s="1"/>
  <c r="J942" i="7"/>
  <c r="L28" i="43" s="1"/>
  <c r="I942" i="7"/>
  <c r="K28" i="43" s="1"/>
  <c r="H942" i="7"/>
  <c r="G942" i="7"/>
  <c r="Z941" i="7"/>
  <c r="T941" i="7"/>
  <c r="R941" i="7"/>
  <c r="K941" i="7"/>
  <c r="J941" i="7"/>
  <c r="I941" i="7"/>
  <c r="H941" i="7"/>
  <c r="G941" i="7"/>
  <c r="Z940" i="7"/>
  <c r="T940" i="7"/>
  <c r="R940" i="7"/>
  <c r="K940" i="7"/>
  <c r="J940" i="7"/>
  <c r="I940" i="7"/>
  <c r="H940" i="7"/>
  <c r="G940" i="7"/>
  <c r="Z939" i="7"/>
  <c r="T939" i="7"/>
  <c r="R939" i="7"/>
  <c r="K939" i="7"/>
  <c r="J939" i="7"/>
  <c r="I939" i="7"/>
  <c r="H939" i="7"/>
  <c r="G939" i="7"/>
  <c r="Z938" i="7"/>
  <c r="T938" i="7"/>
  <c r="R938" i="7"/>
  <c r="K938" i="7"/>
  <c r="J938" i="7"/>
  <c r="I938" i="7"/>
  <c r="H938" i="7"/>
  <c r="G938" i="7"/>
  <c r="Z937" i="7"/>
  <c r="T937" i="7"/>
  <c r="R937" i="7"/>
  <c r="K937" i="7"/>
  <c r="J937" i="7"/>
  <c r="I937" i="7"/>
  <c r="H937" i="7"/>
  <c r="G937" i="7"/>
  <c r="Z936" i="7"/>
  <c r="T936" i="7"/>
  <c r="R936" i="7"/>
  <c r="K936" i="7"/>
  <c r="J936" i="7"/>
  <c r="I936" i="7"/>
  <c r="H936" i="7"/>
  <c r="G936" i="7"/>
  <c r="Z935" i="7"/>
  <c r="T935" i="7"/>
  <c r="R935" i="7"/>
  <c r="K935" i="7"/>
  <c r="J935" i="7"/>
  <c r="I935" i="7"/>
  <c r="H935" i="7"/>
  <c r="G935" i="7"/>
  <c r="Z934" i="7"/>
  <c r="T934" i="7"/>
  <c r="R934" i="7"/>
  <c r="K934" i="7"/>
  <c r="J934" i="7"/>
  <c r="I934" i="7"/>
  <c r="H934" i="7"/>
  <c r="G934" i="7"/>
  <c r="Z933" i="7"/>
  <c r="T933" i="7"/>
  <c r="R933" i="7"/>
  <c r="K933" i="7"/>
  <c r="J933" i="7"/>
  <c r="I933" i="7"/>
  <c r="H933" i="7"/>
  <c r="G933" i="7"/>
  <c r="Z932" i="7"/>
  <c r="T932" i="7"/>
  <c r="R932" i="7"/>
  <c r="K932" i="7"/>
  <c r="J932" i="7"/>
  <c r="I932" i="7"/>
  <c r="H932" i="7"/>
  <c r="G932" i="7"/>
  <c r="Z931" i="7"/>
  <c r="R931" i="7"/>
  <c r="K931" i="7"/>
  <c r="H931" i="7"/>
  <c r="G931" i="7"/>
  <c r="Z930" i="7"/>
  <c r="R930" i="7"/>
  <c r="K930" i="7"/>
  <c r="J930" i="7"/>
  <c r="I930" i="7"/>
  <c r="H930" i="7"/>
  <c r="G930" i="7"/>
  <c r="Z929" i="7"/>
  <c r="R929" i="7"/>
  <c r="K929" i="7"/>
  <c r="J929" i="7"/>
  <c r="I929" i="7"/>
  <c r="H929" i="7"/>
  <c r="G929" i="7"/>
  <c r="Z928" i="7"/>
  <c r="R928" i="7"/>
  <c r="K928" i="7"/>
  <c r="J928" i="7"/>
  <c r="I928" i="7"/>
  <c r="H928" i="7"/>
  <c r="G928" i="7"/>
  <c r="Z927" i="7"/>
  <c r="R927" i="7"/>
  <c r="K927" i="7"/>
  <c r="J927" i="7"/>
  <c r="I927" i="7"/>
  <c r="H927" i="7"/>
  <c r="G927" i="7"/>
  <c r="Z926" i="7"/>
  <c r="T926" i="7"/>
  <c r="R926" i="7"/>
  <c r="K926" i="7"/>
  <c r="M17" i="43" s="1"/>
  <c r="J926" i="7"/>
  <c r="L17" i="43" s="1"/>
  <c r="I926" i="7"/>
  <c r="K17" i="43" s="1"/>
  <c r="H926" i="7"/>
  <c r="G926" i="7"/>
  <c r="Z925" i="7"/>
  <c r="T925" i="7"/>
  <c r="R925" i="7"/>
  <c r="K925" i="7"/>
  <c r="M16" i="43" s="1"/>
  <c r="J925" i="7"/>
  <c r="L16" i="43" s="1"/>
  <c r="I925" i="7"/>
  <c r="K16" i="43" s="1"/>
  <c r="H925" i="7"/>
  <c r="G925" i="7"/>
  <c r="Z924" i="7"/>
  <c r="T924" i="7"/>
  <c r="R924" i="7"/>
  <c r="K924" i="7"/>
  <c r="M15" i="43" s="1"/>
  <c r="J924" i="7"/>
  <c r="L15" i="43" s="1"/>
  <c r="I924" i="7"/>
  <c r="K15" i="43" s="1"/>
  <c r="H924" i="7"/>
  <c r="G924" i="7"/>
  <c r="Z923" i="7"/>
  <c r="T923" i="7"/>
  <c r="R923" i="7"/>
  <c r="K923" i="7"/>
  <c r="M14" i="43" s="1"/>
  <c r="J923" i="7"/>
  <c r="L14" i="43" s="1"/>
  <c r="I923" i="7"/>
  <c r="K14" i="43" s="1"/>
  <c r="H923" i="7"/>
  <c r="G923" i="7"/>
  <c r="Z922" i="7"/>
  <c r="T922" i="7"/>
  <c r="R922" i="7"/>
  <c r="K922" i="7"/>
  <c r="M13" i="43" s="1"/>
  <c r="J922" i="7"/>
  <c r="L13" i="43" s="1"/>
  <c r="I922" i="7"/>
  <c r="K13" i="43" s="1"/>
  <c r="H922" i="7"/>
  <c r="G922" i="7"/>
  <c r="Z921" i="7"/>
  <c r="T921" i="7"/>
  <c r="R921" i="7"/>
  <c r="K921" i="7"/>
  <c r="M12" i="43" s="1"/>
  <c r="J921" i="7"/>
  <c r="L12" i="43" s="1"/>
  <c r="I921" i="7"/>
  <c r="K12" i="43" s="1"/>
  <c r="H921" i="7"/>
  <c r="G921" i="7"/>
  <c r="Z920" i="7"/>
  <c r="T920" i="7"/>
  <c r="R920" i="7"/>
  <c r="K920" i="7"/>
  <c r="M11" i="43" s="1"/>
  <c r="J920" i="7"/>
  <c r="L11" i="43" s="1"/>
  <c r="I920" i="7"/>
  <c r="K11" i="43" s="1"/>
  <c r="H920" i="7"/>
  <c r="G920" i="7"/>
  <c r="Z919" i="7"/>
  <c r="T919" i="7"/>
  <c r="R919" i="7"/>
  <c r="K919" i="7"/>
  <c r="M10" i="43" s="1"/>
  <c r="J919" i="7"/>
  <c r="L10" i="43" s="1"/>
  <c r="I919" i="7"/>
  <c r="K10" i="43" s="1"/>
  <c r="H919" i="7"/>
  <c r="G919" i="7"/>
  <c r="Z918" i="7"/>
  <c r="T918" i="7"/>
  <c r="R918" i="7"/>
  <c r="K918" i="7"/>
  <c r="M9" i="43" s="1"/>
  <c r="J918" i="7"/>
  <c r="L9" i="43" s="1"/>
  <c r="I918" i="7"/>
  <c r="K9" i="43" s="1"/>
  <c r="H918" i="7"/>
  <c r="G918" i="7"/>
  <c r="Z917" i="7"/>
  <c r="T917" i="7"/>
  <c r="R917" i="7"/>
  <c r="K917" i="7"/>
  <c r="J917" i="7"/>
  <c r="I917" i="7"/>
  <c r="H917" i="7"/>
  <c r="G917" i="7"/>
  <c r="Z916" i="7"/>
  <c r="T916" i="7"/>
  <c r="R916" i="7"/>
  <c r="K916" i="7"/>
  <c r="J916" i="7"/>
  <c r="I916" i="7"/>
  <c r="H916" i="7"/>
  <c r="G916" i="7"/>
  <c r="Z915" i="7"/>
  <c r="T915" i="7"/>
  <c r="R915" i="7"/>
  <c r="K915" i="7"/>
  <c r="J915" i="7"/>
  <c r="I915" i="7"/>
  <c r="K7" i="43" s="1"/>
  <c r="H915" i="7"/>
  <c r="G915" i="7"/>
  <c r="Z914" i="7"/>
  <c r="T914" i="7"/>
  <c r="R914" i="7"/>
  <c r="K914" i="7"/>
  <c r="J914" i="7"/>
  <c r="I914" i="7"/>
  <c r="H914" i="7"/>
  <c r="G914" i="7"/>
  <c r="Z913" i="7"/>
  <c r="T913" i="7"/>
  <c r="R913" i="7"/>
  <c r="K913" i="7"/>
  <c r="J913" i="7"/>
  <c r="I913" i="7"/>
  <c r="H913" i="7"/>
  <c r="G913" i="7"/>
  <c r="Z912" i="7"/>
  <c r="T912" i="7"/>
  <c r="R912" i="7"/>
  <c r="K912" i="7"/>
  <c r="J912" i="7"/>
  <c r="I912" i="7"/>
  <c r="H912" i="7"/>
  <c r="G912" i="7"/>
  <c r="Z911" i="7"/>
  <c r="T911" i="7"/>
  <c r="R911" i="7"/>
  <c r="K911" i="7"/>
  <c r="J911" i="7"/>
  <c r="I911" i="7"/>
  <c r="H911" i="7"/>
  <c r="G911" i="7"/>
  <c r="Z910" i="7"/>
  <c r="T910" i="7"/>
  <c r="R910" i="7"/>
  <c r="K910" i="7"/>
  <c r="M6" i="43" s="1"/>
  <c r="J910" i="7"/>
  <c r="L6" i="43" s="1"/>
  <c r="I910" i="7"/>
  <c r="K6" i="43" s="1"/>
  <c r="H910" i="7"/>
  <c r="G910" i="7"/>
  <c r="Z909" i="7"/>
  <c r="T909" i="7"/>
  <c r="R909" i="7"/>
  <c r="K909" i="7"/>
  <c r="J909" i="7"/>
  <c r="L5" i="43" s="1"/>
  <c r="I909" i="7"/>
  <c r="K5" i="43" s="1"/>
  <c r="H909" i="7"/>
  <c r="G909" i="7"/>
  <c r="Z908" i="7"/>
  <c r="T908" i="7"/>
  <c r="R908" i="7"/>
  <c r="K908" i="7"/>
  <c r="J908" i="7"/>
  <c r="I908" i="7"/>
  <c r="H908" i="7"/>
  <c r="G908" i="7"/>
  <c r="Z907" i="7"/>
  <c r="T907" i="7"/>
  <c r="R907" i="7"/>
  <c r="K907" i="7"/>
  <c r="J907" i="7"/>
  <c r="I907" i="7"/>
  <c r="H907" i="7"/>
  <c r="G907" i="7"/>
  <c r="Z906" i="7"/>
  <c r="T906" i="7"/>
  <c r="R906" i="7"/>
  <c r="K906" i="7"/>
  <c r="J906" i="7"/>
  <c r="I906" i="7"/>
  <c r="H906" i="7"/>
  <c r="G906" i="7"/>
  <c r="Z905" i="7"/>
  <c r="T905" i="7"/>
  <c r="R905" i="7"/>
  <c r="K905" i="7"/>
  <c r="J905" i="7"/>
  <c r="I905" i="7"/>
  <c r="H905" i="7"/>
  <c r="G905" i="7"/>
  <c r="Z904" i="7"/>
  <c r="T904" i="7"/>
  <c r="R904" i="7"/>
  <c r="K904" i="7"/>
  <c r="M35" i="43" s="1"/>
  <c r="J904" i="7"/>
  <c r="L35" i="43" s="1"/>
  <c r="I904" i="7"/>
  <c r="K35" i="43" s="1"/>
  <c r="H904" i="7"/>
  <c r="G904" i="7"/>
  <c r="Z903" i="7"/>
  <c r="T903" i="7"/>
  <c r="R903" i="7"/>
  <c r="K903" i="7"/>
  <c r="J903" i="7"/>
  <c r="I903" i="7"/>
  <c r="H903" i="7"/>
  <c r="G903" i="7"/>
  <c r="Z902" i="7"/>
  <c r="T902" i="7"/>
  <c r="R902" i="7"/>
  <c r="K902" i="7"/>
  <c r="M34" i="43" s="1"/>
  <c r="J902" i="7"/>
  <c r="L34" i="43" s="1"/>
  <c r="I902" i="7"/>
  <c r="K34" i="43" s="1"/>
  <c r="H902" i="7"/>
  <c r="G902" i="7"/>
  <c r="Z901" i="7"/>
  <c r="T901" i="7"/>
  <c r="R901" i="7"/>
  <c r="K901" i="7"/>
  <c r="M33" i="43" s="1"/>
  <c r="J901" i="7"/>
  <c r="L33" i="43" s="1"/>
  <c r="I901" i="7"/>
  <c r="K33" i="43" s="1"/>
  <c r="H901" i="7"/>
  <c r="G901" i="7"/>
  <c r="Z900" i="7"/>
  <c r="T900" i="7"/>
  <c r="R900" i="7"/>
  <c r="K900" i="7"/>
  <c r="J900" i="7"/>
  <c r="I900" i="7"/>
  <c r="H900" i="7"/>
  <c r="G900" i="7"/>
  <c r="Z899" i="7"/>
  <c r="T899" i="7"/>
  <c r="R899" i="7"/>
  <c r="K899" i="7"/>
  <c r="J899" i="7"/>
  <c r="I899" i="7"/>
  <c r="H899" i="7"/>
  <c r="G899" i="7"/>
  <c r="Z898" i="7"/>
  <c r="T898" i="7"/>
  <c r="R898" i="7"/>
  <c r="K898" i="7"/>
  <c r="J898" i="7"/>
  <c r="I898" i="7"/>
  <c r="H898" i="7"/>
  <c r="G898" i="7"/>
  <c r="Z897" i="7"/>
  <c r="T897" i="7"/>
  <c r="R897" i="7"/>
  <c r="K897" i="7"/>
  <c r="J897" i="7"/>
  <c r="I897" i="7"/>
  <c r="H897" i="7"/>
  <c r="G897" i="7"/>
  <c r="Z896" i="7"/>
  <c r="T896" i="7"/>
  <c r="R896" i="7"/>
  <c r="K896" i="7"/>
  <c r="J896" i="7"/>
  <c r="I896" i="7"/>
  <c r="H896" i="7"/>
  <c r="G896" i="7"/>
  <c r="Z895" i="7"/>
  <c r="T895" i="7"/>
  <c r="R895" i="7"/>
  <c r="K895" i="7"/>
  <c r="J895" i="7"/>
  <c r="I895" i="7"/>
  <c r="H895" i="7"/>
  <c r="G895" i="7"/>
  <c r="Z894" i="7"/>
  <c r="T894" i="7"/>
  <c r="R894" i="7"/>
  <c r="K894" i="7"/>
  <c r="J894" i="7"/>
  <c r="I894" i="7"/>
  <c r="H894" i="7"/>
  <c r="G894" i="7"/>
  <c r="Z893" i="7"/>
  <c r="T893" i="7"/>
  <c r="R893" i="7"/>
  <c r="K893" i="7"/>
  <c r="J893" i="7"/>
  <c r="I893" i="7"/>
  <c r="H893" i="7"/>
  <c r="G893" i="7"/>
  <c r="Z892" i="7"/>
  <c r="T892" i="7"/>
  <c r="R892" i="7"/>
  <c r="K892" i="7"/>
  <c r="J892" i="7"/>
  <c r="I892" i="7"/>
  <c r="H892" i="7"/>
  <c r="G892" i="7"/>
  <c r="Z891" i="7"/>
  <c r="T891" i="7"/>
  <c r="R891" i="7"/>
  <c r="K891" i="7"/>
  <c r="J891" i="7"/>
  <c r="I891" i="7"/>
  <c r="H891" i="7"/>
  <c r="G891" i="7"/>
  <c r="Z890" i="7"/>
  <c r="T890" i="7"/>
  <c r="R890" i="7"/>
  <c r="K890" i="7"/>
  <c r="J890" i="7"/>
  <c r="I890" i="7"/>
  <c r="H890" i="7"/>
  <c r="G890" i="7"/>
  <c r="Z889" i="7"/>
  <c r="T889" i="7"/>
  <c r="R889" i="7"/>
  <c r="K889" i="7"/>
  <c r="J889" i="7"/>
  <c r="I889" i="7"/>
  <c r="H889" i="7"/>
  <c r="G889" i="7"/>
  <c r="Z888" i="7"/>
  <c r="T888" i="7"/>
  <c r="R888" i="7"/>
  <c r="K888" i="7"/>
  <c r="J888" i="7"/>
  <c r="I888" i="7"/>
  <c r="H888" i="7"/>
  <c r="G888" i="7"/>
  <c r="Z887" i="7"/>
  <c r="T887" i="7"/>
  <c r="R887" i="7"/>
  <c r="K887" i="7"/>
  <c r="J887" i="7"/>
  <c r="I887" i="7"/>
  <c r="H887" i="7"/>
  <c r="G887" i="7"/>
  <c r="Z886" i="7"/>
  <c r="T886" i="7"/>
  <c r="R886" i="7"/>
  <c r="K886" i="7"/>
  <c r="J886" i="7"/>
  <c r="I886" i="7"/>
  <c r="H886" i="7"/>
  <c r="G886" i="7"/>
  <c r="Z885" i="7"/>
  <c r="T885" i="7"/>
  <c r="R885" i="7"/>
  <c r="K885" i="7"/>
  <c r="J885" i="7"/>
  <c r="I885" i="7"/>
  <c r="H885" i="7"/>
  <c r="G885" i="7"/>
  <c r="Z884" i="7"/>
  <c r="T884" i="7"/>
  <c r="R884" i="7"/>
  <c r="K884" i="7"/>
  <c r="J884" i="7"/>
  <c r="I884" i="7"/>
  <c r="H884" i="7"/>
  <c r="G884" i="7"/>
  <c r="Z883" i="7"/>
  <c r="T883" i="7"/>
  <c r="R883" i="7"/>
  <c r="K883" i="7"/>
  <c r="J883" i="7"/>
  <c r="I883" i="7"/>
  <c r="H883" i="7"/>
  <c r="G883" i="7"/>
  <c r="Z882" i="7"/>
  <c r="T882" i="7"/>
  <c r="R882" i="7"/>
  <c r="Z881" i="7"/>
  <c r="T881" i="7"/>
  <c r="R881" i="7"/>
  <c r="Z880" i="7"/>
  <c r="T880" i="7"/>
  <c r="R880" i="7"/>
  <c r="Z879" i="7"/>
  <c r="T879" i="7"/>
  <c r="R879" i="7"/>
  <c r="K879" i="7"/>
  <c r="J879" i="7"/>
  <c r="I879" i="7"/>
  <c r="H879" i="7"/>
  <c r="G879" i="7"/>
  <c r="Z878" i="7"/>
  <c r="T878" i="7"/>
  <c r="R878" i="7"/>
  <c r="K878" i="7"/>
  <c r="J878" i="7"/>
  <c r="I878" i="7"/>
  <c r="H878" i="7"/>
  <c r="G878" i="7"/>
  <c r="Z877" i="7"/>
  <c r="T877" i="7"/>
  <c r="R877" i="7"/>
  <c r="K877" i="7"/>
  <c r="J877" i="7"/>
  <c r="I877" i="7"/>
  <c r="H877" i="7"/>
  <c r="G877" i="7"/>
  <c r="A863" i="7"/>
  <c r="A862" i="7"/>
  <c r="A861" i="7"/>
  <c r="A860" i="7"/>
  <c r="A859" i="7"/>
  <c r="A858" i="7"/>
  <c r="A857" i="7"/>
  <c r="A856" i="7"/>
  <c r="A855" i="7"/>
  <c r="A854" i="7"/>
  <c r="A853" i="7"/>
  <c r="A852" i="7"/>
  <c r="A851" i="7"/>
  <c r="A850" i="7"/>
  <c r="A849" i="7"/>
  <c r="A848" i="7"/>
  <c r="A847" i="7"/>
  <c r="A846" i="7"/>
  <c r="A845" i="7"/>
  <c r="A844" i="7"/>
  <c r="A843" i="7"/>
  <c r="A842" i="7"/>
  <c r="A841" i="7"/>
  <c r="A840" i="7"/>
  <c r="A839" i="7"/>
  <c r="A838" i="7"/>
  <c r="A837" i="7"/>
  <c r="A836" i="7"/>
  <c r="A835" i="7"/>
  <c r="A834" i="7"/>
  <c r="A833" i="7"/>
  <c r="A832" i="7"/>
  <c r="A831" i="7"/>
  <c r="A830" i="7"/>
  <c r="A829" i="7"/>
  <c r="A828" i="7"/>
  <c r="A827" i="7"/>
  <c r="A826" i="7"/>
  <c r="A825" i="7"/>
  <c r="A824" i="7"/>
  <c r="A823" i="7"/>
  <c r="A822" i="7"/>
  <c r="A821" i="7"/>
  <c r="A820" i="7"/>
  <c r="A819" i="7"/>
  <c r="A818" i="7"/>
  <c r="A817" i="7"/>
  <c r="A816" i="7"/>
  <c r="A815" i="7"/>
  <c r="A814" i="7"/>
  <c r="A813" i="7"/>
  <c r="A812" i="7"/>
  <c r="A811" i="7"/>
  <c r="A810" i="7"/>
  <c r="A809" i="7"/>
  <c r="A808" i="7"/>
  <c r="A807" i="7"/>
  <c r="A806" i="7"/>
  <c r="A805" i="7"/>
  <c r="A804" i="7"/>
  <c r="A803" i="7"/>
  <c r="A802" i="7"/>
  <c r="A801" i="7"/>
  <c r="A800" i="7"/>
  <c r="A799" i="7"/>
  <c r="A798" i="7"/>
  <c r="A797" i="7"/>
  <c r="A796" i="7"/>
  <c r="A795" i="7"/>
  <c r="A794" i="7"/>
  <c r="A793" i="7"/>
  <c r="A792" i="7"/>
  <c r="A791" i="7"/>
  <c r="A790" i="7"/>
  <c r="A789" i="7"/>
  <c r="A788" i="7"/>
  <c r="A787" i="7"/>
  <c r="A786" i="7"/>
  <c r="A785" i="7"/>
  <c r="A784" i="7"/>
  <c r="A783" i="7"/>
  <c r="A782" i="7"/>
  <c r="A781" i="7"/>
  <c r="A780" i="7"/>
  <c r="A779" i="7"/>
  <c r="A778" i="7"/>
  <c r="A777" i="7"/>
  <c r="A776" i="7"/>
  <c r="A775" i="7"/>
  <c r="A774" i="7"/>
  <c r="A773" i="7"/>
  <c r="A772" i="7"/>
  <c r="A771" i="7"/>
  <c r="A770" i="7"/>
  <c r="A769" i="7"/>
  <c r="A768" i="7"/>
  <c r="A767" i="7"/>
  <c r="A766" i="7"/>
  <c r="A765" i="7"/>
  <c r="A764" i="7"/>
  <c r="A762" i="7"/>
  <c r="A761" i="7"/>
  <c r="A760" i="7"/>
  <c r="A759" i="7"/>
  <c r="A758" i="7"/>
  <c r="A757" i="7"/>
  <c r="A756" i="7"/>
  <c r="A755" i="7"/>
  <c r="A754" i="7"/>
  <c r="A753" i="7"/>
  <c r="A752" i="7"/>
  <c r="A751" i="7"/>
  <c r="A750" i="7"/>
  <c r="A749" i="7"/>
  <c r="A748" i="7"/>
  <c r="A747" i="7"/>
  <c r="A746" i="7"/>
  <c r="A745" i="7"/>
  <c r="A744" i="7"/>
  <c r="A743" i="7"/>
  <c r="A742" i="7"/>
  <c r="A741" i="7"/>
  <c r="A740" i="7"/>
  <c r="A739" i="7"/>
  <c r="A738" i="7"/>
  <c r="A737" i="7"/>
  <c r="A736" i="7"/>
  <c r="A735" i="7"/>
  <c r="A734" i="7"/>
  <c r="A733" i="7"/>
  <c r="A732" i="7"/>
  <c r="A731" i="7"/>
  <c r="A730" i="7"/>
  <c r="A729" i="7"/>
  <c r="A728" i="7"/>
  <c r="A727" i="7"/>
  <c r="A726" i="7"/>
  <c r="A725" i="7"/>
  <c r="A724" i="7"/>
  <c r="A718" i="7"/>
  <c r="A717" i="7"/>
  <c r="A716" i="7"/>
  <c r="A715" i="7"/>
  <c r="A714" i="7"/>
  <c r="A713" i="7"/>
  <c r="A712" i="7"/>
  <c r="A711" i="7"/>
  <c r="A710" i="7"/>
  <c r="A708" i="7"/>
  <c r="A707" i="7"/>
  <c r="A706" i="7"/>
  <c r="A705" i="7"/>
  <c r="A703" i="7"/>
  <c r="A702" i="7"/>
  <c r="A701" i="7"/>
  <c r="A700" i="7"/>
  <c r="A699" i="7"/>
  <c r="A698" i="7"/>
  <c r="A697" i="7"/>
  <c r="A692" i="7"/>
  <c r="A691" i="7"/>
  <c r="A690" i="7"/>
  <c r="A689" i="7"/>
  <c r="A688" i="7"/>
  <c r="A687" i="7"/>
  <c r="A686" i="7"/>
  <c r="A685" i="7"/>
  <c r="A684" i="7"/>
  <c r="A683" i="7"/>
  <c r="A682" i="7"/>
  <c r="A681" i="7"/>
  <c r="A680" i="7"/>
  <c r="A679" i="7"/>
  <c r="A678" i="7"/>
  <c r="A677" i="7"/>
  <c r="A676" i="7"/>
  <c r="A675" i="7"/>
  <c r="A674" i="7"/>
  <c r="A673" i="7"/>
  <c r="A672" i="7"/>
  <c r="A671" i="7"/>
  <c r="A670" i="7"/>
  <c r="A669" i="7"/>
  <c r="A668" i="7"/>
  <c r="A667" i="7"/>
  <c r="A666" i="7"/>
  <c r="A665" i="7"/>
  <c r="A664" i="7"/>
  <c r="A663" i="7"/>
  <c r="A662" i="7"/>
  <c r="A661" i="7"/>
  <c r="A660" i="7"/>
  <c r="A656" i="7"/>
  <c r="A655" i="7"/>
  <c r="A654" i="7"/>
  <c r="A653" i="7"/>
  <c r="A652" i="7"/>
  <c r="A651" i="7"/>
  <c r="A650" i="7"/>
  <c r="A647" i="7"/>
  <c r="A646" i="7"/>
  <c r="A645" i="7"/>
  <c r="A644" i="7"/>
  <c r="A643" i="7"/>
  <c r="A642" i="7"/>
  <c r="A641" i="7"/>
  <c r="A640" i="7"/>
  <c r="A639" i="7"/>
  <c r="A638" i="7"/>
  <c r="A637" i="7"/>
  <c r="A636" i="7"/>
  <c r="A635" i="7"/>
  <c r="A634" i="7"/>
  <c r="A633" i="7"/>
  <c r="A632" i="7"/>
  <c r="A631" i="7"/>
  <c r="A630" i="7"/>
  <c r="A629" i="7"/>
  <c r="A628" i="7"/>
  <c r="A627" i="7"/>
  <c r="A626" i="7"/>
  <c r="A625" i="7"/>
  <c r="A624" i="7"/>
  <c r="A623" i="7"/>
  <c r="A622" i="7"/>
  <c r="A621" i="7"/>
  <c r="A620" i="7"/>
  <c r="A619" i="7"/>
  <c r="A618" i="7"/>
  <c r="A617" i="7"/>
  <c r="A616" i="7"/>
  <c r="A615" i="7"/>
  <c r="A614" i="7"/>
  <c r="A613" i="7"/>
  <c r="A612" i="7"/>
  <c r="A611" i="7"/>
  <c r="A610" i="7"/>
  <c r="A603" i="7"/>
  <c r="A602" i="7"/>
  <c r="A601" i="7"/>
  <c r="A599" i="7"/>
  <c r="A598" i="7"/>
  <c r="A597" i="7"/>
  <c r="A596" i="7"/>
  <c r="A595" i="7"/>
  <c r="A594" i="7"/>
  <c r="A593" i="7"/>
  <c r="A592" i="7"/>
  <c r="A591" i="7"/>
  <c r="A590" i="7"/>
  <c r="A589" i="7"/>
  <c r="A588" i="7"/>
  <c r="A587" i="7"/>
  <c r="A586" i="7"/>
  <c r="A585" i="7"/>
  <c r="A584" i="7"/>
  <c r="A583" i="7"/>
  <c r="A582" i="7"/>
  <c r="A581" i="7"/>
  <c r="A580" i="7"/>
  <c r="A579" i="7"/>
  <c r="A578" i="7"/>
  <c r="A577" i="7"/>
  <c r="A576" i="7"/>
  <c r="A575" i="7"/>
  <c r="A574" i="7"/>
  <c r="A573" i="7"/>
  <c r="A572" i="7"/>
  <c r="A571" i="7"/>
  <c r="A570" i="7"/>
  <c r="A569" i="7"/>
  <c r="A568" i="7"/>
  <c r="A567" i="7"/>
  <c r="A566" i="7"/>
  <c r="A565" i="7"/>
  <c r="A564" i="7"/>
  <c r="A563" i="7"/>
  <c r="A562" i="7"/>
  <c r="A561" i="7"/>
  <c r="A560" i="7"/>
  <c r="A559" i="7"/>
  <c r="A558" i="7"/>
  <c r="A557" i="7"/>
  <c r="A556" i="7"/>
  <c r="A555" i="7"/>
  <c r="A554" i="7"/>
  <c r="A553" i="7"/>
  <c r="A552" i="7"/>
  <c r="A551" i="7"/>
  <c r="A550" i="7"/>
  <c r="A549" i="7"/>
  <c r="A548" i="7"/>
  <c r="A547" i="7"/>
  <c r="A546" i="7"/>
  <c r="A545" i="7"/>
  <c r="A544" i="7"/>
  <c r="A543" i="7"/>
  <c r="A542" i="7"/>
  <c r="A541" i="7"/>
  <c r="A540" i="7"/>
  <c r="A539" i="7"/>
  <c r="A538" i="7"/>
  <c r="A537" i="7"/>
  <c r="A536" i="7"/>
  <c r="A535" i="7"/>
  <c r="A534" i="7"/>
  <c r="A533" i="7"/>
  <c r="A532" i="7"/>
  <c r="A531" i="7"/>
  <c r="A530" i="7"/>
  <c r="A529" i="7"/>
  <c r="A528" i="7"/>
  <c r="A527" i="7"/>
  <c r="A526" i="7"/>
  <c r="A525" i="7"/>
  <c r="A524" i="7"/>
  <c r="A523" i="7"/>
  <c r="A522" i="7"/>
  <c r="A519" i="7"/>
  <c r="A518" i="7"/>
  <c r="A517" i="7"/>
  <c r="A516" i="7"/>
  <c r="A515" i="7"/>
  <c r="A514" i="7"/>
  <c r="A513" i="7"/>
  <c r="A512" i="7"/>
  <c r="A511" i="7"/>
  <c r="A510" i="7"/>
  <c r="A509" i="7"/>
  <c r="A508" i="7"/>
  <c r="A507" i="7"/>
  <c r="A506" i="7"/>
  <c r="A505" i="7"/>
  <c r="A504" i="7"/>
  <c r="A503" i="7"/>
  <c r="A502" i="7"/>
  <c r="A501" i="7"/>
  <c r="A500" i="7"/>
  <c r="A496" i="7"/>
  <c r="A495" i="7"/>
  <c r="A494" i="7"/>
  <c r="A488" i="7"/>
  <c r="A487" i="7"/>
  <c r="A486" i="7"/>
  <c r="A485" i="7"/>
  <c r="A484" i="7"/>
  <c r="A483" i="7"/>
  <c r="A482" i="7"/>
  <c r="A481" i="7"/>
  <c r="A480" i="7"/>
  <c r="A479" i="7"/>
  <c r="A478" i="7"/>
  <c r="A477" i="7"/>
  <c r="A476" i="7"/>
  <c r="A475" i="7"/>
  <c r="A474" i="7"/>
  <c r="A473" i="7"/>
  <c r="A472" i="7"/>
  <c r="A471" i="7"/>
  <c r="A470" i="7"/>
  <c r="A469" i="7"/>
  <c r="A467" i="7"/>
  <c r="A464" i="7"/>
  <c r="A463" i="7"/>
  <c r="A462" i="7"/>
  <c r="A461" i="7"/>
  <c r="A460" i="7"/>
  <c r="A459" i="7"/>
  <c r="A458" i="7"/>
  <c r="A457" i="7"/>
  <c r="A456" i="7"/>
  <c r="A455" i="7"/>
  <c r="A454" i="7"/>
  <c r="A453" i="7"/>
  <c r="A452" i="7"/>
  <c r="A451" i="7"/>
  <c r="A450" i="7"/>
  <c r="A449" i="7"/>
  <c r="A448" i="7"/>
  <c r="A444" i="7"/>
  <c r="A443" i="7"/>
  <c r="A442" i="7"/>
  <c r="A441" i="7"/>
  <c r="A439" i="7"/>
  <c r="A438" i="7"/>
  <c r="A437" i="7"/>
  <c r="A436" i="7"/>
  <c r="A435" i="7"/>
  <c r="A434" i="7"/>
  <c r="A433" i="7"/>
  <c r="A432" i="7"/>
  <c r="A431" i="7"/>
  <c r="A430" i="7"/>
  <c r="A429" i="7"/>
  <c r="A428" i="7"/>
  <c r="A427" i="7"/>
  <c r="A426" i="7"/>
  <c r="A425" i="7"/>
  <c r="A424" i="7"/>
  <c r="A423" i="7"/>
  <c r="A422" i="7"/>
  <c r="A421" i="7"/>
  <c r="A420" i="7"/>
  <c r="A419" i="7"/>
  <c r="A418" i="7"/>
  <c r="A417" i="7"/>
  <c r="A416" i="7"/>
  <c r="A415" i="7"/>
  <c r="A414" i="7"/>
  <c r="A413" i="7"/>
  <c r="A412" i="7"/>
  <c r="A411" i="7"/>
  <c r="A410" i="7"/>
  <c r="A408" i="7"/>
  <c r="A407" i="7"/>
  <c r="A406" i="7"/>
  <c r="A405" i="7"/>
  <c r="A404" i="7"/>
  <c r="A403" i="7"/>
  <c r="A401" i="7"/>
  <c r="A400" i="7"/>
  <c r="A398" i="7"/>
  <c r="A397" i="7"/>
  <c r="A395" i="7"/>
  <c r="A394" i="7"/>
  <c r="A393" i="7"/>
  <c r="A392" i="7"/>
  <c r="A388" i="7"/>
  <c r="A387" i="7"/>
  <c r="A386" i="7"/>
  <c r="A380" i="7"/>
  <c r="A379" i="7"/>
  <c r="A378" i="7"/>
  <c r="A377" i="7"/>
  <c r="A376" i="7"/>
  <c r="A375" i="7"/>
  <c r="A374" i="7"/>
  <c r="A373" i="7"/>
  <c r="A372" i="7"/>
  <c r="A371" i="7"/>
  <c r="A370" i="7"/>
  <c r="A369" i="7"/>
  <c r="A368" i="7"/>
  <c r="A367" i="7"/>
  <c r="A366" i="7"/>
  <c r="A365" i="7"/>
  <c r="A364" i="7"/>
  <c r="A363" i="7"/>
  <c r="A362" i="7"/>
  <c r="A361" i="7"/>
  <c r="A360" i="7"/>
  <c r="A359" i="7"/>
  <c r="A358" i="7"/>
  <c r="A357" i="7"/>
  <c r="A356" i="7"/>
  <c r="A355" i="7"/>
  <c r="A354" i="7"/>
  <c r="A353" i="7"/>
  <c r="A352" i="7"/>
  <c r="A351" i="7"/>
  <c r="A350" i="7"/>
  <c r="A349" i="7"/>
  <c r="A348" i="7"/>
  <c r="A347" i="7"/>
  <c r="A346" i="7"/>
  <c r="A345" i="7"/>
  <c r="A344" i="7"/>
  <c r="A343" i="7"/>
  <c r="A341" i="7"/>
  <c r="A340" i="7"/>
  <c r="A339" i="7"/>
  <c r="A338" i="7"/>
  <c r="A337" i="7"/>
  <c r="A336" i="7"/>
  <c r="A335" i="7"/>
  <c r="A334" i="7"/>
  <c r="A333" i="7"/>
  <c r="A332" i="7"/>
  <c r="A331" i="7"/>
  <c r="A330" i="7"/>
  <c r="A329" i="7"/>
  <c r="A328" i="7"/>
  <c r="A325" i="7"/>
  <c r="A324" i="7"/>
  <c r="A323" i="7"/>
  <c r="A322" i="7"/>
  <c r="A321" i="7"/>
  <c r="A320" i="7"/>
  <c r="A319" i="7"/>
  <c r="A318" i="7"/>
  <c r="A317" i="7"/>
  <c r="A316" i="7"/>
  <c r="A315" i="7"/>
  <c r="A314" i="7"/>
  <c r="A313" i="7"/>
  <c r="A312" i="7"/>
  <c r="A310" i="7"/>
  <c r="A309" i="7"/>
  <c r="A308" i="7"/>
  <c r="A307" i="7"/>
  <c r="A306" i="7"/>
  <c r="A305" i="7"/>
  <c r="A304" i="7"/>
  <c r="A303" i="7"/>
  <c r="A302" i="7"/>
  <c r="A301" i="7"/>
  <c r="A300" i="7"/>
  <c r="A299" i="7"/>
  <c r="A298" i="7"/>
  <c r="A297" i="7"/>
  <c r="A296" i="7"/>
  <c r="A295" i="7"/>
  <c r="A294" i="7"/>
  <c r="A293" i="7"/>
  <c r="A292" i="7"/>
  <c r="A291" i="7"/>
  <c r="A290" i="7"/>
  <c r="A289" i="7"/>
  <c r="A288" i="7"/>
  <c r="A287" i="7"/>
  <c r="A286" i="7"/>
  <c r="A285" i="7"/>
  <c r="A284" i="7"/>
  <c r="A283" i="7"/>
  <c r="A282" i="7"/>
  <c r="A281" i="7"/>
  <c r="A280" i="7"/>
  <c r="A279" i="7"/>
  <c r="A278" i="7"/>
  <c r="A277" i="7"/>
  <c r="A276" i="7"/>
  <c r="A275" i="7"/>
  <c r="A274" i="7"/>
  <c r="A273" i="7"/>
  <c r="A272" i="7"/>
  <c r="A271" i="7"/>
  <c r="A270" i="7"/>
  <c r="A269" i="7"/>
  <c r="S268" i="7"/>
  <c r="A268" i="7"/>
  <c r="S267" i="7"/>
  <c r="A267" i="7"/>
  <c r="S266" i="7"/>
  <c r="A266" i="7"/>
  <c r="S265" i="7"/>
  <c r="A265" i="7"/>
  <c r="S264" i="7"/>
  <c r="A264" i="7"/>
  <c r="S263" i="7"/>
  <c r="A263" i="7"/>
  <c r="S262" i="7"/>
  <c r="A262" i="7"/>
  <c r="S261" i="7"/>
  <c r="A261" i="7"/>
  <c r="S260" i="7"/>
  <c r="A260" i="7"/>
  <c r="S259" i="7"/>
  <c r="A259" i="7"/>
  <c r="S251" i="7"/>
  <c r="A251" i="7"/>
  <c r="S250" i="7"/>
  <c r="A250" i="7"/>
  <c r="S249" i="7"/>
  <c r="A249" i="7"/>
  <c r="S248" i="7"/>
  <c r="A248" i="7"/>
  <c r="S247" i="7"/>
  <c r="A247" i="7"/>
  <c r="S246" i="7"/>
  <c r="A246" i="7"/>
  <c r="S245" i="7"/>
  <c r="A245" i="7"/>
  <c r="S244" i="7"/>
  <c r="A244" i="7"/>
  <c r="S243" i="7"/>
  <c r="A243" i="7"/>
  <c r="S242" i="7"/>
  <c r="A242" i="7"/>
  <c r="S241" i="7"/>
  <c r="A241" i="7"/>
  <c r="S240" i="7"/>
  <c r="A240" i="7"/>
  <c r="S239" i="7"/>
  <c r="A239" i="7"/>
  <c r="S238" i="7"/>
  <c r="A238" i="7"/>
  <c r="S237" i="7"/>
  <c r="A237" i="7"/>
  <c r="S236" i="7"/>
  <c r="A236" i="7"/>
  <c r="S235" i="7"/>
  <c r="A235" i="7"/>
  <c r="S234" i="7"/>
  <c r="A234" i="7"/>
  <c r="S233" i="7"/>
  <c r="A233" i="7"/>
  <c r="S232" i="7"/>
  <c r="A232" i="7"/>
  <c r="S230" i="7"/>
  <c r="A230" i="7"/>
  <c r="S229" i="7"/>
  <c r="A229" i="7"/>
  <c r="S228" i="7"/>
  <c r="A228" i="7"/>
  <c r="S227" i="7"/>
  <c r="A227" i="7"/>
  <c r="S226" i="7"/>
  <c r="A226" i="7"/>
  <c r="S225" i="7"/>
  <c r="A225" i="7"/>
  <c r="S224" i="7"/>
  <c r="A224" i="7"/>
  <c r="S223" i="7"/>
  <c r="A223" i="7"/>
  <c r="S222" i="7"/>
  <c r="A222" i="7"/>
  <c r="S221" i="7"/>
  <c r="A221" i="7"/>
  <c r="S220" i="7"/>
  <c r="A220" i="7"/>
  <c r="S219" i="7"/>
  <c r="A219" i="7"/>
  <c r="S217" i="7"/>
  <c r="A217" i="7"/>
  <c r="S216" i="7"/>
  <c r="A216" i="7"/>
  <c r="S215" i="7"/>
  <c r="A215" i="7"/>
  <c r="S214" i="7"/>
  <c r="A214" i="7"/>
  <c r="S213" i="7"/>
  <c r="A213" i="7"/>
  <c r="S212" i="7"/>
  <c r="A212" i="7"/>
  <c r="S211" i="7"/>
  <c r="A211" i="7"/>
  <c r="S210" i="7"/>
  <c r="A210" i="7"/>
  <c r="S209" i="7"/>
  <c r="A209" i="7"/>
  <c r="S208" i="7"/>
  <c r="A208" i="7"/>
  <c r="S207" i="7"/>
  <c r="A207" i="7"/>
  <c r="S206" i="7"/>
  <c r="A206" i="7"/>
  <c r="S205" i="7"/>
  <c r="A205" i="7"/>
  <c r="S204" i="7"/>
  <c r="A204" i="7"/>
  <c r="S203" i="7"/>
  <c r="A203" i="7"/>
  <c r="S202" i="7"/>
  <c r="A202" i="7"/>
  <c r="S201" i="7"/>
  <c r="A201" i="7"/>
  <c r="S200" i="7"/>
  <c r="A200" i="7"/>
  <c r="S199" i="7"/>
  <c r="A199" i="7"/>
  <c r="S198" i="7"/>
  <c r="A198" i="7"/>
  <c r="S197" i="7"/>
  <c r="S193" i="7"/>
  <c r="A193" i="7"/>
  <c r="S192" i="7"/>
  <c r="A192" i="7"/>
  <c r="S191" i="7"/>
  <c r="A191" i="7"/>
  <c r="S190" i="7"/>
  <c r="A190" i="7"/>
  <c r="S189" i="7"/>
  <c r="A189" i="7"/>
  <c r="S188" i="7"/>
  <c r="A188" i="7"/>
  <c r="S187" i="7"/>
  <c r="A187" i="7"/>
  <c r="S186" i="7"/>
  <c r="A186" i="7"/>
  <c r="S185" i="7"/>
  <c r="A185" i="7"/>
  <c r="S184" i="7"/>
  <c r="A184" i="7"/>
  <c r="S183" i="7"/>
  <c r="A183" i="7"/>
  <c r="S182" i="7"/>
  <c r="A182" i="7"/>
  <c r="S181" i="7"/>
  <c r="A181" i="7"/>
  <c r="S180" i="7"/>
  <c r="A180" i="7"/>
  <c r="S179" i="7"/>
  <c r="A179" i="7"/>
  <c r="S178" i="7"/>
  <c r="A178" i="7"/>
  <c r="A176" i="7"/>
  <c r="A175" i="7"/>
  <c r="A174" i="7"/>
  <c r="A173" i="7"/>
  <c r="S172" i="7"/>
  <c r="A172" i="7"/>
  <c r="S171" i="7"/>
  <c r="A171" i="7"/>
  <c r="S170" i="7"/>
  <c r="A170" i="7"/>
  <c r="S169" i="7"/>
  <c r="A169" i="7"/>
  <c r="S168" i="7"/>
  <c r="A168" i="7"/>
  <c r="AT138" i="7"/>
  <c r="S167" i="7"/>
  <c r="A167" i="7"/>
  <c r="AT137" i="7"/>
  <c r="S166" i="7"/>
  <c r="A166" i="7"/>
  <c r="AT136" i="7"/>
  <c r="S165" i="7"/>
  <c r="A165" i="7"/>
  <c r="S164" i="7"/>
  <c r="A164" i="7"/>
  <c r="AT135" i="7"/>
  <c r="S163" i="7"/>
  <c r="A163" i="7"/>
  <c r="S162" i="7"/>
  <c r="A162" i="7"/>
  <c r="AT134" i="7"/>
  <c r="S161" i="7"/>
  <c r="A161" i="7"/>
  <c r="AT133" i="7"/>
  <c r="S160" i="7"/>
  <c r="A160" i="7"/>
  <c r="AT132" i="7"/>
  <c r="S159" i="7"/>
  <c r="A159" i="7"/>
  <c r="AT131" i="7"/>
  <c r="S158" i="7"/>
  <c r="A158" i="7"/>
  <c r="S157" i="7"/>
  <c r="A157" i="7"/>
  <c r="S156" i="7"/>
  <c r="A156" i="7"/>
  <c r="AT130" i="7"/>
  <c r="S155" i="7"/>
  <c r="A155" i="7"/>
  <c r="AT129" i="7"/>
  <c r="S154" i="7"/>
  <c r="A154" i="7"/>
  <c r="S153" i="7"/>
  <c r="A153" i="7"/>
  <c r="AT128" i="7"/>
  <c r="S152" i="7"/>
  <c r="A152" i="7"/>
  <c r="AT127" i="7"/>
  <c r="S151" i="7"/>
  <c r="A151" i="7"/>
  <c r="S150" i="7"/>
  <c r="A150" i="7"/>
  <c r="S149" i="7"/>
  <c r="A149" i="7"/>
  <c r="AT126" i="7"/>
  <c r="S148" i="7"/>
  <c r="A148" i="7"/>
  <c r="AT125" i="7"/>
  <c r="S147" i="7"/>
  <c r="A147" i="7"/>
  <c r="S146" i="7"/>
  <c r="A146" i="7"/>
  <c r="AT124" i="7"/>
  <c r="S145" i="7"/>
  <c r="A145" i="7"/>
  <c r="AT123" i="7"/>
  <c r="S144" i="7"/>
  <c r="A144" i="7"/>
  <c r="AT122" i="7"/>
  <c r="S143" i="7"/>
  <c r="A143" i="7"/>
  <c r="AT121" i="7"/>
  <c r="S141" i="7"/>
  <c r="A141" i="7"/>
  <c r="AT120" i="7"/>
  <c r="S140" i="7"/>
  <c r="A140" i="7"/>
  <c r="AT119" i="7"/>
  <c r="S139" i="7"/>
  <c r="A139" i="7"/>
  <c r="AT118" i="7"/>
  <c r="S138" i="7"/>
  <c r="A138" i="7"/>
  <c r="AT117" i="7"/>
  <c r="S137" i="7"/>
  <c r="A137" i="7"/>
  <c r="AT116" i="7"/>
  <c r="S136" i="7"/>
  <c r="A136" i="7"/>
  <c r="AT115" i="7"/>
  <c r="S135" i="7"/>
  <c r="A135" i="7"/>
  <c r="AT114" i="7"/>
  <c r="S134" i="7"/>
  <c r="A134" i="7"/>
  <c r="AT113" i="7"/>
  <c r="S133" i="7"/>
  <c r="A133" i="7"/>
  <c r="AT112" i="7"/>
  <c r="S132" i="7"/>
  <c r="A132" i="7"/>
  <c r="AT111" i="7"/>
  <c r="S131" i="7"/>
  <c r="A131" i="7"/>
  <c r="AT110" i="7"/>
  <c r="S130" i="7"/>
  <c r="A130" i="7"/>
  <c r="AT109" i="7"/>
  <c r="S129" i="7"/>
  <c r="A129" i="7"/>
  <c r="AT108" i="7"/>
  <c r="S128" i="7"/>
  <c r="A128" i="7"/>
  <c r="AT107" i="7"/>
  <c r="S127" i="7"/>
  <c r="A127" i="7"/>
  <c r="AT106" i="7"/>
  <c r="S126" i="7"/>
  <c r="A126" i="7"/>
  <c r="AT105" i="7"/>
  <c r="S125" i="7"/>
  <c r="A125" i="7"/>
  <c r="AT104" i="7"/>
  <c r="S124" i="7"/>
  <c r="A124" i="7"/>
  <c r="AT103" i="7"/>
  <c r="S123" i="7"/>
  <c r="A123" i="7"/>
  <c r="AT102" i="7"/>
  <c r="S122" i="7"/>
  <c r="A122" i="7"/>
  <c r="AT101" i="7"/>
  <c r="S121" i="7"/>
  <c r="A121" i="7"/>
  <c r="AT100" i="7"/>
  <c r="S120" i="7"/>
  <c r="A120" i="7"/>
  <c r="AT99" i="7"/>
  <c r="S119" i="7"/>
  <c r="A119" i="7"/>
  <c r="AT98" i="7"/>
  <c r="S118" i="7"/>
  <c r="A118" i="7"/>
  <c r="AT97" i="7"/>
  <c r="S117" i="7"/>
  <c r="A117" i="7"/>
  <c r="AT96" i="7"/>
  <c r="S116" i="7"/>
  <c r="A116" i="7"/>
  <c r="AT95" i="7"/>
  <c r="S115" i="7"/>
  <c r="A115" i="7"/>
  <c r="AT94" i="7"/>
  <c r="S114" i="7"/>
  <c r="A114" i="7"/>
  <c r="AT93" i="7"/>
  <c r="S113" i="7"/>
  <c r="A113" i="7"/>
  <c r="AT92" i="7"/>
  <c r="S112" i="7"/>
  <c r="A112" i="7"/>
  <c r="AT91" i="7"/>
  <c r="S111" i="7"/>
  <c r="A111" i="7"/>
  <c r="AT90" i="7"/>
  <c r="S110" i="7"/>
  <c r="A110" i="7"/>
  <c r="AT89" i="7"/>
  <c r="S109" i="7"/>
  <c r="AT88" i="7"/>
  <c r="S108" i="7"/>
  <c r="AT87" i="7"/>
  <c r="S107" i="7"/>
  <c r="AT86" i="7"/>
  <c r="S105" i="7"/>
  <c r="AT85" i="7"/>
  <c r="S104" i="7"/>
  <c r="A104" i="7"/>
  <c r="AT84" i="7"/>
  <c r="S103" i="7"/>
  <c r="AT83" i="7"/>
  <c r="S102" i="7"/>
  <c r="AT82" i="7"/>
  <c r="S101" i="7"/>
  <c r="AT81" i="7"/>
  <c r="S100" i="7"/>
  <c r="AT80" i="7"/>
  <c r="AT79" i="7"/>
  <c r="AT78" i="7"/>
  <c r="S96" i="7"/>
  <c r="A96" i="7"/>
  <c r="AT77" i="7"/>
  <c r="S95" i="7"/>
  <c r="A95" i="7"/>
  <c r="AT76" i="7"/>
  <c r="S94" i="7"/>
  <c r="A94" i="7"/>
  <c r="AT75" i="7"/>
  <c r="S93" i="7"/>
  <c r="A93" i="7"/>
  <c r="AT74" i="7"/>
  <c r="S92" i="7"/>
  <c r="A92" i="7"/>
  <c r="AT73" i="7"/>
  <c r="S91" i="7"/>
  <c r="A91" i="7"/>
  <c r="AT72" i="7"/>
  <c r="S90" i="7"/>
  <c r="A90" i="7"/>
  <c r="AT71" i="7"/>
  <c r="S89" i="7"/>
  <c r="A89" i="7"/>
  <c r="AT70" i="7"/>
  <c r="S88" i="7"/>
  <c r="A88" i="7"/>
  <c r="AT69" i="7"/>
  <c r="S87" i="7"/>
  <c r="A87" i="7"/>
  <c r="AT68" i="7"/>
  <c r="S86" i="7"/>
  <c r="A86" i="7"/>
  <c r="AT67" i="7"/>
  <c r="A85" i="7"/>
  <c r="AT66" i="7"/>
  <c r="A84" i="7"/>
  <c r="AT65" i="7"/>
  <c r="A83" i="7"/>
  <c r="AT64" i="7"/>
  <c r="A82" i="7"/>
  <c r="AT63" i="7"/>
  <c r="A81" i="7"/>
  <c r="AT62" i="7"/>
  <c r="A80" i="7"/>
  <c r="AT61" i="7"/>
  <c r="A77" i="7"/>
  <c r="AT60" i="7"/>
  <c r="A76" i="7"/>
  <c r="AT59" i="7"/>
  <c r="A75" i="7"/>
  <c r="AT58" i="7"/>
  <c r="AE63" i="7"/>
  <c r="AE53" i="7" s="1"/>
  <c r="AD63" i="7"/>
  <c r="AD53" i="7" s="1"/>
  <c r="A74" i="7"/>
  <c r="AE62" i="7"/>
  <c r="AE52" i="7" s="1"/>
  <c r="AD62" i="7"/>
  <c r="AD52" i="7" s="1"/>
  <c r="A73" i="7"/>
  <c r="AD61" i="7"/>
  <c r="AC61" i="7"/>
  <c r="AE61" i="7" s="1"/>
  <c r="A72" i="7"/>
  <c r="AT57" i="7"/>
  <c r="AD60" i="7"/>
  <c r="AC60" i="7"/>
  <c r="AE60" i="7" s="1"/>
  <c r="A71" i="7"/>
  <c r="AT56" i="7"/>
  <c r="AD59" i="7"/>
  <c r="AD49" i="7" s="1"/>
  <c r="AC59" i="7"/>
  <c r="AE59" i="7" s="1"/>
  <c r="AE49" i="7" s="1"/>
  <c r="A70" i="7"/>
  <c r="AT55" i="7"/>
  <c r="AD58" i="7"/>
  <c r="AD48" i="7" s="1"/>
  <c r="AC58" i="7"/>
  <c r="AC48" i="7" s="1"/>
  <c r="AD28" i="7" s="1"/>
  <c r="A69" i="7"/>
  <c r="AT54" i="7"/>
  <c r="AD57" i="7"/>
  <c r="AD47" i="7" s="1"/>
  <c r="AC57" i="7"/>
  <c r="AC47" i="7" s="1"/>
  <c r="AD8" i="7" s="1"/>
  <c r="A68" i="7"/>
  <c r="AT53" i="7"/>
  <c r="AE56" i="7"/>
  <c r="AE46" i="7" s="1"/>
  <c r="AD56" i="7"/>
  <c r="AD46" i="7" s="1"/>
  <c r="A67" i="7"/>
  <c r="AT52" i="7"/>
  <c r="AT51" i="7"/>
  <c r="A65" i="7"/>
  <c r="AT50" i="7"/>
  <c r="AH53" i="7"/>
  <c r="AG53" i="7"/>
  <c r="AF53" i="7"/>
  <c r="AC53" i="7"/>
  <c r="AB53" i="7"/>
  <c r="A64" i="7"/>
  <c r="AT49" i="7"/>
  <c r="AH52" i="7"/>
  <c r="AG52" i="7"/>
  <c r="AF52" i="7"/>
  <c r="AC52" i="7"/>
  <c r="AB52" i="7"/>
  <c r="A63" i="7"/>
  <c r="AT48" i="7"/>
  <c r="AD51" i="7"/>
  <c r="AC51" i="7"/>
  <c r="A62" i="7"/>
  <c r="AT47" i="7"/>
  <c r="AD50" i="7"/>
  <c r="AE35" i="7" s="1"/>
  <c r="AC50" i="7"/>
  <c r="AD35" i="7" s="1"/>
  <c r="A61" i="7"/>
  <c r="AT46" i="7"/>
  <c r="AH49" i="7"/>
  <c r="AG49" i="7"/>
  <c r="AF49" i="7"/>
  <c r="AB49" i="7"/>
  <c r="A60" i="7"/>
  <c r="AT45" i="7"/>
  <c r="AH48" i="7"/>
  <c r="AG48" i="7"/>
  <c r="AH29" i="7" s="1"/>
  <c r="AF48" i="7"/>
  <c r="AG27" i="7" s="1"/>
  <c r="A59" i="7"/>
  <c r="AH47" i="7"/>
  <c r="AI8" i="7" s="1"/>
  <c r="AG47" i="7"/>
  <c r="AH25" i="7" s="1"/>
  <c r="AF47" i="7"/>
  <c r="AG7" i="7" s="1"/>
  <c r="A58" i="7"/>
  <c r="AT44" i="7"/>
  <c r="AH46" i="7"/>
  <c r="AI5" i="7" s="1"/>
  <c r="AG46" i="7"/>
  <c r="AF46" i="7"/>
  <c r="AG5" i="7" s="1"/>
  <c r="AC46" i="7"/>
  <c r="A57" i="7"/>
  <c r="AT43" i="7"/>
  <c r="S56" i="7"/>
  <c r="A56" i="7"/>
  <c r="AT42" i="7"/>
  <c r="S54" i="7"/>
  <c r="A54" i="7"/>
  <c r="AT41" i="7"/>
  <c r="S53" i="7"/>
  <c r="A53" i="7"/>
  <c r="S52" i="7"/>
  <c r="A52" i="7"/>
  <c r="AT40" i="7"/>
  <c r="S51" i="7"/>
  <c r="A51" i="7"/>
  <c r="S50" i="7"/>
  <c r="A50" i="7"/>
  <c r="AT39" i="7"/>
  <c r="S49" i="7"/>
  <c r="A49" i="7"/>
  <c r="AT38" i="7"/>
  <c r="S48" i="7"/>
  <c r="A48" i="7"/>
  <c r="AT37" i="7"/>
  <c r="AI37" i="7"/>
  <c r="AH37" i="7"/>
  <c r="AG37" i="7"/>
  <c r="S47" i="7"/>
  <c r="A47" i="7"/>
  <c r="AT36" i="7"/>
  <c r="AI36" i="7"/>
  <c r="AH36" i="7"/>
  <c r="AG36" i="7"/>
  <c r="S46" i="7"/>
  <c r="A46" i="7"/>
  <c r="AT35" i="7"/>
  <c r="AI35" i="7"/>
  <c r="AH35" i="7"/>
  <c r="AG35" i="7"/>
  <c r="AC35" i="7"/>
  <c r="S45" i="7"/>
  <c r="A45" i="7"/>
  <c r="AT34" i="7"/>
  <c r="AI34" i="7"/>
  <c r="AH34" i="7"/>
  <c r="AG34" i="7"/>
  <c r="AC34" i="7"/>
  <c r="S44" i="7"/>
  <c r="A44" i="7"/>
  <c r="AT33" i="7"/>
  <c r="AI33" i="7"/>
  <c r="AH33" i="7"/>
  <c r="AG33" i="7"/>
  <c r="AC33" i="7"/>
  <c r="S43" i="7"/>
  <c r="A43" i="7"/>
  <c r="AT32" i="7"/>
  <c r="S42" i="7"/>
  <c r="A42" i="7"/>
  <c r="AT31" i="7"/>
  <c r="S41" i="7"/>
  <c r="A41" i="7"/>
  <c r="AT30" i="7"/>
  <c r="S40" i="7"/>
  <c r="A40" i="7"/>
  <c r="AT29" i="7"/>
  <c r="AC29" i="7"/>
  <c r="S39" i="7"/>
  <c r="A39" i="7"/>
  <c r="AT28" i="7"/>
  <c r="AC28" i="7"/>
  <c r="S38" i="7"/>
  <c r="A38" i="7"/>
  <c r="AT27" i="7"/>
  <c r="AC27" i="7"/>
  <c r="S37" i="7"/>
  <c r="A37" i="7"/>
  <c r="AT26" i="7"/>
  <c r="AC26" i="7"/>
  <c r="S36" i="7"/>
  <c r="A36" i="7"/>
  <c r="AT25" i="7"/>
  <c r="AC25" i="7"/>
  <c r="S35" i="7"/>
  <c r="A35" i="7"/>
  <c r="AT24" i="7"/>
  <c r="AC24" i="7"/>
  <c r="S34" i="7"/>
  <c r="A34" i="7"/>
  <c r="AT23" i="7"/>
  <c r="AC23" i="7"/>
  <c r="S33" i="7"/>
  <c r="A33" i="7"/>
  <c r="AT22" i="7"/>
  <c r="AC22" i="7"/>
  <c r="S32" i="7"/>
  <c r="A32" i="7"/>
  <c r="AT21" i="7"/>
  <c r="AC21" i="7"/>
  <c r="S31" i="7"/>
  <c r="A31" i="7"/>
  <c r="AT20" i="7"/>
  <c r="AC20" i="7"/>
  <c r="S30" i="7"/>
  <c r="A30" i="7"/>
  <c r="AT19" i="7"/>
  <c r="AC19" i="7"/>
  <c r="S26" i="7"/>
  <c r="A26" i="7"/>
  <c r="BV18" i="7"/>
  <c r="BT18" i="7"/>
  <c r="AT18" i="7"/>
  <c r="AC18" i="7"/>
  <c r="S25" i="7"/>
  <c r="A25" i="7"/>
  <c r="BV17" i="7"/>
  <c r="BT17" i="7"/>
  <c r="AT17" i="7"/>
  <c r="AC17" i="7"/>
  <c r="S24" i="7"/>
  <c r="A24" i="7"/>
  <c r="BV16" i="7"/>
  <c r="BT16" i="7"/>
  <c r="AT16" i="7"/>
  <c r="AC16" i="7"/>
  <c r="S22" i="7"/>
  <c r="A22" i="7"/>
  <c r="AT15" i="7"/>
  <c r="AC15" i="7"/>
  <c r="S21" i="7"/>
  <c r="A21" i="7"/>
  <c r="AT14" i="7"/>
  <c r="AC14" i="7"/>
  <c r="S20" i="7"/>
  <c r="AT13" i="7"/>
  <c r="AC13" i="7"/>
  <c r="S19" i="7"/>
  <c r="AT12" i="7"/>
  <c r="AC12" i="7"/>
  <c r="S14" i="7"/>
  <c r="A14" i="7"/>
  <c r="AT11" i="7"/>
  <c r="AC11" i="7"/>
  <c r="S13" i="7"/>
  <c r="A13" i="7"/>
  <c r="AT10" i="7"/>
  <c r="AC10" i="7"/>
  <c r="S12" i="7"/>
  <c r="AT9" i="7"/>
  <c r="AC9" i="7"/>
  <c r="AT8" i="7"/>
  <c r="AC8" i="7"/>
  <c r="S8" i="7"/>
  <c r="A8" i="7"/>
  <c r="AT7" i="7"/>
  <c r="AC7" i="7"/>
  <c r="S7" i="7"/>
  <c r="A7" i="7"/>
  <c r="AT6" i="7"/>
  <c r="AC6" i="7"/>
  <c r="S6" i="7"/>
  <c r="A6" i="7"/>
  <c r="AT5" i="7"/>
  <c r="AC5" i="7"/>
  <c r="S5" i="7"/>
  <c r="A5" i="7"/>
  <c r="AT4" i="7"/>
  <c r="AC4" i="7"/>
  <c r="S4" i="7"/>
  <c r="A4" i="7"/>
  <c r="AB48" i="31"/>
  <c r="Q39" i="31"/>
  <c r="AB28" i="31"/>
  <c r="AB29" i="31" s="1"/>
  <c r="Q22" i="31"/>
  <c r="Q20" i="31"/>
  <c r="Q19" i="31"/>
  <c r="M50" i="33"/>
  <c r="J45" i="33"/>
  <c r="J46" i="33" s="1"/>
  <c r="M44" i="33"/>
  <c r="J44" i="33"/>
  <c r="H19" i="33"/>
  <c r="D19" i="33"/>
  <c r="L15" i="33"/>
  <c r="D15" i="33"/>
  <c r="L14" i="33"/>
  <c r="L12" i="33"/>
  <c r="D12" i="33"/>
  <c r="L10" i="33"/>
  <c r="D8" i="33"/>
  <c r="D9" i="33" s="1"/>
  <c r="D75" i="25"/>
  <c r="I70" i="25"/>
  <c r="C70" i="25"/>
  <c r="C68" i="25"/>
  <c r="C67" i="25"/>
  <c r="C66" i="25"/>
  <c r="I65" i="25"/>
  <c r="C61" i="25"/>
  <c r="D41" i="25" s="1"/>
  <c r="D47" i="25"/>
  <c r="C82" i="25" s="1"/>
  <c r="L56" i="24" s="1"/>
  <c r="D40" i="25"/>
  <c r="AB14" i="31" s="1"/>
  <c r="C20" i="25"/>
  <c r="Q21" i="31" s="1"/>
  <c r="D18" i="25"/>
  <c r="C17" i="25"/>
  <c r="C13" i="25"/>
  <c r="D12" i="25"/>
  <c r="C12" i="25"/>
  <c r="D11" i="25"/>
  <c r="D10" i="25"/>
  <c r="C32" i="25" s="1"/>
  <c r="C9" i="25"/>
  <c r="AC14" i="25" s="1"/>
  <c r="D8" i="25"/>
  <c r="C6" i="25"/>
  <c r="C5" i="25"/>
  <c r="AE10" i="25" s="1"/>
  <c r="C4" i="25"/>
  <c r="BN66" i="24"/>
  <c r="X61" i="24"/>
  <c r="AQ60" i="24"/>
  <c r="AQ62" i="24" s="1"/>
  <c r="AQ64" i="24" s="1"/>
  <c r="AU58" i="24"/>
  <c r="AU60" i="24" s="1"/>
  <c r="AU62" i="24" s="1"/>
  <c r="AU64" i="24" s="1"/>
  <c r="X55" i="24"/>
  <c r="AS47" i="24"/>
  <c r="C21" i="25" s="1"/>
  <c r="DX41" i="24"/>
  <c r="EF39" i="24"/>
  <c r="DW38" i="24"/>
  <c r="AC38" i="24"/>
  <c r="V38" i="24"/>
  <c r="K38" i="24"/>
  <c r="D38" i="24"/>
  <c r="DW37" i="24"/>
  <c r="DX42" i="24" s="1"/>
  <c r="V37" i="24"/>
  <c r="DW36" i="24"/>
  <c r="EG34" i="24"/>
  <c r="T34" i="24"/>
  <c r="O34" i="24"/>
  <c r="J34" i="24"/>
  <c r="EC33" i="24"/>
  <c r="EI32" i="24"/>
  <c r="EI31" i="24"/>
  <c r="EI30" i="24"/>
  <c r="DZ30" i="24"/>
  <c r="Q38" i="31" s="1"/>
  <c r="EI29" i="24"/>
  <c r="Q36" i="31"/>
  <c r="EI28" i="24"/>
  <c r="Q35" i="31"/>
  <c r="EI27" i="24"/>
  <c r="EC27" i="24"/>
  <c r="EI26" i="24"/>
  <c r="EC26" i="24"/>
  <c r="EI25" i="24"/>
  <c r="EI24" i="24"/>
  <c r="EI23" i="24"/>
  <c r="EE22" i="24"/>
  <c r="DE22" i="24"/>
  <c r="DO21" i="24"/>
  <c r="J32" i="33" s="1"/>
  <c r="C32" i="33" s="1"/>
  <c r="Q21" i="24"/>
  <c r="BI20" i="24"/>
  <c r="Q20" i="24"/>
  <c r="DT19" i="24"/>
  <c r="DZ41" i="24" s="1"/>
  <c r="Q19" i="24"/>
  <c r="AA18" i="24"/>
  <c r="L23" i="33" s="1"/>
  <c r="AA17" i="24"/>
  <c r="D22" i="33" s="1"/>
  <c r="EK16" i="24"/>
  <c r="EK18" i="24" s="1"/>
  <c r="AS9" i="24"/>
  <c r="AD10" i="24" s="1"/>
  <c r="AB7" i="24"/>
  <c r="Y6" i="24"/>
  <c r="AS5" i="24"/>
  <c r="AA71" i="6"/>
  <c r="AA70" i="6" s="1"/>
  <c r="W71" i="6"/>
  <c r="W70" i="6" s="1"/>
  <c r="S70" i="6"/>
  <c r="M70" i="6"/>
  <c r="H70" i="6"/>
  <c r="C70" i="6"/>
  <c r="D71" i="6" s="1"/>
  <c r="M67" i="6"/>
  <c r="H67" i="6"/>
  <c r="C67" i="6"/>
  <c r="M66" i="6"/>
  <c r="H66" i="6"/>
  <c r="C66" i="6"/>
  <c r="AA65" i="6"/>
  <c r="W65" i="6"/>
  <c r="S65" i="6"/>
  <c r="M65" i="6"/>
  <c r="H65" i="6"/>
  <c r="C65" i="6"/>
  <c r="M60" i="6"/>
  <c r="N40" i="6" s="1"/>
  <c r="H60" i="6"/>
  <c r="I40" i="6" s="1"/>
  <c r="C60" i="6"/>
  <c r="D40" i="6" s="1"/>
  <c r="N46" i="6"/>
  <c r="I46" i="6"/>
  <c r="D46" i="6"/>
  <c r="N39" i="6"/>
  <c r="I39" i="6"/>
  <c r="D39" i="6"/>
  <c r="AA34" i="6"/>
  <c r="W34" i="6"/>
  <c r="AA33" i="6"/>
  <c r="W33" i="6"/>
  <c r="W32" i="6"/>
  <c r="N18" i="6"/>
  <c r="I18" i="6"/>
  <c r="D18" i="6"/>
  <c r="M17" i="6"/>
  <c r="H17" i="6"/>
  <c r="C17" i="6"/>
  <c r="M13" i="6"/>
  <c r="H13" i="6"/>
  <c r="C13" i="6"/>
  <c r="N12" i="6"/>
  <c r="M33" i="6" s="1"/>
  <c r="M12" i="6"/>
  <c r="I12" i="6"/>
  <c r="H33" i="6" s="1"/>
  <c r="H12" i="6"/>
  <c r="D12" i="6"/>
  <c r="C12" i="6"/>
  <c r="N11" i="6"/>
  <c r="M32" i="6" s="1"/>
  <c r="M11" i="6"/>
  <c r="I11" i="6"/>
  <c r="H32" i="6" s="1"/>
  <c r="H11" i="6"/>
  <c r="D11" i="6"/>
  <c r="C32" i="6" s="1"/>
  <c r="C11" i="6"/>
  <c r="N10" i="6"/>
  <c r="M31" i="6" s="1"/>
  <c r="I10" i="6"/>
  <c r="H31" i="6" s="1"/>
  <c r="D10" i="6"/>
  <c r="C31" i="6" s="1"/>
  <c r="M9" i="6"/>
  <c r="H9" i="6"/>
  <c r="C9" i="6"/>
  <c r="AZ15" i="6" s="1"/>
  <c r="N8" i="6"/>
  <c r="I8" i="6"/>
  <c r="D8" i="6"/>
  <c r="M6" i="6"/>
  <c r="H6" i="6"/>
  <c r="C6" i="6"/>
  <c r="M5" i="6"/>
  <c r="H5" i="6"/>
  <c r="C5" i="6"/>
  <c r="O4" i="6"/>
  <c r="M4" i="6"/>
  <c r="J4" i="6"/>
  <c r="H4" i="6"/>
  <c r="E4" i="6"/>
  <c r="C4" i="6"/>
  <c r="E2" i="6"/>
  <c r="AR48" i="1"/>
  <c r="C20" i="6" s="1"/>
  <c r="AA45" i="1"/>
  <c r="T45" i="1"/>
  <c r="K45" i="1"/>
  <c r="D45" i="1"/>
  <c r="T44" i="1"/>
  <c r="DX41" i="1"/>
  <c r="DZ38" i="1"/>
  <c r="DW38" i="1"/>
  <c r="DW37" i="1"/>
  <c r="DX42" i="1" s="1"/>
  <c r="DZ27" i="1" s="1"/>
  <c r="DW36" i="1"/>
  <c r="BQ36" i="1"/>
  <c r="T36" i="1"/>
  <c r="O36" i="1"/>
  <c r="J36" i="1"/>
  <c r="DZ34" i="1"/>
  <c r="DZ35" i="1" s="1"/>
  <c r="EC33" i="1"/>
  <c r="DZ33" i="1"/>
  <c r="DZ31" i="1"/>
  <c r="DZ30" i="1"/>
  <c r="DZ29" i="1"/>
  <c r="DZ28" i="1"/>
  <c r="EC27" i="1"/>
  <c r="EC26" i="1"/>
  <c r="DZ26" i="1"/>
  <c r="DZ24" i="1"/>
  <c r="DZ25" i="1" s="1"/>
  <c r="EE22" i="1"/>
  <c r="AA21" i="1"/>
  <c r="S21" i="1"/>
  <c r="K21" i="1"/>
  <c r="AA20" i="1"/>
  <c r="S20" i="1"/>
  <c r="K20" i="1"/>
  <c r="AM16" i="1"/>
  <c r="AE16" i="1"/>
  <c r="Z16" i="1"/>
  <c r="AE15" i="1"/>
  <c r="Z15" i="1"/>
  <c r="AE14" i="1"/>
  <c r="K14" i="1"/>
  <c r="K13" i="1"/>
  <c r="AR9" i="1"/>
  <c r="AD11" i="1" s="1"/>
  <c r="AB7" i="1"/>
  <c r="Y6" i="1"/>
  <c r="AR5" i="1"/>
  <c r="K12" i="1" s="1"/>
  <c r="AG13" i="3"/>
  <c r="DZ37" i="1" l="1"/>
  <c r="DZ32" i="1"/>
  <c r="DZ23" i="1"/>
  <c r="DZ22" i="1"/>
  <c r="I9" i="15"/>
  <c r="I32" i="15"/>
  <c r="J32" i="15" s="1"/>
  <c r="I11" i="15"/>
  <c r="I34" i="15"/>
  <c r="J34" i="15" s="1"/>
  <c r="AB74" i="6"/>
  <c r="AB75" i="6"/>
  <c r="T75" i="6"/>
  <c r="T74" i="6"/>
  <c r="X74" i="6"/>
  <c r="X75" i="6"/>
  <c r="S18" i="15"/>
  <c r="AF54" i="24"/>
  <c r="C71" i="25"/>
  <c r="G6" i="7"/>
  <c r="H7" i="7"/>
  <c r="I8" i="7"/>
  <c r="J9" i="7"/>
  <c r="K10" i="7"/>
  <c r="G12" i="7"/>
  <c r="H13" i="7"/>
  <c r="I14" i="7"/>
  <c r="J15" i="7"/>
  <c r="K16" i="7"/>
  <c r="G18" i="7"/>
  <c r="H19" i="7"/>
  <c r="I20" i="7"/>
  <c r="J21" i="7"/>
  <c r="K22" i="7"/>
  <c r="G24" i="7"/>
  <c r="H25" i="7"/>
  <c r="I26" i="7"/>
  <c r="J27" i="7"/>
  <c r="K28" i="7"/>
  <c r="G30" i="7"/>
  <c r="H31" i="7"/>
  <c r="I32" i="7"/>
  <c r="J33" i="7"/>
  <c r="K34" i="7"/>
  <c r="G36" i="7"/>
  <c r="H37" i="7"/>
  <c r="I38" i="7"/>
  <c r="J39" i="7"/>
  <c r="K40" i="7"/>
  <c r="G42" i="7"/>
  <c r="H43" i="7"/>
  <c r="I44" i="7"/>
  <c r="J45" i="7"/>
  <c r="K46" i="7"/>
  <c r="G48" i="7"/>
  <c r="H49" i="7"/>
  <c r="I50" i="7"/>
  <c r="J51" i="7"/>
  <c r="K52" i="7"/>
  <c r="G54" i="7"/>
  <c r="H55" i="7"/>
  <c r="I56" i="7"/>
  <c r="J57" i="7"/>
  <c r="K58" i="7"/>
  <c r="G60" i="7"/>
  <c r="H61" i="7"/>
  <c r="I62" i="7"/>
  <c r="J63" i="7"/>
  <c r="K64" i="7"/>
  <c r="G66" i="7"/>
  <c r="H67" i="7"/>
  <c r="I68" i="7"/>
  <c r="J69" i="7"/>
  <c r="K70" i="7"/>
  <c r="G72" i="7"/>
  <c r="H73" i="7"/>
  <c r="I74" i="7"/>
  <c r="J75" i="7"/>
  <c r="K76" i="7"/>
  <c r="G78" i="7"/>
  <c r="H79" i="7"/>
  <c r="I80" i="7"/>
  <c r="J81" i="7"/>
  <c r="K82" i="7"/>
  <c r="G84" i="7"/>
  <c r="H85" i="7"/>
  <c r="I86" i="7"/>
  <c r="J87" i="7"/>
  <c r="K88" i="7"/>
  <c r="G90" i="7"/>
  <c r="H91" i="7"/>
  <c r="I92" i="7"/>
  <c r="J93" i="7"/>
  <c r="K94" i="7"/>
  <c r="G96" i="7"/>
  <c r="H97" i="7"/>
  <c r="I98" i="7"/>
  <c r="J99" i="7"/>
  <c r="K100" i="7"/>
  <c r="G102" i="7"/>
  <c r="H103" i="7"/>
  <c r="I104" i="7"/>
  <c r="J105" i="7"/>
  <c r="K106" i="7"/>
  <c r="G5" i="7"/>
  <c r="H5" i="7"/>
  <c r="I5" i="7"/>
  <c r="J6" i="7"/>
  <c r="K7" i="7"/>
  <c r="G9" i="7"/>
  <c r="H10" i="7"/>
  <c r="I11" i="7"/>
  <c r="J12" i="7"/>
  <c r="K13" i="7"/>
  <c r="G15" i="7"/>
  <c r="H16" i="7"/>
  <c r="I17" i="7"/>
  <c r="J18" i="7"/>
  <c r="K19" i="7"/>
  <c r="G21" i="7"/>
  <c r="H22" i="7"/>
  <c r="I23" i="7"/>
  <c r="J24" i="7"/>
  <c r="K25" i="7"/>
  <c r="G27" i="7"/>
  <c r="H28" i="7"/>
  <c r="I29" i="7"/>
  <c r="J30" i="7"/>
  <c r="K31" i="7"/>
  <c r="G33" i="7"/>
  <c r="H34" i="7"/>
  <c r="I35" i="7"/>
  <c r="J36" i="7"/>
  <c r="K37" i="7"/>
  <c r="G39" i="7"/>
  <c r="H40" i="7"/>
  <c r="I41" i="7"/>
  <c r="J42" i="7"/>
  <c r="J5" i="7"/>
  <c r="K6" i="7"/>
  <c r="G8" i="7"/>
  <c r="H9" i="7"/>
  <c r="I10" i="7"/>
  <c r="J11" i="7"/>
  <c r="K12" i="7"/>
  <c r="G14" i="7"/>
  <c r="H15" i="7"/>
  <c r="I16" i="7"/>
  <c r="J17" i="7"/>
  <c r="K18" i="7"/>
  <c r="G20" i="7"/>
  <c r="H21" i="7"/>
  <c r="I22" i="7"/>
  <c r="J23" i="7"/>
  <c r="K24" i="7"/>
  <c r="G26" i="7"/>
  <c r="H27" i="7"/>
  <c r="I28" i="7"/>
  <c r="J29" i="7"/>
  <c r="K30" i="7"/>
  <c r="G32" i="7"/>
  <c r="H33" i="7"/>
  <c r="I34" i="7"/>
  <c r="J35" i="7"/>
  <c r="K36" i="7"/>
  <c r="G38" i="7"/>
  <c r="H39" i="7"/>
  <c r="I40" i="7"/>
  <c r="J41" i="7"/>
  <c r="K42" i="7"/>
  <c r="K5" i="7"/>
  <c r="G7" i="7"/>
  <c r="H8" i="7"/>
  <c r="I9" i="7"/>
  <c r="J10" i="7"/>
  <c r="K11" i="7"/>
  <c r="G13" i="7"/>
  <c r="H14" i="7"/>
  <c r="I15" i="7"/>
  <c r="J16" i="7"/>
  <c r="K17" i="7"/>
  <c r="G19" i="7"/>
  <c r="H20" i="7"/>
  <c r="I21" i="7"/>
  <c r="J22" i="7"/>
  <c r="K23" i="7"/>
  <c r="G25" i="7"/>
  <c r="H26" i="7"/>
  <c r="I27" i="7"/>
  <c r="J28" i="7"/>
  <c r="K29" i="7"/>
  <c r="G31" i="7"/>
  <c r="H32" i="7"/>
  <c r="I33" i="7"/>
  <c r="J34" i="7"/>
  <c r="K35" i="7"/>
  <c r="G37" i="7"/>
  <c r="H38" i="7"/>
  <c r="I39" i="7"/>
  <c r="J40" i="7"/>
  <c r="K41" i="7"/>
  <c r="G43" i="7"/>
  <c r="K8" i="7"/>
  <c r="I12" i="7"/>
  <c r="G16" i="7"/>
  <c r="J19" i="7"/>
  <c r="H23" i="7"/>
  <c r="K26" i="7"/>
  <c r="I30" i="7"/>
  <c r="G34" i="7"/>
  <c r="J37" i="7"/>
  <c r="H41" i="7"/>
  <c r="G44" i="7"/>
  <c r="I45" i="7"/>
  <c r="G47" i="7"/>
  <c r="I48" i="7"/>
  <c r="K49" i="7"/>
  <c r="H51" i="7"/>
  <c r="J52" i="7"/>
  <c r="H54" i="7"/>
  <c r="J55" i="7"/>
  <c r="G57" i="7"/>
  <c r="I58" i="7"/>
  <c r="K59" i="7"/>
  <c r="I61" i="7"/>
  <c r="K62" i="7"/>
  <c r="H64" i="7"/>
  <c r="J65" i="7"/>
  <c r="G67" i="7"/>
  <c r="J68" i="7"/>
  <c r="G70" i="7"/>
  <c r="I71" i="7"/>
  <c r="K72" i="7"/>
  <c r="H74" i="7"/>
  <c r="K75" i="7"/>
  <c r="H77" i="7"/>
  <c r="J78" i="7"/>
  <c r="G80" i="7"/>
  <c r="I81" i="7"/>
  <c r="G83" i="7"/>
  <c r="I84" i="7"/>
  <c r="K85" i="7"/>
  <c r="H87" i="7"/>
  <c r="J88" i="7"/>
  <c r="H90" i="7"/>
  <c r="J91" i="7"/>
  <c r="G93" i="7"/>
  <c r="I94" i="7"/>
  <c r="I7" i="7"/>
  <c r="G11" i="7"/>
  <c r="J14" i="7"/>
  <c r="H18" i="7"/>
  <c r="K21" i="7"/>
  <c r="I25" i="7"/>
  <c r="G29" i="7"/>
  <c r="J32" i="7"/>
  <c r="H36" i="7"/>
  <c r="K39" i="7"/>
  <c r="I43" i="7"/>
  <c r="K44" i="7"/>
  <c r="H46" i="7"/>
  <c r="J47" i="7"/>
  <c r="G49" i="7"/>
  <c r="J50" i="7"/>
  <c r="G52" i="7"/>
  <c r="I53" i="7"/>
  <c r="K54" i="7"/>
  <c r="H56" i="7"/>
  <c r="K57" i="7"/>
  <c r="H59" i="7"/>
  <c r="J60" i="7"/>
  <c r="G62" i="7"/>
  <c r="I63" i="7"/>
  <c r="G65" i="7"/>
  <c r="I66" i="7"/>
  <c r="K67" i="7"/>
  <c r="H69" i="7"/>
  <c r="J70" i="7"/>
  <c r="H72" i="7"/>
  <c r="J73" i="7"/>
  <c r="G75" i="7"/>
  <c r="I76" i="7"/>
  <c r="K77" i="7"/>
  <c r="I79" i="7"/>
  <c r="K80" i="7"/>
  <c r="H82" i="7"/>
  <c r="J83" i="7"/>
  <c r="G85" i="7"/>
  <c r="J86" i="7"/>
  <c r="G88" i="7"/>
  <c r="I89" i="7"/>
  <c r="K90" i="7"/>
  <c r="H92" i="7"/>
  <c r="K93" i="7"/>
  <c r="H95" i="7"/>
  <c r="J96" i="7"/>
  <c r="G98" i="7"/>
  <c r="I99" i="7"/>
  <c r="G101" i="7"/>
  <c r="I102" i="7"/>
  <c r="K103" i="7"/>
  <c r="H105" i="7"/>
  <c r="J106" i="7"/>
  <c r="G108" i="7"/>
  <c r="H109" i="7"/>
  <c r="I110" i="7"/>
  <c r="J111" i="7"/>
  <c r="K112" i="7"/>
  <c r="G114" i="7"/>
  <c r="H115" i="7"/>
  <c r="I116" i="7"/>
  <c r="J117" i="7"/>
  <c r="K118" i="7"/>
  <c r="G120" i="7"/>
  <c r="H121" i="7"/>
  <c r="I122" i="7"/>
  <c r="J123" i="7"/>
  <c r="K124" i="7"/>
  <c r="G126" i="7"/>
  <c r="H127" i="7"/>
  <c r="I128" i="7"/>
  <c r="J129" i="7"/>
  <c r="K130" i="7"/>
  <c r="G132" i="7"/>
  <c r="H133" i="7"/>
  <c r="I134" i="7"/>
  <c r="J135" i="7"/>
  <c r="K136" i="7"/>
  <c r="G138" i="7"/>
  <c r="H139" i="7"/>
  <c r="I140" i="7"/>
  <c r="J141" i="7"/>
  <c r="K142" i="7"/>
  <c r="J7" i="7"/>
  <c r="H11" i="7"/>
  <c r="K14" i="7"/>
  <c r="I18" i="7"/>
  <c r="G22" i="7"/>
  <c r="J25" i="7"/>
  <c r="H29" i="7"/>
  <c r="K32" i="7"/>
  <c r="I36" i="7"/>
  <c r="G40" i="7"/>
  <c r="J43" i="7"/>
  <c r="G45" i="7"/>
  <c r="I46" i="7"/>
  <c r="K47" i="7"/>
  <c r="I49" i="7"/>
  <c r="K50" i="7"/>
  <c r="H52" i="7"/>
  <c r="J53" i="7"/>
  <c r="G55" i="7"/>
  <c r="J56" i="7"/>
  <c r="G58" i="7"/>
  <c r="I59" i="7"/>
  <c r="K60" i="7"/>
  <c r="H62" i="7"/>
  <c r="K63" i="7"/>
  <c r="H65" i="7"/>
  <c r="J66" i="7"/>
  <c r="G68" i="7"/>
  <c r="I69" i="7"/>
  <c r="G71" i="7"/>
  <c r="I72" i="7"/>
  <c r="K73" i="7"/>
  <c r="H75" i="7"/>
  <c r="J76" i="7"/>
  <c r="H78" i="7"/>
  <c r="J79" i="7"/>
  <c r="G81" i="7"/>
  <c r="I82" i="7"/>
  <c r="K83" i="7"/>
  <c r="I85" i="7"/>
  <c r="K86" i="7"/>
  <c r="H88" i="7"/>
  <c r="J89" i="7"/>
  <c r="G91" i="7"/>
  <c r="J92" i="7"/>
  <c r="G94" i="7"/>
  <c r="I95" i="7"/>
  <c r="K96" i="7"/>
  <c r="H98" i="7"/>
  <c r="K99" i="7"/>
  <c r="H101" i="7"/>
  <c r="J102" i="7"/>
  <c r="G104" i="7"/>
  <c r="I105" i="7"/>
  <c r="G107" i="7"/>
  <c r="H108" i="7"/>
  <c r="I109" i="7"/>
  <c r="J110" i="7"/>
  <c r="K111" i="7"/>
  <c r="G113" i="7"/>
  <c r="H114" i="7"/>
  <c r="I115" i="7"/>
  <c r="J116" i="7"/>
  <c r="K117" i="7"/>
  <c r="G119" i="7"/>
  <c r="H120" i="7"/>
  <c r="I121" i="7"/>
  <c r="J122" i="7"/>
  <c r="K123" i="7"/>
  <c r="G125" i="7"/>
  <c r="H126" i="7"/>
  <c r="I127" i="7"/>
  <c r="J128" i="7"/>
  <c r="K129" i="7"/>
  <c r="G131" i="7"/>
  <c r="H132" i="7"/>
  <c r="I133" i="7"/>
  <c r="J134" i="7"/>
  <c r="K135" i="7"/>
  <c r="G137" i="7"/>
  <c r="H138" i="7"/>
  <c r="I139" i="7"/>
  <c r="J140" i="7"/>
  <c r="K141" i="7"/>
  <c r="G143" i="7"/>
  <c r="H12" i="7"/>
  <c r="I19" i="7"/>
  <c r="J26" i="7"/>
  <c r="K33" i="7"/>
  <c r="G41" i="7"/>
  <c r="H45" i="7"/>
  <c r="H48" i="7"/>
  <c r="G51" i="7"/>
  <c r="K53" i="7"/>
  <c r="K56" i="7"/>
  <c r="J59" i="7"/>
  <c r="J62" i="7"/>
  <c r="I65" i="7"/>
  <c r="H68" i="7"/>
  <c r="H71" i="7"/>
  <c r="G74" i="7"/>
  <c r="G77" i="7"/>
  <c r="K79" i="7"/>
  <c r="J82" i="7"/>
  <c r="J85" i="7"/>
  <c r="I88" i="7"/>
  <c r="I91" i="7"/>
  <c r="H94" i="7"/>
  <c r="I96" i="7"/>
  <c r="K98" i="7"/>
  <c r="J100" i="7"/>
  <c r="G103" i="7"/>
  <c r="G105" i="7"/>
  <c r="I107" i="7"/>
  <c r="G109" i="7"/>
  <c r="G111" i="7"/>
  <c r="J112" i="7"/>
  <c r="J114" i="7"/>
  <c r="H116" i="7"/>
  <c r="H118" i="7"/>
  <c r="K119" i="7"/>
  <c r="K121" i="7"/>
  <c r="I123" i="7"/>
  <c r="I125" i="7"/>
  <c r="G127" i="7"/>
  <c r="G129" i="7"/>
  <c r="J130" i="7"/>
  <c r="J132" i="7"/>
  <c r="H134" i="7"/>
  <c r="H136" i="7"/>
  <c r="K137" i="7"/>
  <c r="K139" i="7"/>
  <c r="I141" i="7"/>
  <c r="I143" i="7"/>
  <c r="J144" i="7"/>
  <c r="K145" i="7"/>
  <c r="G147" i="7"/>
  <c r="H148" i="7"/>
  <c r="I149" i="7"/>
  <c r="J150" i="7"/>
  <c r="K151" i="7"/>
  <c r="G153" i="7"/>
  <c r="H154" i="7"/>
  <c r="I155" i="7"/>
  <c r="J156" i="7"/>
  <c r="K157" i="7"/>
  <c r="G159" i="7"/>
  <c r="H160" i="7"/>
  <c r="H6" i="7"/>
  <c r="I13" i="7"/>
  <c r="J20" i="7"/>
  <c r="K27" i="7"/>
  <c r="G35" i="7"/>
  <c r="H42" i="7"/>
  <c r="K45" i="7"/>
  <c r="J48" i="7"/>
  <c r="I51" i="7"/>
  <c r="I54" i="7"/>
  <c r="H57" i="7"/>
  <c r="H60" i="7"/>
  <c r="G63" i="7"/>
  <c r="K65" i="7"/>
  <c r="K68" i="7"/>
  <c r="J71" i="7"/>
  <c r="J74" i="7"/>
  <c r="I77" i="7"/>
  <c r="H80" i="7"/>
  <c r="H83" i="7"/>
  <c r="G86" i="7"/>
  <c r="G89" i="7"/>
  <c r="K91" i="7"/>
  <c r="J94" i="7"/>
  <c r="G97" i="7"/>
  <c r="G99" i="7"/>
  <c r="I101" i="7"/>
  <c r="I103" i="7"/>
  <c r="K105" i="7"/>
  <c r="J107" i="7"/>
  <c r="J109" i="7"/>
  <c r="H111" i="7"/>
  <c r="H113" i="7"/>
  <c r="K114" i="7"/>
  <c r="K116" i="7"/>
  <c r="I118" i="7"/>
  <c r="I120" i="7"/>
  <c r="G122" i="7"/>
  <c r="G124" i="7"/>
  <c r="J125" i="7"/>
  <c r="J127" i="7"/>
  <c r="H129" i="7"/>
  <c r="H131" i="7"/>
  <c r="K132" i="7"/>
  <c r="K134" i="7"/>
  <c r="I136" i="7"/>
  <c r="I138" i="7"/>
  <c r="G140" i="7"/>
  <c r="G142" i="7"/>
  <c r="J143" i="7"/>
  <c r="K144" i="7"/>
  <c r="G146" i="7"/>
  <c r="H147" i="7"/>
  <c r="I148" i="7"/>
  <c r="J149" i="7"/>
  <c r="K150" i="7"/>
  <c r="G152" i="7"/>
  <c r="H153" i="7"/>
  <c r="I154" i="7"/>
  <c r="J155" i="7"/>
  <c r="K156" i="7"/>
  <c r="G158" i="7"/>
  <c r="H159" i="7"/>
  <c r="I160" i="7"/>
  <c r="J161" i="7"/>
  <c r="K162" i="7"/>
  <c r="G164" i="7"/>
  <c r="H165" i="7"/>
  <c r="I166" i="7"/>
  <c r="J167" i="7"/>
  <c r="K168" i="7"/>
  <c r="G170" i="7"/>
  <c r="H171" i="7"/>
  <c r="I172" i="7"/>
  <c r="J173" i="7"/>
  <c r="K174" i="7"/>
  <c r="G176" i="7"/>
  <c r="H177" i="7"/>
  <c r="I178" i="7"/>
  <c r="J179" i="7"/>
  <c r="K180" i="7"/>
  <c r="G182" i="7"/>
  <c r="H183" i="7"/>
  <c r="I184" i="7"/>
  <c r="J185" i="7"/>
  <c r="I6" i="7"/>
  <c r="J13" i="7"/>
  <c r="K20" i="7"/>
  <c r="G28" i="7"/>
  <c r="H35" i="7"/>
  <c r="I42" i="7"/>
  <c r="G46" i="7"/>
  <c r="K48" i="7"/>
  <c r="K51" i="7"/>
  <c r="J54" i="7"/>
  <c r="I57" i="7"/>
  <c r="I60" i="7"/>
  <c r="H63" i="7"/>
  <c r="H66" i="7"/>
  <c r="G69" i="7"/>
  <c r="K71" i="7"/>
  <c r="K74" i="7"/>
  <c r="J77" i="7"/>
  <c r="J80" i="7"/>
  <c r="I83" i="7"/>
  <c r="H86" i="7"/>
  <c r="H89" i="7"/>
  <c r="G92" i="7"/>
  <c r="G95" i="7"/>
  <c r="I97" i="7"/>
  <c r="H99" i="7"/>
  <c r="J101" i="7"/>
  <c r="J103" i="7"/>
  <c r="G106" i="7"/>
  <c r="K107" i="7"/>
  <c r="K109" i="7"/>
  <c r="I111" i="7"/>
  <c r="I113" i="7"/>
  <c r="G115" i="7"/>
  <c r="G117" i="7"/>
  <c r="J118" i="7"/>
  <c r="J120" i="7"/>
  <c r="H122" i="7"/>
  <c r="H124" i="7"/>
  <c r="K125" i="7"/>
  <c r="K127" i="7"/>
  <c r="I129" i="7"/>
  <c r="I131" i="7"/>
  <c r="G133" i="7"/>
  <c r="G135" i="7"/>
  <c r="J136" i="7"/>
  <c r="J138" i="7"/>
  <c r="H140" i="7"/>
  <c r="H142" i="7"/>
  <c r="K143" i="7"/>
  <c r="G145" i="7"/>
  <c r="H146" i="7"/>
  <c r="I147" i="7"/>
  <c r="J148" i="7"/>
  <c r="K149" i="7"/>
  <c r="G151" i="7"/>
  <c r="H152" i="7"/>
  <c r="I153" i="7"/>
  <c r="J154" i="7"/>
  <c r="K155" i="7"/>
  <c r="G157" i="7"/>
  <c r="H158" i="7"/>
  <c r="I159" i="7"/>
  <c r="J160" i="7"/>
  <c r="K161" i="7"/>
  <c r="G163" i="7"/>
  <c r="H164" i="7"/>
  <c r="I165" i="7"/>
  <c r="J166" i="7"/>
  <c r="K167" i="7"/>
  <c r="G169" i="7"/>
  <c r="H170" i="7"/>
  <c r="I171" i="7"/>
  <c r="J172" i="7"/>
  <c r="K173" i="7"/>
  <c r="G175" i="7"/>
  <c r="H176" i="7"/>
  <c r="I177" i="7"/>
  <c r="J178" i="7"/>
  <c r="K179" i="7"/>
  <c r="G181" i="7"/>
  <c r="H182" i="7"/>
  <c r="I183" i="7"/>
  <c r="J184" i="7"/>
  <c r="K185" i="7"/>
  <c r="J8" i="7"/>
  <c r="K15" i="7"/>
  <c r="G23" i="7"/>
  <c r="H30" i="7"/>
  <c r="I37" i="7"/>
  <c r="K43" i="7"/>
  <c r="J46" i="7"/>
  <c r="J49" i="7"/>
  <c r="I52" i="7"/>
  <c r="I55" i="7"/>
  <c r="H58" i="7"/>
  <c r="G61" i="7"/>
  <c r="G64" i="7"/>
  <c r="K66" i="7"/>
  <c r="K69" i="7"/>
  <c r="J72" i="7"/>
  <c r="I75" i="7"/>
  <c r="I78" i="7"/>
  <c r="H81" i="7"/>
  <c r="H84" i="7"/>
  <c r="G87" i="7"/>
  <c r="K89" i="7"/>
  <c r="K92" i="7"/>
  <c r="J95" i="7"/>
  <c r="J97" i="7"/>
  <c r="G100" i="7"/>
  <c r="K101" i="7"/>
  <c r="H104" i="7"/>
  <c r="H106" i="7"/>
  <c r="I108" i="7"/>
  <c r="G110" i="7"/>
  <c r="G112" i="7"/>
  <c r="J113" i="7"/>
  <c r="J115" i="7"/>
  <c r="H117" i="7"/>
  <c r="H119" i="7"/>
  <c r="K120" i="7"/>
  <c r="K122" i="7"/>
  <c r="I124" i="7"/>
  <c r="I126" i="7"/>
  <c r="G128" i="7"/>
  <c r="G130" i="7"/>
  <c r="J131" i="7"/>
  <c r="J133" i="7"/>
  <c r="H135" i="7"/>
  <c r="H137" i="7"/>
  <c r="K138" i="7"/>
  <c r="K140" i="7"/>
  <c r="I142" i="7"/>
  <c r="G144" i="7"/>
  <c r="H145" i="7"/>
  <c r="I146" i="7"/>
  <c r="J147" i="7"/>
  <c r="K148" i="7"/>
  <c r="G150" i="7"/>
  <c r="H151" i="7"/>
  <c r="I152" i="7"/>
  <c r="J153" i="7"/>
  <c r="K154" i="7"/>
  <c r="G156" i="7"/>
  <c r="H157" i="7"/>
  <c r="I158" i="7"/>
  <c r="J159" i="7"/>
  <c r="K160" i="7"/>
  <c r="G162" i="7"/>
  <c r="H163" i="7"/>
  <c r="I164" i="7"/>
  <c r="J165" i="7"/>
  <c r="K166" i="7"/>
  <c r="G168" i="7"/>
  <c r="H169" i="7"/>
  <c r="I170" i="7"/>
  <c r="J171" i="7"/>
  <c r="K172" i="7"/>
  <c r="G174" i="7"/>
  <c r="H175" i="7"/>
  <c r="I176" i="7"/>
  <c r="J177" i="7"/>
  <c r="K178" i="7"/>
  <c r="G180" i="7"/>
  <c r="H181" i="7"/>
  <c r="I182" i="7"/>
  <c r="J183" i="7"/>
  <c r="K184" i="7"/>
  <c r="G186" i="7"/>
  <c r="I24" i="7"/>
  <c r="J44" i="7"/>
  <c r="H53" i="7"/>
  <c r="K61" i="7"/>
  <c r="I70" i="7"/>
  <c r="G79" i="7"/>
  <c r="K87" i="7"/>
  <c r="H96" i="7"/>
  <c r="K102" i="7"/>
  <c r="K108" i="7"/>
  <c r="I114" i="7"/>
  <c r="J119" i="7"/>
  <c r="H125" i="7"/>
  <c r="I130" i="7"/>
  <c r="G136" i="7"/>
  <c r="H141" i="7"/>
  <c r="J145" i="7"/>
  <c r="H149" i="7"/>
  <c r="K152" i="7"/>
  <c r="I156" i="7"/>
  <c r="G160" i="7"/>
  <c r="J162" i="7"/>
  <c r="G165" i="7"/>
  <c r="I167" i="7"/>
  <c r="K169" i="7"/>
  <c r="H172" i="7"/>
  <c r="J174" i="7"/>
  <c r="G177" i="7"/>
  <c r="I179" i="7"/>
  <c r="K181" i="7"/>
  <c r="H184" i="7"/>
  <c r="J186" i="7"/>
  <c r="K187" i="7"/>
  <c r="G189" i="7"/>
  <c r="H190" i="7"/>
  <c r="I191" i="7"/>
  <c r="J192" i="7"/>
  <c r="K193" i="7"/>
  <c r="G195" i="7"/>
  <c r="H196" i="7"/>
  <c r="I197" i="7"/>
  <c r="J198" i="7"/>
  <c r="K199" i="7"/>
  <c r="G201" i="7"/>
  <c r="H202" i="7"/>
  <c r="I203" i="7"/>
  <c r="J204" i="7"/>
  <c r="K205" i="7"/>
  <c r="G207" i="7"/>
  <c r="H208" i="7"/>
  <c r="I209" i="7"/>
  <c r="J210" i="7"/>
  <c r="K211" i="7"/>
  <c r="G213" i="7"/>
  <c r="H214" i="7"/>
  <c r="I215" i="7"/>
  <c r="J216" i="7"/>
  <c r="K217" i="7"/>
  <c r="G219" i="7"/>
  <c r="H220" i="7"/>
  <c r="I221" i="7"/>
  <c r="J222" i="7"/>
  <c r="K223" i="7"/>
  <c r="G225" i="7"/>
  <c r="H226" i="7"/>
  <c r="I227" i="7"/>
  <c r="J228" i="7"/>
  <c r="K229" i="7"/>
  <c r="G231" i="7"/>
  <c r="H232" i="7"/>
  <c r="I233" i="7"/>
  <c r="J234" i="7"/>
  <c r="K235" i="7"/>
  <c r="G237" i="7"/>
  <c r="H238" i="7"/>
  <c r="I239" i="7"/>
  <c r="J240" i="7"/>
  <c r="K241" i="7"/>
  <c r="G243" i="7"/>
  <c r="H244" i="7"/>
  <c r="I245" i="7"/>
  <c r="J246" i="7"/>
  <c r="K247" i="7"/>
  <c r="G249" i="7"/>
  <c r="H250" i="7"/>
  <c r="G10" i="7"/>
  <c r="J31" i="7"/>
  <c r="I47" i="7"/>
  <c r="G56" i="7"/>
  <c r="J64" i="7"/>
  <c r="I73" i="7"/>
  <c r="G82" i="7"/>
  <c r="J90" i="7"/>
  <c r="J98" i="7"/>
  <c r="K104" i="7"/>
  <c r="K110" i="7"/>
  <c r="G116" i="7"/>
  <c r="J121" i="7"/>
  <c r="K126" i="7"/>
  <c r="I132" i="7"/>
  <c r="J137" i="7"/>
  <c r="H143" i="7"/>
  <c r="K146" i="7"/>
  <c r="I150" i="7"/>
  <c r="G154" i="7"/>
  <c r="J157" i="7"/>
  <c r="H161" i="7"/>
  <c r="J163" i="7"/>
  <c r="G166" i="7"/>
  <c r="I168" i="7"/>
  <c r="K170" i="7"/>
  <c r="H173" i="7"/>
  <c r="J175" i="7"/>
  <c r="G178" i="7"/>
  <c r="I180" i="7"/>
  <c r="K182" i="7"/>
  <c r="H185" i="7"/>
  <c r="G187" i="7"/>
  <c r="H188" i="7"/>
  <c r="I189" i="7"/>
  <c r="J190" i="7"/>
  <c r="K191" i="7"/>
  <c r="G193" i="7"/>
  <c r="H194" i="7"/>
  <c r="I195" i="7"/>
  <c r="J196" i="7"/>
  <c r="K197" i="7"/>
  <c r="G199" i="7"/>
  <c r="H200" i="7"/>
  <c r="I201" i="7"/>
  <c r="J202" i="7"/>
  <c r="K203" i="7"/>
  <c r="G205" i="7"/>
  <c r="H206" i="7"/>
  <c r="I207" i="7"/>
  <c r="J208" i="7"/>
  <c r="K209" i="7"/>
  <c r="G211" i="7"/>
  <c r="H212" i="7"/>
  <c r="I213" i="7"/>
  <c r="J214" i="7"/>
  <c r="K215" i="7"/>
  <c r="G217" i="7"/>
  <c r="H218" i="7"/>
  <c r="I219" i="7"/>
  <c r="J220" i="7"/>
  <c r="K221" i="7"/>
  <c r="G223" i="7"/>
  <c r="H224" i="7"/>
  <c r="I225" i="7"/>
  <c r="J226" i="7"/>
  <c r="K227" i="7"/>
  <c r="G229" i="7"/>
  <c r="H230" i="7"/>
  <c r="I231" i="7"/>
  <c r="J232" i="7"/>
  <c r="K233" i="7"/>
  <c r="G235" i="7"/>
  <c r="H236" i="7"/>
  <c r="I237" i="7"/>
  <c r="J238" i="7"/>
  <c r="K239" i="7"/>
  <c r="G241" i="7"/>
  <c r="H242" i="7"/>
  <c r="I243" i="7"/>
  <c r="J244" i="7"/>
  <c r="K245" i="7"/>
  <c r="G247" i="7"/>
  <c r="H248" i="7"/>
  <c r="I249" i="7"/>
  <c r="G17" i="7"/>
  <c r="J38" i="7"/>
  <c r="G50" i="7"/>
  <c r="J58" i="7"/>
  <c r="I67" i="7"/>
  <c r="G76" i="7"/>
  <c r="J84" i="7"/>
  <c r="H93" i="7"/>
  <c r="H100" i="7"/>
  <c r="I106" i="7"/>
  <c r="H112" i="7"/>
  <c r="I117" i="7"/>
  <c r="G123" i="7"/>
  <c r="H128" i="7"/>
  <c r="K133" i="7"/>
  <c r="G139" i="7"/>
  <c r="H144" i="7"/>
  <c r="K147" i="7"/>
  <c r="I151" i="7"/>
  <c r="G155" i="7"/>
  <c r="J158" i="7"/>
  <c r="I161" i="7"/>
  <c r="K163" i="7"/>
  <c r="H166" i="7"/>
  <c r="J168" i="7"/>
  <c r="G171" i="7"/>
  <c r="I173" i="7"/>
  <c r="K175" i="7"/>
  <c r="H178" i="7"/>
  <c r="J180" i="7"/>
  <c r="G183" i="7"/>
  <c r="I185" i="7"/>
  <c r="H187" i="7"/>
  <c r="I188" i="7"/>
  <c r="J189" i="7"/>
  <c r="K190" i="7"/>
  <c r="G192" i="7"/>
  <c r="H193" i="7"/>
  <c r="I194" i="7"/>
  <c r="J195" i="7"/>
  <c r="K196" i="7"/>
  <c r="G198" i="7"/>
  <c r="H199" i="7"/>
  <c r="I200" i="7"/>
  <c r="J201" i="7"/>
  <c r="K202" i="7"/>
  <c r="G204" i="7"/>
  <c r="H205" i="7"/>
  <c r="I206" i="7"/>
  <c r="J207" i="7"/>
  <c r="K208" i="7"/>
  <c r="G210" i="7"/>
  <c r="H211" i="7"/>
  <c r="I212" i="7"/>
  <c r="J213" i="7"/>
  <c r="K214" i="7"/>
  <c r="G216" i="7"/>
  <c r="H217" i="7"/>
  <c r="I218" i="7"/>
  <c r="J219" i="7"/>
  <c r="K220" i="7"/>
  <c r="G222" i="7"/>
  <c r="H223" i="7"/>
  <c r="I224" i="7"/>
  <c r="J225" i="7"/>
  <c r="K226" i="7"/>
  <c r="G228" i="7"/>
  <c r="H229" i="7"/>
  <c r="I230" i="7"/>
  <c r="J231" i="7"/>
  <c r="K232" i="7"/>
  <c r="G234" i="7"/>
  <c r="H235" i="7"/>
  <c r="I236" i="7"/>
  <c r="J237" i="7"/>
  <c r="K238" i="7"/>
  <c r="G240" i="7"/>
  <c r="H241" i="7"/>
  <c r="I242" i="7"/>
  <c r="J243" i="7"/>
  <c r="K244" i="7"/>
  <c r="G246" i="7"/>
  <c r="H247" i="7"/>
  <c r="I248" i="7"/>
  <c r="J249" i="7"/>
  <c r="H17" i="7"/>
  <c r="K38" i="7"/>
  <c r="H50" i="7"/>
  <c r="G59" i="7"/>
  <c r="J67" i="7"/>
  <c r="H76" i="7"/>
  <c r="K84" i="7"/>
  <c r="I93" i="7"/>
  <c r="I100" i="7"/>
  <c r="H107" i="7"/>
  <c r="I112" i="7"/>
  <c r="G118" i="7"/>
  <c r="H123" i="7"/>
  <c r="K128" i="7"/>
  <c r="G134" i="7"/>
  <c r="J139" i="7"/>
  <c r="I144" i="7"/>
  <c r="G148" i="7"/>
  <c r="J151" i="7"/>
  <c r="H155" i="7"/>
  <c r="K158" i="7"/>
  <c r="H162" i="7"/>
  <c r="J164" i="7"/>
  <c r="G167" i="7"/>
  <c r="I169" i="7"/>
  <c r="K171" i="7"/>
  <c r="H174" i="7"/>
  <c r="J176" i="7"/>
  <c r="G179" i="7"/>
  <c r="I181" i="7"/>
  <c r="K183" i="7"/>
  <c r="H186" i="7"/>
  <c r="I187" i="7"/>
  <c r="J188" i="7"/>
  <c r="K189" i="7"/>
  <c r="G191" i="7"/>
  <c r="H192" i="7"/>
  <c r="I193" i="7"/>
  <c r="J194" i="7"/>
  <c r="K195" i="7"/>
  <c r="G197" i="7"/>
  <c r="H198" i="7"/>
  <c r="I199" i="7"/>
  <c r="J200" i="7"/>
  <c r="K201" i="7"/>
  <c r="G203" i="7"/>
  <c r="H204" i="7"/>
  <c r="I205" i="7"/>
  <c r="J206" i="7"/>
  <c r="K207" i="7"/>
  <c r="G209" i="7"/>
  <c r="H210" i="7"/>
  <c r="I211" i="7"/>
  <c r="J212" i="7"/>
  <c r="K213" i="7"/>
  <c r="G215" i="7"/>
  <c r="H216" i="7"/>
  <c r="I217" i="7"/>
  <c r="J218" i="7"/>
  <c r="K219" i="7"/>
  <c r="G221" i="7"/>
  <c r="H222" i="7"/>
  <c r="I223" i="7"/>
  <c r="J224" i="7"/>
  <c r="K225" i="7"/>
  <c r="G227" i="7"/>
  <c r="H228" i="7"/>
  <c r="I229" i="7"/>
  <c r="J230" i="7"/>
  <c r="K231" i="7"/>
  <c r="G233" i="7"/>
  <c r="H234" i="7"/>
  <c r="I235" i="7"/>
  <c r="J236" i="7"/>
  <c r="K237" i="7"/>
  <c r="G239" i="7"/>
  <c r="H240" i="7"/>
  <c r="I241" i="7"/>
  <c r="J242" i="7"/>
  <c r="K243" i="7"/>
  <c r="G245" i="7"/>
  <c r="H246" i="7"/>
  <c r="I247" i="7"/>
  <c r="J248" i="7"/>
  <c r="K249" i="7"/>
  <c r="G53" i="7"/>
  <c r="K78" i="7"/>
  <c r="H102" i="7"/>
  <c r="I119" i="7"/>
  <c r="I135" i="7"/>
  <c r="G149" i="7"/>
  <c r="K159" i="7"/>
  <c r="H167" i="7"/>
  <c r="I174" i="7"/>
  <c r="J181" i="7"/>
  <c r="J187" i="7"/>
  <c r="H191" i="7"/>
  <c r="K194" i="7"/>
  <c r="I198" i="7"/>
  <c r="G202" i="7"/>
  <c r="J205" i="7"/>
  <c r="H209" i="7"/>
  <c r="K212" i="7"/>
  <c r="I216" i="7"/>
  <c r="G220" i="7"/>
  <c r="J223" i="7"/>
  <c r="H227" i="7"/>
  <c r="K230" i="7"/>
  <c r="I234" i="7"/>
  <c r="G238" i="7"/>
  <c r="J241" i="7"/>
  <c r="H245" i="7"/>
  <c r="K248" i="7"/>
  <c r="G251" i="7"/>
  <c r="H252" i="7"/>
  <c r="I253" i="7"/>
  <c r="J254" i="7"/>
  <c r="K255" i="7"/>
  <c r="G257" i="7"/>
  <c r="H258" i="7"/>
  <c r="I259" i="7"/>
  <c r="J260" i="7"/>
  <c r="K261" i="7"/>
  <c r="G263" i="7"/>
  <c r="H264" i="7"/>
  <c r="I265" i="7"/>
  <c r="J266" i="7"/>
  <c r="K267" i="7"/>
  <c r="G269" i="7"/>
  <c r="H270" i="7"/>
  <c r="I271" i="7"/>
  <c r="J272" i="7"/>
  <c r="K273" i="7"/>
  <c r="G275" i="7"/>
  <c r="H276" i="7"/>
  <c r="I277" i="7"/>
  <c r="J278" i="7"/>
  <c r="K279" i="7"/>
  <c r="G281" i="7"/>
  <c r="H282" i="7"/>
  <c r="I283" i="7"/>
  <c r="J284" i="7"/>
  <c r="K285" i="7"/>
  <c r="G287" i="7"/>
  <c r="H288" i="7"/>
  <c r="I289" i="7"/>
  <c r="J290" i="7"/>
  <c r="K291" i="7"/>
  <c r="G293" i="7"/>
  <c r="H294" i="7"/>
  <c r="I295" i="7"/>
  <c r="J296" i="7"/>
  <c r="K297" i="7"/>
  <c r="G299" i="7"/>
  <c r="H300" i="7"/>
  <c r="I301" i="7"/>
  <c r="J302" i="7"/>
  <c r="K303" i="7"/>
  <c r="G305" i="7"/>
  <c r="H306" i="7"/>
  <c r="I307" i="7"/>
  <c r="J308" i="7"/>
  <c r="K309" i="7"/>
  <c r="G311" i="7"/>
  <c r="H312" i="7"/>
  <c r="I313" i="7"/>
  <c r="J314" i="7"/>
  <c r="K315" i="7"/>
  <c r="G317" i="7"/>
  <c r="H318" i="7"/>
  <c r="K9" i="7"/>
  <c r="H24" i="7"/>
  <c r="J61" i="7"/>
  <c r="I87" i="7"/>
  <c r="J108" i="7"/>
  <c r="J124" i="7"/>
  <c r="G141" i="7"/>
  <c r="J152" i="7"/>
  <c r="I162" i="7"/>
  <c r="J169" i="7"/>
  <c r="K176" i="7"/>
  <c r="G184" i="7"/>
  <c r="K188" i="7"/>
  <c r="I192" i="7"/>
  <c r="G196" i="7"/>
  <c r="J199" i="7"/>
  <c r="H203" i="7"/>
  <c r="K206" i="7"/>
  <c r="I210" i="7"/>
  <c r="G214" i="7"/>
  <c r="J217" i="7"/>
  <c r="H221" i="7"/>
  <c r="K224" i="7"/>
  <c r="I228" i="7"/>
  <c r="G232" i="7"/>
  <c r="J235" i="7"/>
  <c r="H239" i="7"/>
  <c r="K242" i="7"/>
  <c r="I246" i="7"/>
  <c r="G250" i="7"/>
  <c r="I251" i="7"/>
  <c r="J252" i="7"/>
  <c r="K253" i="7"/>
  <c r="G255" i="7"/>
  <c r="H256" i="7"/>
  <c r="I257" i="7"/>
  <c r="J258" i="7"/>
  <c r="K259" i="7"/>
  <c r="G261" i="7"/>
  <c r="H262" i="7"/>
  <c r="I263" i="7"/>
  <c r="J264" i="7"/>
  <c r="K265" i="7"/>
  <c r="G267" i="7"/>
  <c r="H268" i="7"/>
  <c r="I269" i="7"/>
  <c r="J270" i="7"/>
  <c r="K271" i="7"/>
  <c r="G273" i="7"/>
  <c r="H274" i="7"/>
  <c r="I275" i="7"/>
  <c r="J276" i="7"/>
  <c r="K277" i="7"/>
  <c r="G279" i="7"/>
  <c r="H280" i="7"/>
  <c r="I281" i="7"/>
  <c r="J282" i="7"/>
  <c r="K283" i="7"/>
  <c r="G285" i="7"/>
  <c r="H286" i="7"/>
  <c r="I287" i="7"/>
  <c r="J288" i="7"/>
  <c r="K289" i="7"/>
  <c r="G291" i="7"/>
  <c r="H292" i="7"/>
  <c r="I293" i="7"/>
  <c r="J294" i="7"/>
  <c r="K295" i="7"/>
  <c r="G297" i="7"/>
  <c r="H298" i="7"/>
  <c r="I299" i="7"/>
  <c r="J300" i="7"/>
  <c r="K301" i="7"/>
  <c r="G303" i="7"/>
  <c r="H304" i="7"/>
  <c r="I305" i="7"/>
  <c r="J306" i="7"/>
  <c r="K307" i="7"/>
  <c r="G309" i="7"/>
  <c r="H310" i="7"/>
  <c r="I311" i="7"/>
  <c r="J312" i="7"/>
  <c r="K313" i="7"/>
  <c r="G315" i="7"/>
  <c r="H316" i="7"/>
  <c r="I317" i="7"/>
  <c r="J318" i="7"/>
  <c r="I31" i="7"/>
  <c r="I64" i="7"/>
  <c r="I90" i="7"/>
  <c r="H110" i="7"/>
  <c r="J126" i="7"/>
  <c r="J142" i="7"/>
  <c r="K153" i="7"/>
  <c r="I163" i="7"/>
  <c r="J170" i="7"/>
  <c r="K177" i="7"/>
  <c r="G185" i="7"/>
  <c r="H189" i="7"/>
  <c r="K192" i="7"/>
  <c r="I196" i="7"/>
  <c r="G200" i="7"/>
  <c r="J203" i="7"/>
  <c r="H207" i="7"/>
  <c r="K210" i="7"/>
  <c r="I214" i="7"/>
  <c r="G218" i="7"/>
  <c r="J221" i="7"/>
  <c r="H225" i="7"/>
  <c r="K228" i="7"/>
  <c r="I232" i="7"/>
  <c r="G236" i="7"/>
  <c r="J239" i="7"/>
  <c r="H243" i="7"/>
  <c r="K246" i="7"/>
  <c r="I250" i="7"/>
  <c r="J251" i="7"/>
  <c r="K252" i="7"/>
  <c r="G254" i="7"/>
  <c r="H255" i="7"/>
  <c r="I256" i="7"/>
  <c r="J257" i="7"/>
  <c r="K258" i="7"/>
  <c r="G260" i="7"/>
  <c r="H261" i="7"/>
  <c r="I262" i="7"/>
  <c r="J263" i="7"/>
  <c r="K264" i="7"/>
  <c r="G266" i="7"/>
  <c r="H267" i="7"/>
  <c r="I268" i="7"/>
  <c r="J269" i="7"/>
  <c r="K270" i="7"/>
  <c r="G272" i="7"/>
  <c r="H273" i="7"/>
  <c r="I274" i="7"/>
  <c r="J275" i="7"/>
  <c r="K276" i="7"/>
  <c r="G278" i="7"/>
  <c r="H279" i="7"/>
  <c r="I280" i="7"/>
  <c r="J281" i="7"/>
  <c r="K282" i="7"/>
  <c r="G284" i="7"/>
  <c r="H285" i="7"/>
  <c r="I286" i="7"/>
  <c r="J287" i="7"/>
  <c r="K288" i="7"/>
  <c r="G290" i="7"/>
  <c r="H291" i="7"/>
  <c r="I292" i="7"/>
  <c r="J293" i="7"/>
  <c r="K294" i="7"/>
  <c r="G296" i="7"/>
  <c r="H297" i="7"/>
  <c r="I298" i="7"/>
  <c r="J299" i="7"/>
  <c r="K300" i="7"/>
  <c r="G302" i="7"/>
  <c r="H303" i="7"/>
  <c r="I304" i="7"/>
  <c r="J305" i="7"/>
  <c r="K306" i="7"/>
  <c r="G308" i="7"/>
  <c r="H309" i="7"/>
  <c r="I310" i="7"/>
  <c r="J311" i="7"/>
  <c r="K312" i="7"/>
  <c r="G314" i="7"/>
  <c r="H315" i="7"/>
  <c r="I316" i="7"/>
  <c r="J317" i="7"/>
  <c r="H44" i="7"/>
  <c r="H70" i="7"/>
  <c r="K95" i="7"/>
  <c r="K113" i="7"/>
  <c r="H130" i="7"/>
  <c r="I145" i="7"/>
  <c r="H156" i="7"/>
  <c r="K164" i="7"/>
  <c r="G172" i="7"/>
  <c r="H179" i="7"/>
  <c r="I186" i="7"/>
  <c r="G190" i="7"/>
  <c r="J193" i="7"/>
  <c r="H197" i="7"/>
  <c r="K200" i="7"/>
  <c r="I204" i="7"/>
  <c r="G208" i="7"/>
  <c r="J211" i="7"/>
  <c r="H215" i="7"/>
  <c r="K218" i="7"/>
  <c r="I222" i="7"/>
  <c r="G226" i="7"/>
  <c r="J229" i="7"/>
  <c r="H233" i="7"/>
  <c r="K236" i="7"/>
  <c r="I240" i="7"/>
  <c r="G244" i="7"/>
  <c r="J247" i="7"/>
  <c r="J250" i="7"/>
  <c r="K251" i="7"/>
  <c r="G253" i="7"/>
  <c r="H254" i="7"/>
  <c r="I255" i="7"/>
  <c r="J256" i="7"/>
  <c r="K257" i="7"/>
  <c r="G259" i="7"/>
  <c r="H260" i="7"/>
  <c r="I261" i="7"/>
  <c r="J262" i="7"/>
  <c r="K263" i="7"/>
  <c r="G265" i="7"/>
  <c r="H266" i="7"/>
  <c r="I267" i="7"/>
  <c r="J268" i="7"/>
  <c r="K269" i="7"/>
  <c r="G271" i="7"/>
  <c r="H272" i="7"/>
  <c r="I273" i="7"/>
  <c r="J274" i="7"/>
  <c r="K275" i="7"/>
  <c r="G277" i="7"/>
  <c r="H278" i="7"/>
  <c r="I279" i="7"/>
  <c r="J280" i="7"/>
  <c r="K281" i="7"/>
  <c r="G283" i="7"/>
  <c r="H284" i="7"/>
  <c r="I285" i="7"/>
  <c r="J286" i="7"/>
  <c r="K287" i="7"/>
  <c r="G289" i="7"/>
  <c r="H290" i="7"/>
  <c r="I291" i="7"/>
  <c r="J292" i="7"/>
  <c r="K293" i="7"/>
  <c r="G295" i="7"/>
  <c r="H296" i="7"/>
  <c r="I297" i="7"/>
  <c r="J298" i="7"/>
  <c r="K299" i="7"/>
  <c r="G301" i="7"/>
  <c r="H302" i="7"/>
  <c r="I303" i="7"/>
  <c r="J304" i="7"/>
  <c r="K305" i="7"/>
  <c r="G307" i="7"/>
  <c r="H308" i="7"/>
  <c r="I309" i="7"/>
  <c r="J310" i="7"/>
  <c r="K311" i="7"/>
  <c r="G313" i="7"/>
  <c r="H314" i="7"/>
  <c r="I315" i="7"/>
  <c r="J316" i="7"/>
  <c r="K317" i="7"/>
  <c r="J104" i="7"/>
  <c r="H150" i="7"/>
  <c r="I175" i="7"/>
  <c r="J191" i="7"/>
  <c r="I202" i="7"/>
  <c r="H213" i="7"/>
  <c r="G224" i="7"/>
  <c r="K234" i="7"/>
  <c r="J245" i="7"/>
  <c r="I252" i="7"/>
  <c r="G256" i="7"/>
  <c r="J259" i="7"/>
  <c r="H263" i="7"/>
  <c r="K266" i="7"/>
  <c r="I270" i="7"/>
  <c r="G274" i="7"/>
  <c r="J277" i="7"/>
  <c r="H281" i="7"/>
  <c r="K284" i="7"/>
  <c r="I288" i="7"/>
  <c r="G292" i="7"/>
  <c r="J295" i="7"/>
  <c r="H299" i="7"/>
  <c r="K302" i="7"/>
  <c r="I306" i="7"/>
  <c r="G310" i="7"/>
  <c r="J313" i="7"/>
  <c r="H317" i="7"/>
  <c r="I319" i="7"/>
  <c r="J320" i="7"/>
  <c r="K321" i="7"/>
  <c r="G323" i="7"/>
  <c r="H324" i="7"/>
  <c r="I325" i="7"/>
  <c r="J326" i="7"/>
  <c r="K327" i="7"/>
  <c r="G329" i="7"/>
  <c r="H330" i="7"/>
  <c r="I331" i="7"/>
  <c r="J332" i="7"/>
  <c r="K333" i="7"/>
  <c r="G335" i="7"/>
  <c r="H336" i="7"/>
  <c r="I337" i="7"/>
  <c r="J338" i="7"/>
  <c r="K339" i="7"/>
  <c r="G341" i="7"/>
  <c r="H342" i="7"/>
  <c r="I343" i="7"/>
  <c r="J344" i="7"/>
  <c r="K345" i="7"/>
  <c r="G347" i="7"/>
  <c r="H348" i="7"/>
  <c r="I349" i="7"/>
  <c r="J350" i="7"/>
  <c r="K351" i="7"/>
  <c r="G353" i="7"/>
  <c r="H354" i="7"/>
  <c r="I355" i="7"/>
  <c r="J356" i="7"/>
  <c r="K357" i="7"/>
  <c r="G359" i="7"/>
  <c r="H360" i="7"/>
  <c r="I361" i="7"/>
  <c r="J362" i="7"/>
  <c r="K363" i="7"/>
  <c r="G365" i="7"/>
  <c r="H366" i="7"/>
  <c r="I367" i="7"/>
  <c r="J368" i="7"/>
  <c r="K369" i="7"/>
  <c r="G371" i="7"/>
  <c r="H372" i="7"/>
  <c r="I373" i="7"/>
  <c r="J374" i="7"/>
  <c r="K375" i="7"/>
  <c r="G377" i="7"/>
  <c r="H378" i="7"/>
  <c r="I379" i="7"/>
  <c r="J380" i="7"/>
  <c r="K381" i="7"/>
  <c r="G383" i="7"/>
  <c r="H384" i="7"/>
  <c r="I385" i="7"/>
  <c r="J386" i="7"/>
  <c r="K387" i="7"/>
  <c r="G389" i="7"/>
  <c r="H390" i="7"/>
  <c r="I391" i="7"/>
  <c r="J392" i="7"/>
  <c r="K393" i="7"/>
  <c r="G395" i="7"/>
  <c r="H396" i="7"/>
  <c r="I397" i="7"/>
  <c r="J398" i="7"/>
  <c r="K399" i="7"/>
  <c r="G401" i="7"/>
  <c r="H402" i="7"/>
  <c r="I403" i="7"/>
  <c r="J404" i="7"/>
  <c r="K405" i="7"/>
  <c r="G407" i="7"/>
  <c r="H408" i="7"/>
  <c r="I409" i="7"/>
  <c r="J410" i="7"/>
  <c r="K411" i="7"/>
  <c r="G413" i="7"/>
  <c r="H414" i="7"/>
  <c r="I415" i="7"/>
  <c r="J416" i="7"/>
  <c r="K417" i="7"/>
  <c r="G419" i="7"/>
  <c r="H420" i="7"/>
  <c r="I421" i="7"/>
  <c r="J422" i="7"/>
  <c r="K423" i="7"/>
  <c r="G425" i="7"/>
  <c r="H426" i="7"/>
  <c r="I427" i="7"/>
  <c r="J428" i="7"/>
  <c r="K429" i="7"/>
  <c r="G431" i="7"/>
  <c r="H432" i="7"/>
  <c r="I433" i="7"/>
  <c r="J434" i="7"/>
  <c r="K435" i="7"/>
  <c r="G437" i="7"/>
  <c r="H438" i="7"/>
  <c r="I439" i="7"/>
  <c r="J440" i="7"/>
  <c r="K441" i="7"/>
  <c r="G443" i="7"/>
  <c r="H444" i="7"/>
  <c r="I445" i="7"/>
  <c r="J446" i="7"/>
  <c r="K447" i="7"/>
  <c r="H47" i="7"/>
  <c r="K115" i="7"/>
  <c r="I157" i="7"/>
  <c r="H180" i="7"/>
  <c r="G194" i="7"/>
  <c r="K204" i="7"/>
  <c r="J215" i="7"/>
  <c r="I226" i="7"/>
  <c r="H237" i="7"/>
  <c r="G248" i="7"/>
  <c r="H253" i="7"/>
  <c r="K256" i="7"/>
  <c r="I260" i="7"/>
  <c r="G264" i="7"/>
  <c r="J267" i="7"/>
  <c r="H271" i="7"/>
  <c r="K274" i="7"/>
  <c r="I278" i="7"/>
  <c r="G282" i="7"/>
  <c r="J285" i="7"/>
  <c r="H289" i="7"/>
  <c r="K292" i="7"/>
  <c r="I296" i="7"/>
  <c r="G300" i="7"/>
  <c r="J303" i="7"/>
  <c r="H307" i="7"/>
  <c r="K310" i="7"/>
  <c r="I314" i="7"/>
  <c r="G318" i="7"/>
  <c r="J319" i="7"/>
  <c r="K320" i="7"/>
  <c r="G322" i="7"/>
  <c r="H323" i="7"/>
  <c r="I324" i="7"/>
  <c r="J325" i="7"/>
  <c r="K326" i="7"/>
  <c r="G328" i="7"/>
  <c r="H329" i="7"/>
  <c r="I330" i="7"/>
  <c r="J331" i="7"/>
  <c r="K332" i="7"/>
  <c r="G334" i="7"/>
  <c r="H335" i="7"/>
  <c r="I336" i="7"/>
  <c r="J337" i="7"/>
  <c r="K338" i="7"/>
  <c r="G340" i="7"/>
  <c r="H341" i="7"/>
  <c r="I342" i="7"/>
  <c r="J343" i="7"/>
  <c r="K344" i="7"/>
  <c r="G346" i="7"/>
  <c r="H347" i="7"/>
  <c r="I348" i="7"/>
  <c r="J349" i="7"/>
  <c r="K350" i="7"/>
  <c r="G352" i="7"/>
  <c r="H353" i="7"/>
  <c r="I354" i="7"/>
  <c r="J355" i="7"/>
  <c r="K356" i="7"/>
  <c r="G358" i="7"/>
  <c r="H359" i="7"/>
  <c r="I360" i="7"/>
  <c r="J361" i="7"/>
  <c r="K362" i="7"/>
  <c r="G364" i="7"/>
  <c r="H365" i="7"/>
  <c r="I366" i="7"/>
  <c r="J367" i="7"/>
  <c r="K368" i="7"/>
  <c r="G370" i="7"/>
  <c r="H371" i="7"/>
  <c r="I372" i="7"/>
  <c r="J373" i="7"/>
  <c r="K374" i="7"/>
  <c r="G376" i="7"/>
  <c r="H377" i="7"/>
  <c r="I378" i="7"/>
  <c r="J379" i="7"/>
  <c r="K380" i="7"/>
  <c r="G382" i="7"/>
  <c r="H383" i="7"/>
  <c r="I384" i="7"/>
  <c r="J385" i="7"/>
  <c r="K386" i="7"/>
  <c r="G388" i="7"/>
  <c r="H389" i="7"/>
  <c r="I390" i="7"/>
  <c r="J391" i="7"/>
  <c r="K392" i="7"/>
  <c r="G394" i="7"/>
  <c r="H395" i="7"/>
  <c r="I396" i="7"/>
  <c r="J397" i="7"/>
  <c r="K398" i="7"/>
  <c r="G400" i="7"/>
  <c r="H401" i="7"/>
  <c r="I402" i="7"/>
  <c r="J403" i="7"/>
  <c r="K404" i="7"/>
  <c r="G406" i="7"/>
  <c r="H407" i="7"/>
  <c r="I408" i="7"/>
  <c r="K55" i="7"/>
  <c r="G121" i="7"/>
  <c r="G161" i="7"/>
  <c r="J182" i="7"/>
  <c r="H195" i="7"/>
  <c r="G206" i="7"/>
  <c r="K216" i="7"/>
  <c r="J227" i="7"/>
  <c r="I238" i="7"/>
  <c r="H249" i="7"/>
  <c r="J253" i="7"/>
  <c r="H257" i="7"/>
  <c r="K260" i="7"/>
  <c r="I264" i="7"/>
  <c r="G268" i="7"/>
  <c r="J271" i="7"/>
  <c r="H275" i="7"/>
  <c r="K278" i="7"/>
  <c r="I282" i="7"/>
  <c r="G286" i="7"/>
  <c r="J289" i="7"/>
  <c r="H293" i="7"/>
  <c r="K296" i="7"/>
  <c r="I300" i="7"/>
  <c r="G304" i="7"/>
  <c r="J307" i="7"/>
  <c r="H311" i="7"/>
  <c r="K314" i="7"/>
  <c r="I318" i="7"/>
  <c r="K319" i="7"/>
  <c r="G321" i="7"/>
  <c r="H322" i="7"/>
  <c r="I323" i="7"/>
  <c r="J324" i="7"/>
  <c r="K325" i="7"/>
  <c r="G327" i="7"/>
  <c r="H328" i="7"/>
  <c r="I329" i="7"/>
  <c r="J330" i="7"/>
  <c r="K331" i="7"/>
  <c r="G333" i="7"/>
  <c r="H334" i="7"/>
  <c r="I335" i="7"/>
  <c r="J336" i="7"/>
  <c r="K337" i="7"/>
  <c r="G339" i="7"/>
  <c r="H340" i="7"/>
  <c r="I341" i="7"/>
  <c r="J342" i="7"/>
  <c r="K343" i="7"/>
  <c r="G345" i="7"/>
  <c r="H346" i="7"/>
  <c r="I347" i="7"/>
  <c r="J348" i="7"/>
  <c r="K349" i="7"/>
  <c r="G351" i="7"/>
  <c r="H352" i="7"/>
  <c r="I353" i="7"/>
  <c r="J354" i="7"/>
  <c r="K355" i="7"/>
  <c r="G357" i="7"/>
  <c r="H358" i="7"/>
  <c r="I359" i="7"/>
  <c r="J360" i="7"/>
  <c r="K361" i="7"/>
  <c r="G363" i="7"/>
  <c r="H364" i="7"/>
  <c r="I365" i="7"/>
  <c r="J366" i="7"/>
  <c r="K367" i="7"/>
  <c r="G369" i="7"/>
  <c r="H370" i="7"/>
  <c r="I371" i="7"/>
  <c r="J372" i="7"/>
  <c r="K373" i="7"/>
  <c r="G375" i="7"/>
  <c r="H376" i="7"/>
  <c r="I377" i="7"/>
  <c r="J378" i="7"/>
  <c r="K379" i="7"/>
  <c r="G381" i="7"/>
  <c r="H382" i="7"/>
  <c r="I383" i="7"/>
  <c r="J384" i="7"/>
  <c r="K385" i="7"/>
  <c r="G387" i="7"/>
  <c r="H388" i="7"/>
  <c r="I389" i="7"/>
  <c r="J390" i="7"/>
  <c r="K391" i="7"/>
  <c r="G393" i="7"/>
  <c r="H394" i="7"/>
  <c r="I395" i="7"/>
  <c r="J396" i="7"/>
  <c r="K397" i="7"/>
  <c r="G399" i="7"/>
  <c r="H400" i="7"/>
  <c r="I401" i="7"/>
  <c r="J402" i="7"/>
  <c r="K403" i="7"/>
  <c r="G405" i="7"/>
  <c r="H406" i="7"/>
  <c r="I407" i="7"/>
  <c r="J408" i="7"/>
  <c r="K409" i="7"/>
  <c r="G411" i="7"/>
  <c r="H412" i="7"/>
  <c r="I413" i="7"/>
  <c r="J414" i="7"/>
  <c r="K415" i="7"/>
  <c r="G417" i="7"/>
  <c r="H418" i="7"/>
  <c r="I419" i="7"/>
  <c r="J420" i="7"/>
  <c r="K421" i="7"/>
  <c r="G423" i="7"/>
  <c r="H424" i="7"/>
  <c r="I425" i="7"/>
  <c r="J426" i="7"/>
  <c r="K427" i="7"/>
  <c r="G429" i="7"/>
  <c r="H430" i="7"/>
  <c r="I431" i="7"/>
  <c r="J432" i="7"/>
  <c r="K433" i="7"/>
  <c r="G435" i="7"/>
  <c r="H436" i="7"/>
  <c r="I437" i="7"/>
  <c r="J438" i="7"/>
  <c r="K439" i="7"/>
  <c r="G441" i="7"/>
  <c r="H442" i="7"/>
  <c r="I443" i="7"/>
  <c r="J444" i="7"/>
  <c r="K445" i="7"/>
  <c r="G447" i="7"/>
  <c r="H448" i="7"/>
  <c r="I449" i="7"/>
  <c r="J450" i="7"/>
  <c r="K451" i="7"/>
  <c r="G453" i="7"/>
  <c r="H454" i="7"/>
  <c r="I455" i="7"/>
  <c r="J456" i="7"/>
  <c r="K457" i="7"/>
  <c r="G459" i="7"/>
  <c r="H460" i="7"/>
  <c r="I461" i="7"/>
  <c r="J462" i="7"/>
  <c r="K463" i="7"/>
  <c r="G465" i="7"/>
  <c r="H466" i="7"/>
  <c r="I467" i="7"/>
  <c r="J468" i="7"/>
  <c r="K469" i="7"/>
  <c r="G471" i="7"/>
  <c r="H472" i="7"/>
  <c r="I473" i="7"/>
  <c r="J474" i="7"/>
  <c r="K475" i="7"/>
  <c r="G477" i="7"/>
  <c r="H478" i="7"/>
  <c r="I479" i="7"/>
  <c r="J480" i="7"/>
  <c r="K481" i="7"/>
  <c r="G483" i="7"/>
  <c r="H484" i="7"/>
  <c r="I485" i="7"/>
  <c r="J486" i="7"/>
  <c r="K487" i="7"/>
  <c r="G73" i="7"/>
  <c r="K131" i="7"/>
  <c r="K165" i="7"/>
  <c r="K186" i="7"/>
  <c r="J197" i="7"/>
  <c r="I208" i="7"/>
  <c r="H219" i="7"/>
  <c r="G230" i="7"/>
  <c r="K240" i="7"/>
  <c r="K250" i="7"/>
  <c r="I254" i="7"/>
  <c r="G258" i="7"/>
  <c r="J261" i="7"/>
  <c r="H265" i="7"/>
  <c r="K268" i="7"/>
  <c r="I272" i="7"/>
  <c r="G276" i="7"/>
  <c r="J279" i="7"/>
  <c r="H283" i="7"/>
  <c r="K286" i="7"/>
  <c r="I290" i="7"/>
  <c r="G294" i="7"/>
  <c r="J297" i="7"/>
  <c r="H301" i="7"/>
  <c r="K304" i="7"/>
  <c r="I308" i="7"/>
  <c r="G312" i="7"/>
  <c r="J315" i="7"/>
  <c r="K318" i="7"/>
  <c r="G320" i="7"/>
  <c r="H321" i="7"/>
  <c r="I322" i="7"/>
  <c r="J323" i="7"/>
  <c r="K324" i="7"/>
  <c r="G326" i="7"/>
  <c r="H327" i="7"/>
  <c r="I328" i="7"/>
  <c r="J329" i="7"/>
  <c r="K330" i="7"/>
  <c r="G332" i="7"/>
  <c r="H333" i="7"/>
  <c r="I334" i="7"/>
  <c r="J335" i="7"/>
  <c r="K336" i="7"/>
  <c r="G338" i="7"/>
  <c r="H339" i="7"/>
  <c r="I340" i="7"/>
  <c r="J341" i="7"/>
  <c r="K342" i="7"/>
  <c r="G344" i="7"/>
  <c r="H345" i="7"/>
  <c r="I346" i="7"/>
  <c r="J347" i="7"/>
  <c r="K348" i="7"/>
  <c r="G350" i="7"/>
  <c r="H351" i="7"/>
  <c r="I352" i="7"/>
  <c r="J353" i="7"/>
  <c r="K354" i="7"/>
  <c r="G356" i="7"/>
  <c r="H357" i="7"/>
  <c r="I358" i="7"/>
  <c r="J359" i="7"/>
  <c r="K360" i="7"/>
  <c r="G362" i="7"/>
  <c r="H363" i="7"/>
  <c r="I364" i="7"/>
  <c r="J365" i="7"/>
  <c r="K366" i="7"/>
  <c r="G368" i="7"/>
  <c r="H369" i="7"/>
  <c r="I370" i="7"/>
  <c r="J371" i="7"/>
  <c r="K372" i="7"/>
  <c r="G374" i="7"/>
  <c r="H375" i="7"/>
  <c r="I376" i="7"/>
  <c r="J377" i="7"/>
  <c r="K378" i="7"/>
  <c r="G380" i="7"/>
  <c r="H381" i="7"/>
  <c r="I382" i="7"/>
  <c r="J383" i="7"/>
  <c r="K384" i="7"/>
  <c r="G386" i="7"/>
  <c r="H387" i="7"/>
  <c r="I388" i="7"/>
  <c r="J389" i="7"/>
  <c r="K390" i="7"/>
  <c r="G392" i="7"/>
  <c r="H393" i="7"/>
  <c r="I394" i="7"/>
  <c r="J395" i="7"/>
  <c r="K396" i="7"/>
  <c r="G398" i="7"/>
  <c r="H399" i="7"/>
  <c r="I400" i="7"/>
  <c r="J401" i="7"/>
  <c r="K402" i="7"/>
  <c r="G404" i="7"/>
  <c r="H405" i="7"/>
  <c r="I406" i="7"/>
  <c r="J407" i="7"/>
  <c r="K408" i="7"/>
  <c r="G410" i="7"/>
  <c r="H411" i="7"/>
  <c r="I412" i="7"/>
  <c r="J413" i="7"/>
  <c r="K414" i="7"/>
  <c r="G416" i="7"/>
  <c r="H417" i="7"/>
  <c r="I418" i="7"/>
  <c r="J419" i="7"/>
  <c r="K420" i="7"/>
  <c r="G422" i="7"/>
  <c r="H423" i="7"/>
  <c r="I424" i="7"/>
  <c r="J425" i="7"/>
  <c r="K426" i="7"/>
  <c r="G428" i="7"/>
  <c r="H429" i="7"/>
  <c r="I430" i="7"/>
  <c r="J431" i="7"/>
  <c r="K432" i="7"/>
  <c r="G434" i="7"/>
  <c r="H435" i="7"/>
  <c r="I436" i="7"/>
  <c r="J437" i="7"/>
  <c r="K438" i="7"/>
  <c r="G440" i="7"/>
  <c r="H441" i="7"/>
  <c r="I442" i="7"/>
  <c r="J443" i="7"/>
  <c r="K444" i="7"/>
  <c r="G446" i="7"/>
  <c r="H447" i="7"/>
  <c r="I448" i="7"/>
  <c r="J449" i="7"/>
  <c r="K450" i="7"/>
  <c r="G452" i="7"/>
  <c r="H453" i="7"/>
  <c r="I454" i="7"/>
  <c r="J455" i="7"/>
  <c r="K456" i="7"/>
  <c r="G458" i="7"/>
  <c r="H459" i="7"/>
  <c r="I460" i="7"/>
  <c r="J461" i="7"/>
  <c r="K462" i="7"/>
  <c r="G464" i="7"/>
  <c r="H465" i="7"/>
  <c r="I466" i="7"/>
  <c r="J467" i="7"/>
  <c r="K468" i="7"/>
  <c r="G470" i="7"/>
  <c r="H471" i="7"/>
  <c r="I472" i="7"/>
  <c r="J473" i="7"/>
  <c r="K474" i="7"/>
  <c r="G476" i="7"/>
  <c r="H477" i="7"/>
  <c r="I478" i="7"/>
  <c r="J479" i="7"/>
  <c r="K480" i="7"/>
  <c r="G482" i="7"/>
  <c r="H483" i="7"/>
  <c r="I484" i="7"/>
  <c r="J485" i="7"/>
  <c r="K486" i="7"/>
  <c r="G488" i="7"/>
  <c r="K81" i="7"/>
  <c r="I137" i="7"/>
  <c r="H168" i="7"/>
  <c r="G188" i="7"/>
  <c r="K198" i="7"/>
  <c r="J209" i="7"/>
  <c r="I220" i="7"/>
  <c r="H231" i="7"/>
  <c r="G242" i="7"/>
  <c r="H251" i="7"/>
  <c r="K254" i="7"/>
  <c r="I258" i="7"/>
  <c r="G262" i="7"/>
  <c r="J265" i="7"/>
  <c r="H269" i="7"/>
  <c r="K272" i="7"/>
  <c r="I276" i="7"/>
  <c r="G280" i="7"/>
  <c r="J283" i="7"/>
  <c r="H287" i="7"/>
  <c r="K290" i="7"/>
  <c r="I294" i="7"/>
  <c r="G298" i="7"/>
  <c r="J301" i="7"/>
  <c r="H305" i="7"/>
  <c r="K308" i="7"/>
  <c r="I312" i="7"/>
  <c r="G316" i="7"/>
  <c r="G319" i="7"/>
  <c r="H320" i="7"/>
  <c r="I321" i="7"/>
  <c r="J322" i="7"/>
  <c r="K323" i="7"/>
  <c r="G325" i="7"/>
  <c r="H326" i="7"/>
  <c r="I327" i="7"/>
  <c r="J328" i="7"/>
  <c r="K329" i="7"/>
  <c r="G331" i="7"/>
  <c r="H332" i="7"/>
  <c r="I333" i="7"/>
  <c r="J334" i="7"/>
  <c r="K335" i="7"/>
  <c r="G337" i="7"/>
  <c r="H338" i="7"/>
  <c r="I339" i="7"/>
  <c r="J340" i="7"/>
  <c r="K341" i="7"/>
  <c r="G343" i="7"/>
  <c r="H344" i="7"/>
  <c r="I345" i="7"/>
  <c r="J346" i="7"/>
  <c r="K347" i="7"/>
  <c r="G349" i="7"/>
  <c r="H350" i="7"/>
  <c r="I351" i="7"/>
  <c r="J352" i="7"/>
  <c r="K353" i="7"/>
  <c r="G355" i="7"/>
  <c r="H356" i="7"/>
  <c r="I357" i="7"/>
  <c r="J358" i="7"/>
  <c r="K359" i="7"/>
  <c r="G361" i="7"/>
  <c r="H362" i="7"/>
  <c r="I363" i="7"/>
  <c r="J364" i="7"/>
  <c r="K365" i="7"/>
  <c r="G367" i="7"/>
  <c r="H368" i="7"/>
  <c r="I369" i="7"/>
  <c r="J370" i="7"/>
  <c r="K371" i="7"/>
  <c r="G373" i="7"/>
  <c r="H374" i="7"/>
  <c r="I375" i="7"/>
  <c r="J376" i="7"/>
  <c r="K377" i="7"/>
  <c r="G379" i="7"/>
  <c r="H380" i="7"/>
  <c r="I381" i="7"/>
  <c r="J382" i="7"/>
  <c r="K383" i="7"/>
  <c r="G385" i="7"/>
  <c r="H386" i="7"/>
  <c r="I387" i="7"/>
  <c r="J388" i="7"/>
  <c r="K389" i="7"/>
  <c r="G391" i="7"/>
  <c r="H392" i="7"/>
  <c r="I393" i="7"/>
  <c r="J394" i="7"/>
  <c r="K395" i="7"/>
  <c r="G397" i="7"/>
  <c r="H398" i="7"/>
  <c r="I399" i="7"/>
  <c r="J400" i="7"/>
  <c r="K401" i="7"/>
  <c r="G403" i="7"/>
  <c r="H404" i="7"/>
  <c r="I405" i="7"/>
  <c r="J406" i="7"/>
  <c r="K407" i="7"/>
  <c r="G409" i="7"/>
  <c r="H410" i="7"/>
  <c r="I411" i="7"/>
  <c r="J412" i="7"/>
  <c r="K413" i="7"/>
  <c r="G415" i="7"/>
  <c r="H416" i="7"/>
  <c r="I417" i="7"/>
  <c r="J418" i="7"/>
  <c r="K419" i="7"/>
  <c r="G421" i="7"/>
  <c r="H422" i="7"/>
  <c r="I423" i="7"/>
  <c r="J424" i="7"/>
  <c r="K425" i="7"/>
  <c r="G427" i="7"/>
  <c r="H428" i="7"/>
  <c r="I429" i="7"/>
  <c r="J430" i="7"/>
  <c r="K431" i="7"/>
  <c r="G433" i="7"/>
  <c r="H434" i="7"/>
  <c r="I435" i="7"/>
  <c r="J436" i="7"/>
  <c r="K437" i="7"/>
  <c r="G439" i="7"/>
  <c r="H440" i="7"/>
  <c r="I441" i="7"/>
  <c r="J442" i="7"/>
  <c r="K443" i="7"/>
  <c r="G445" i="7"/>
  <c r="H446" i="7"/>
  <c r="I447" i="7"/>
  <c r="J448" i="7"/>
  <c r="K449" i="7"/>
  <c r="G451" i="7"/>
  <c r="H452" i="7"/>
  <c r="I453" i="7"/>
  <c r="J454" i="7"/>
  <c r="K455" i="7"/>
  <c r="G457" i="7"/>
  <c r="H458" i="7"/>
  <c r="I459" i="7"/>
  <c r="J460" i="7"/>
  <c r="K461" i="7"/>
  <c r="G463" i="7"/>
  <c r="H464" i="7"/>
  <c r="I465" i="7"/>
  <c r="J466" i="7"/>
  <c r="K467" i="7"/>
  <c r="G469" i="7"/>
  <c r="H470" i="7"/>
  <c r="I471" i="7"/>
  <c r="J472" i="7"/>
  <c r="K473" i="7"/>
  <c r="G475" i="7"/>
  <c r="H476" i="7"/>
  <c r="I477" i="7"/>
  <c r="J478" i="7"/>
  <c r="K479" i="7"/>
  <c r="G481" i="7"/>
  <c r="H482" i="7"/>
  <c r="I483" i="7"/>
  <c r="J484" i="7"/>
  <c r="K485" i="7"/>
  <c r="G487" i="7"/>
  <c r="H488" i="7"/>
  <c r="G212" i="7"/>
  <c r="H259" i="7"/>
  <c r="K280" i="7"/>
  <c r="I302" i="7"/>
  <c r="I320" i="7"/>
  <c r="J327" i="7"/>
  <c r="K334" i="7"/>
  <c r="G342" i="7"/>
  <c r="H349" i="7"/>
  <c r="I356" i="7"/>
  <c r="J363" i="7"/>
  <c r="K370" i="7"/>
  <c r="G378" i="7"/>
  <c r="H385" i="7"/>
  <c r="I392" i="7"/>
  <c r="J399" i="7"/>
  <c r="K406" i="7"/>
  <c r="J411" i="7"/>
  <c r="H415" i="7"/>
  <c r="K418" i="7"/>
  <c r="I422" i="7"/>
  <c r="G426" i="7"/>
  <c r="J429" i="7"/>
  <c r="H433" i="7"/>
  <c r="K436" i="7"/>
  <c r="I440" i="7"/>
  <c r="G444" i="7"/>
  <c r="J447" i="7"/>
  <c r="H450" i="7"/>
  <c r="J452" i="7"/>
  <c r="G455" i="7"/>
  <c r="I457" i="7"/>
  <c r="K459" i="7"/>
  <c r="H462" i="7"/>
  <c r="J464" i="7"/>
  <c r="G467" i="7"/>
  <c r="I469" i="7"/>
  <c r="K471" i="7"/>
  <c r="H474" i="7"/>
  <c r="J476" i="7"/>
  <c r="G479" i="7"/>
  <c r="I481" i="7"/>
  <c r="K483" i="7"/>
  <c r="H486" i="7"/>
  <c r="J488" i="7"/>
  <c r="K489" i="7"/>
  <c r="G491" i="7"/>
  <c r="H492" i="7"/>
  <c r="I493" i="7"/>
  <c r="J494" i="7"/>
  <c r="K495" i="7"/>
  <c r="G497" i="7"/>
  <c r="H498" i="7"/>
  <c r="I499" i="7"/>
  <c r="J500" i="7"/>
  <c r="K501" i="7"/>
  <c r="G503" i="7"/>
  <c r="H504" i="7"/>
  <c r="I505" i="7"/>
  <c r="J506" i="7"/>
  <c r="K507" i="7"/>
  <c r="G509" i="7"/>
  <c r="H510" i="7"/>
  <c r="I511" i="7"/>
  <c r="J512" i="7"/>
  <c r="K513" i="7"/>
  <c r="G515" i="7"/>
  <c r="H516" i="7"/>
  <c r="I517" i="7"/>
  <c r="J518" i="7"/>
  <c r="K519" i="7"/>
  <c r="G521" i="7"/>
  <c r="H522" i="7"/>
  <c r="I523" i="7"/>
  <c r="J524" i="7"/>
  <c r="K525" i="7"/>
  <c r="G527" i="7"/>
  <c r="H528" i="7"/>
  <c r="I529" i="7"/>
  <c r="J530" i="7"/>
  <c r="K531" i="7"/>
  <c r="G533" i="7"/>
  <c r="H534" i="7"/>
  <c r="I535" i="7"/>
  <c r="J536" i="7"/>
  <c r="K537" i="7"/>
  <c r="G539" i="7"/>
  <c r="H540" i="7"/>
  <c r="I541" i="7"/>
  <c r="J542" i="7"/>
  <c r="K543" i="7"/>
  <c r="G545" i="7"/>
  <c r="H546" i="7"/>
  <c r="I547" i="7"/>
  <c r="J548" i="7"/>
  <c r="K549" i="7"/>
  <c r="G551" i="7"/>
  <c r="H552" i="7"/>
  <c r="I553" i="7"/>
  <c r="J554" i="7"/>
  <c r="K555" i="7"/>
  <c r="G557" i="7"/>
  <c r="H558" i="7"/>
  <c r="I559" i="7"/>
  <c r="J560" i="7"/>
  <c r="K561" i="7"/>
  <c r="G563" i="7"/>
  <c r="H564" i="7"/>
  <c r="I565" i="7"/>
  <c r="J566" i="7"/>
  <c r="K567" i="7"/>
  <c r="G569" i="7"/>
  <c r="H570" i="7"/>
  <c r="I571" i="7"/>
  <c r="J572" i="7"/>
  <c r="K573" i="7"/>
  <c r="G575" i="7"/>
  <c r="H576" i="7"/>
  <c r="I577" i="7"/>
  <c r="J578" i="7"/>
  <c r="K579" i="7"/>
  <c r="G581" i="7"/>
  <c r="H582" i="7"/>
  <c r="I583" i="7"/>
  <c r="J584" i="7"/>
  <c r="K585" i="7"/>
  <c r="G587" i="7"/>
  <c r="H588" i="7"/>
  <c r="I589" i="7"/>
  <c r="J590" i="7"/>
  <c r="K591" i="7"/>
  <c r="G593" i="7"/>
  <c r="H594" i="7"/>
  <c r="I595" i="7"/>
  <c r="J596" i="7"/>
  <c r="K597" i="7"/>
  <c r="G599" i="7"/>
  <c r="H600" i="7"/>
  <c r="I601" i="7"/>
  <c r="J602" i="7"/>
  <c r="K603" i="7"/>
  <c r="G605" i="7"/>
  <c r="H606" i="7"/>
  <c r="I607" i="7"/>
  <c r="J608" i="7"/>
  <c r="K609" i="7"/>
  <c r="G611" i="7"/>
  <c r="H612" i="7"/>
  <c r="K97" i="7"/>
  <c r="K222" i="7"/>
  <c r="K262" i="7"/>
  <c r="I284" i="7"/>
  <c r="G306" i="7"/>
  <c r="J321" i="7"/>
  <c r="K328" i="7"/>
  <c r="G336" i="7"/>
  <c r="H343" i="7"/>
  <c r="I350" i="7"/>
  <c r="J357" i="7"/>
  <c r="K364" i="7"/>
  <c r="G372" i="7"/>
  <c r="H379" i="7"/>
  <c r="I386" i="7"/>
  <c r="J393" i="7"/>
  <c r="K400" i="7"/>
  <c r="G408" i="7"/>
  <c r="G412" i="7"/>
  <c r="J415" i="7"/>
  <c r="H419" i="7"/>
  <c r="K422" i="7"/>
  <c r="I426" i="7"/>
  <c r="G430" i="7"/>
  <c r="J433" i="7"/>
  <c r="H437" i="7"/>
  <c r="K440" i="7"/>
  <c r="I444" i="7"/>
  <c r="G448" i="7"/>
  <c r="I450" i="7"/>
  <c r="K452" i="7"/>
  <c r="H455" i="7"/>
  <c r="J457" i="7"/>
  <c r="G460" i="7"/>
  <c r="I462" i="7"/>
  <c r="K464" i="7"/>
  <c r="H467" i="7"/>
  <c r="J469" i="7"/>
  <c r="G472" i="7"/>
  <c r="I474" i="7"/>
  <c r="K476" i="7"/>
  <c r="H479" i="7"/>
  <c r="J481" i="7"/>
  <c r="G484" i="7"/>
  <c r="I486" i="7"/>
  <c r="K488" i="7"/>
  <c r="G490" i="7"/>
  <c r="H491" i="7"/>
  <c r="I492" i="7"/>
  <c r="J493" i="7"/>
  <c r="K494" i="7"/>
  <c r="G496" i="7"/>
  <c r="H497" i="7"/>
  <c r="I498" i="7"/>
  <c r="J499" i="7"/>
  <c r="K500" i="7"/>
  <c r="G502" i="7"/>
  <c r="H503" i="7"/>
  <c r="I504" i="7"/>
  <c r="J505" i="7"/>
  <c r="K506" i="7"/>
  <c r="G508" i="7"/>
  <c r="H509" i="7"/>
  <c r="I510" i="7"/>
  <c r="J511" i="7"/>
  <c r="K512" i="7"/>
  <c r="G514" i="7"/>
  <c r="H515" i="7"/>
  <c r="I516" i="7"/>
  <c r="J517" i="7"/>
  <c r="K518" i="7"/>
  <c r="G520" i="7"/>
  <c r="H521" i="7"/>
  <c r="I522" i="7"/>
  <c r="J523" i="7"/>
  <c r="K524" i="7"/>
  <c r="G526" i="7"/>
  <c r="H527" i="7"/>
  <c r="I528" i="7"/>
  <c r="J529" i="7"/>
  <c r="K530" i="7"/>
  <c r="G532" i="7"/>
  <c r="H533" i="7"/>
  <c r="I534" i="7"/>
  <c r="J535" i="7"/>
  <c r="K536" i="7"/>
  <c r="G538" i="7"/>
  <c r="H539" i="7"/>
  <c r="I540" i="7"/>
  <c r="J541" i="7"/>
  <c r="K542" i="7"/>
  <c r="G544" i="7"/>
  <c r="H545" i="7"/>
  <c r="I546" i="7"/>
  <c r="J547" i="7"/>
  <c r="K548" i="7"/>
  <c r="G550" i="7"/>
  <c r="H551" i="7"/>
  <c r="I552" i="7"/>
  <c r="J553" i="7"/>
  <c r="K554" i="7"/>
  <c r="G556" i="7"/>
  <c r="H557" i="7"/>
  <c r="I558" i="7"/>
  <c r="J559" i="7"/>
  <c r="K560" i="7"/>
  <c r="G562" i="7"/>
  <c r="H563" i="7"/>
  <c r="I564" i="7"/>
  <c r="J565" i="7"/>
  <c r="K566" i="7"/>
  <c r="G568" i="7"/>
  <c r="H569" i="7"/>
  <c r="I570" i="7"/>
  <c r="J571" i="7"/>
  <c r="K572" i="7"/>
  <c r="G574" i="7"/>
  <c r="H575" i="7"/>
  <c r="I576" i="7"/>
  <c r="J577" i="7"/>
  <c r="K578" i="7"/>
  <c r="G580" i="7"/>
  <c r="H581" i="7"/>
  <c r="I582" i="7"/>
  <c r="J583" i="7"/>
  <c r="K584" i="7"/>
  <c r="G586" i="7"/>
  <c r="H587" i="7"/>
  <c r="I588" i="7"/>
  <c r="J589" i="7"/>
  <c r="K590" i="7"/>
  <c r="G592" i="7"/>
  <c r="H593" i="7"/>
  <c r="I594" i="7"/>
  <c r="J595" i="7"/>
  <c r="K596" i="7"/>
  <c r="G598" i="7"/>
  <c r="H599" i="7"/>
  <c r="I600" i="7"/>
  <c r="J601" i="7"/>
  <c r="K602" i="7"/>
  <c r="G604" i="7"/>
  <c r="H605" i="7"/>
  <c r="I606" i="7"/>
  <c r="J607" i="7"/>
  <c r="K608" i="7"/>
  <c r="G610" i="7"/>
  <c r="H611" i="7"/>
  <c r="I612" i="7"/>
  <c r="J146" i="7"/>
  <c r="J233" i="7"/>
  <c r="I266" i="7"/>
  <c r="G288" i="7"/>
  <c r="J309" i="7"/>
  <c r="K322" i="7"/>
  <c r="G330" i="7"/>
  <c r="H337" i="7"/>
  <c r="I344" i="7"/>
  <c r="J351" i="7"/>
  <c r="K358" i="7"/>
  <c r="G366" i="7"/>
  <c r="H373" i="7"/>
  <c r="I380" i="7"/>
  <c r="J387" i="7"/>
  <c r="K394" i="7"/>
  <c r="G402" i="7"/>
  <c r="H409" i="7"/>
  <c r="K412" i="7"/>
  <c r="I416" i="7"/>
  <c r="G420" i="7"/>
  <c r="J423" i="7"/>
  <c r="H427" i="7"/>
  <c r="K430" i="7"/>
  <c r="I434" i="7"/>
  <c r="G438" i="7"/>
  <c r="J441" i="7"/>
  <c r="H445" i="7"/>
  <c r="K448" i="7"/>
  <c r="H451" i="7"/>
  <c r="J453" i="7"/>
  <c r="G456" i="7"/>
  <c r="I458" i="7"/>
  <c r="K460" i="7"/>
  <c r="H463" i="7"/>
  <c r="J465" i="7"/>
  <c r="G468" i="7"/>
  <c r="I470" i="7"/>
  <c r="K472" i="7"/>
  <c r="H475" i="7"/>
  <c r="J477" i="7"/>
  <c r="G480" i="7"/>
  <c r="I482" i="7"/>
  <c r="K484" i="7"/>
  <c r="H487" i="7"/>
  <c r="G489" i="7"/>
  <c r="H490" i="7"/>
  <c r="I491" i="7"/>
  <c r="J492" i="7"/>
  <c r="K493" i="7"/>
  <c r="G495" i="7"/>
  <c r="H496" i="7"/>
  <c r="I497" i="7"/>
  <c r="J498" i="7"/>
  <c r="K499" i="7"/>
  <c r="G501" i="7"/>
  <c r="H502" i="7"/>
  <c r="I503" i="7"/>
  <c r="J504" i="7"/>
  <c r="K505" i="7"/>
  <c r="G507" i="7"/>
  <c r="H508" i="7"/>
  <c r="I509" i="7"/>
  <c r="J510" i="7"/>
  <c r="K511" i="7"/>
  <c r="G513" i="7"/>
  <c r="H514" i="7"/>
  <c r="I515" i="7"/>
  <c r="J516" i="7"/>
  <c r="K517" i="7"/>
  <c r="G519" i="7"/>
  <c r="H520" i="7"/>
  <c r="I521" i="7"/>
  <c r="J522" i="7"/>
  <c r="K523" i="7"/>
  <c r="G525" i="7"/>
  <c r="H526" i="7"/>
  <c r="I527" i="7"/>
  <c r="J528" i="7"/>
  <c r="K529" i="7"/>
  <c r="G531" i="7"/>
  <c r="H532" i="7"/>
  <c r="I533" i="7"/>
  <c r="J534" i="7"/>
  <c r="K535" i="7"/>
  <c r="G537" i="7"/>
  <c r="H538" i="7"/>
  <c r="I539" i="7"/>
  <c r="J540" i="7"/>
  <c r="K541" i="7"/>
  <c r="G543" i="7"/>
  <c r="H544" i="7"/>
  <c r="I545" i="7"/>
  <c r="J546" i="7"/>
  <c r="K547" i="7"/>
  <c r="G549" i="7"/>
  <c r="H550" i="7"/>
  <c r="I551" i="7"/>
  <c r="J552" i="7"/>
  <c r="K553" i="7"/>
  <c r="G555" i="7"/>
  <c r="H556" i="7"/>
  <c r="I557" i="7"/>
  <c r="J558" i="7"/>
  <c r="K559" i="7"/>
  <c r="G561" i="7"/>
  <c r="H562" i="7"/>
  <c r="I563" i="7"/>
  <c r="J564" i="7"/>
  <c r="K565" i="7"/>
  <c r="G567" i="7"/>
  <c r="H568" i="7"/>
  <c r="I569" i="7"/>
  <c r="J570" i="7"/>
  <c r="K571" i="7"/>
  <c r="G573" i="7"/>
  <c r="H574" i="7"/>
  <c r="I575" i="7"/>
  <c r="J576" i="7"/>
  <c r="K577" i="7"/>
  <c r="G579" i="7"/>
  <c r="H580" i="7"/>
  <c r="I581" i="7"/>
  <c r="J582" i="7"/>
  <c r="K583" i="7"/>
  <c r="G585" i="7"/>
  <c r="H586" i="7"/>
  <c r="I587" i="7"/>
  <c r="J588" i="7"/>
  <c r="K589" i="7"/>
  <c r="G591" i="7"/>
  <c r="H592" i="7"/>
  <c r="I593" i="7"/>
  <c r="J594" i="7"/>
  <c r="K595" i="7"/>
  <c r="G597" i="7"/>
  <c r="H598" i="7"/>
  <c r="I599" i="7"/>
  <c r="J600" i="7"/>
  <c r="K601" i="7"/>
  <c r="G603" i="7"/>
  <c r="H604" i="7"/>
  <c r="I605" i="7"/>
  <c r="J606" i="7"/>
  <c r="K607" i="7"/>
  <c r="G609" i="7"/>
  <c r="H610" i="7"/>
  <c r="I611" i="7"/>
  <c r="G173" i="7"/>
  <c r="I244" i="7"/>
  <c r="G270" i="7"/>
  <c r="J291" i="7"/>
  <c r="H313" i="7"/>
  <c r="G324" i="7"/>
  <c r="H331" i="7"/>
  <c r="I338" i="7"/>
  <c r="J345" i="7"/>
  <c r="K352" i="7"/>
  <c r="G360" i="7"/>
  <c r="H367" i="7"/>
  <c r="I374" i="7"/>
  <c r="J381" i="7"/>
  <c r="K388" i="7"/>
  <c r="G396" i="7"/>
  <c r="H403" i="7"/>
  <c r="J409" i="7"/>
  <c r="H413" i="7"/>
  <c r="K416" i="7"/>
  <c r="I420" i="7"/>
  <c r="G424" i="7"/>
  <c r="J427" i="7"/>
  <c r="H431" i="7"/>
  <c r="K434" i="7"/>
  <c r="I438" i="7"/>
  <c r="G442" i="7"/>
  <c r="J445" i="7"/>
  <c r="G449" i="7"/>
  <c r="I451" i="7"/>
  <c r="K453" i="7"/>
  <c r="H456" i="7"/>
  <c r="J458" i="7"/>
  <c r="G461" i="7"/>
  <c r="I463" i="7"/>
  <c r="K465" i="7"/>
  <c r="H468" i="7"/>
  <c r="J470" i="7"/>
  <c r="G473" i="7"/>
  <c r="I475" i="7"/>
  <c r="K477" i="7"/>
  <c r="H480" i="7"/>
  <c r="J482" i="7"/>
  <c r="G485" i="7"/>
  <c r="I487" i="7"/>
  <c r="H489" i="7"/>
  <c r="I490" i="7"/>
  <c r="J491" i="7"/>
  <c r="K492" i="7"/>
  <c r="G494" i="7"/>
  <c r="H495" i="7"/>
  <c r="I496" i="7"/>
  <c r="J497" i="7"/>
  <c r="K498" i="7"/>
  <c r="G500" i="7"/>
  <c r="H501" i="7"/>
  <c r="I502" i="7"/>
  <c r="J503" i="7"/>
  <c r="K504" i="7"/>
  <c r="G506" i="7"/>
  <c r="H507" i="7"/>
  <c r="I508" i="7"/>
  <c r="J509" i="7"/>
  <c r="K510" i="7"/>
  <c r="G512" i="7"/>
  <c r="H513" i="7"/>
  <c r="I514" i="7"/>
  <c r="J515" i="7"/>
  <c r="K516" i="7"/>
  <c r="G518" i="7"/>
  <c r="H519" i="7"/>
  <c r="I520" i="7"/>
  <c r="J521" i="7"/>
  <c r="K522" i="7"/>
  <c r="G524" i="7"/>
  <c r="H525" i="7"/>
  <c r="I526" i="7"/>
  <c r="J527" i="7"/>
  <c r="K528" i="7"/>
  <c r="G530" i="7"/>
  <c r="H531" i="7"/>
  <c r="I532" i="7"/>
  <c r="J533" i="7"/>
  <c r="K534" i="7"/>
  <c r="G536" i="7"/>
  <c r="H537" i="7"/>
  <c r="I538" i="7"/>
  <c r="J539" i="7"/>
  <c r="K540" i="7"/>
  <c r="G542" i="7"/>
  <c r="H543" i="7"/>
  <c r="I544" i="7"/>
  <c r="J545" i="7"/>
  <c r="K546" i="7"/>
  <c r="G548" i="7"/>
  <c r="H549" i="7"/>
  <c r="I550" i="7"/>
  <c r="J551" i="7"/>
  <c r="K552" i="7"/>
  <c r="G554" i="7"/>
  <c r="H555" i="7"/>
  <c r="I556" i="7"/>
  <c r="J557" i="7"/>
  <c r="K558" i="7"/>
  <c r="G560" i="7"/>
  <c r="H561" i="7"/>
  <c r="I562" i="7"/>
  <c r="J563" i="7"/>
  <c r="K564" i="7"/>
  <c r="G566" i="7"/>
  <c r="H567" i="7"/>
  <c r="I568" i="7"/>
  <c r="J569" i="7"/>
  <c r="K570" i="7"/>
  <c r="G572" i="7"/>
  <c r="H573" i="7"/>
  <c r="I574" i="7"/>
  <c r="J575" i="7"/>
  <c r="K576" i="7"/>
  <c r="G578" i="7"/>
  <c r="H579" i="7"/>
  <c r="I580" i="7"/>
  <c r="J581" i="7"/>
  <c r="K582" i="7"/>
  <c r="G584" i="7"/>
  <c r="H585" i="7"/>
  <c r="I586" i="7"/>
  <c r="J587" i="7"/>
  <c r="K588" i="7"/>
  <c r="G590" i="7"/>
  <c r="H591" i="7"/>
  <c r="I592" i="7"/>
  <c r="J593" i="7"/>
  <c r="K594" i="7"/>
  <c r="G596" i="7"/>
  <c r="H597" i="7"/>
  <c r="I598" i="7"/>
  <c r="J599" i="7"/>
  <c r="K600" i="7"/>
  <c r="G602" i="7"/>
  <c r="H603" i="7"/>
  <c r="I604" i="7"/>
  <c r="J605" i="7"/>
  <c r="K606" i="7"/>
  <c r="G608" i="7"/>
  <c r="H609" i="7"/>
  <c r="I610" i="7"/>
  <c r="J611" i="7"/>
  <c r="I190" i="7"/>
  <c r="G252" i="7"/>
  <c r="J273" i="7"/>
  <c r="H295" i="7"/>
  <c r="K316" i="7"/>
  <c r="H325" i="7"/>
  <c r="I332" i="7"/>
  <c r="J339" i="7"/>
  <c r="K346" i="7"/>
  <c r="G354" i="7"/>
  <c r="H361" i="7"/>
  <c r="I368" i="7"/>
  <c r="J375" i="7"/>
  <c r="K382" i="7"/>
  <c r="G390" i="7"/>
  <c r="H397" i="7"/>
  <c r="I404" i="7"/>
  <c r="I410" i="7"/>
  <c r="G414" i="7"/>
  <c r="J417" i="7"/>
  <c r="H421" i="7"/>
  <c r="K424" i="7"/>
  <c r="I428" i="7"/>
  <c r="G432" i="7"/>
  <c r="J435" i="7"/>
  <c r="H439" i="7"/>
  <c r="K442" i="7"/>
  <c r="I446" i="7"/>
  <c r="H449" i="7"/>
  <c r="J451" i="7"/>
  <c r="G454" i="7"/>
  <c r="I456" i="7"/>
  <c r="K458" i="7"/>
  <c r="H461" i="7"/>
  <c r="J463" i="7"/>
  <c r="G466" i="7"/>
  <c r="I468" i="7"/>
  <c r="K470" i="7"/>
  <c r="H473" i="7"/>
  <c r="J475" i="7"/>
  <c r="G478" i="7"/>
  <c r="I480" i="7"/>
  <c r="K482" i="7"/>
  <c r="H485" i="7"/>
  <c r="J487" i="7"/>
  <c r="I489" i="7"/>
  <c r="J490" i="7"/>
  <c r="K491" i="7"/>
  <c r="G493" i="7"/>
  <c r="H494" i="7"/>
  <c r="I495" i="7"/>
  <c r="J496" i="7"/>
  <c r="K497" i="7"/>
  <c r="G499" i="7"/>
  <c r="H500" i="7"/>
  <c r="I501" i="7"/>
  <c r="J502" i="7"/>
  <c r="K503" i="7"/>
  <c r="G505" i="7"/>
  <c r="H506" i="7"/>
  <c r="I507" i="7"/>
  <c r="J508" i="7"/>
  <c r="K509" i="7"/>
  <c r="G511" i="7"/>
  <c r="H512" i="7"/>
  <c r="I513" i="7"/>
  <c r="J514" i="7"/>
  <c r="K515" i="7"/>
  <c r="G517" i="7"/>
  <c r="H518" i="7"/>
  <c r="I519" i="7"/>
  <c r="J520" i="7"/>
  <c r="K521" i="7"/>
  <c r="G523" i="7"/>
  <c r="H524" i="7"/>
  <c r="I525" i="7"/>
  <c r="J526" i="7"/>
  <c r="K527" i="7"/>
  <c r="G529" i="7"/>
  <c r="H530" i="7"/>
  <c r="I531" i="7"/>
  <c r="J532" i="7"/>
  <c r="K533" i="7"/>
  <c r="G535" i="7"/>
  <c r="H536" i="7"/>
  <c r="I537" i="7"/>
  <c r="J538" i="7"/>
  <c r="K539" i="7"/>
  <c r="G541" i="7"/>
  <c r="H542" i="7"/>
  <c r="I543" i="7"/>
  <c r="J544" i="7"/>
  <c r="K545" i="7"/>
  <c r="G547" i="7"/>
  <c r="H548" i="7"/>
  <c r="I549" i="7"/>
  <c r="J550" i="7"/>
  <c r="K551" i="7"/>
  <c r="G553" i="7"/>
  <c r="H554" i="7"/>
  <c r="I555" i="7"/>
  <c r="J556" i="7"/>
  <c r="K557" i="7"/>
  <c r="G559" i="7"/>
  <c r="H560" i="7"/>
  <c r="I561" i="7"/>
  <c r="J562" i="7"/>
  <c r="K563" i="7"/>
  <c r="G565" i="7"/>
  <c r="H566" i="7"/>
  <c r="I567" i="7"/>
  <c r="J568" i="7"/>
  <c r="K569" i="7"/>
  <c r="G571" i="7"/>
  <c r="H572" i="7"/>
  <c r="I573" i="7"/>
  <c r="J574" i="7"/>
  <c r="H201" i="7"/>
  <c r="J255" i="7"/>
  <c r="H277" i="7"/>
  <c r="K298" i="7"/>
  <c r="H319" i="7"/>
  <c r="I326" i="7"/>
  <c r="J333" i="7"/>
  <c r="K340" i="7"/>
  <c r="G348" i="7"/>
  <c r="H355" i="7"/>
  <c r="I362" i="7"/>
  <c r="J369" i="7"/>
  <c r="K376" i="7"/>
  <c r="G384" i="7"/>
  <c r="H391" i="7"/>
  <c r="I398" i="7"/>
  <c r="J405" i="7"/>
  <c r="K410" i="7"/>
  <c r="I414" i="7"/>
  <c r="G418" i="7"/>
  <c r="J421" i="7"/>
  <c r="H425" i="7"/>
  <c r="K428" i="7"/>
  <c r="I432" i="7"/>
  <c r="G436" i="7"/>
  <c r="J439" i="7"/>
  <c r="H443" i="7"/>
  <c r="K446" i="7"/>
  <c r="G450" i="7"/>
  <c r="I452" i="7"/>
  <c r="K454" i="7"/>
  <c r="H457" i="7"/>
  <c r="J459" i="7"/>
  <c r="G462" i="7"/>
  <c r="I464" i="7"/>
  <c r="K466" i="7"/>
  <c r="H469" i="7"/>
  <c r="J471" i="7"/>
  <c r="G474" i="7"/>
  <c r="I476" i="7"/>
  <c r="K478" i="7"/>
  <c r="H481" i="7"/>
  <c r="J483" i="7"/>
  <c r="G486" i="7"/>
  <c r="I488" i="7"/>
  <c r="J489" i="7"/>
  <c r="K490" i="7"/>
  <c r="G492" i="7"/>
  <c r="H493" i="7"/>
  <c r="I494" i="7"/>
  <c r="J495" i="7"/>
  <c r="K496" i="7"/>
  <c r="G498" i="7"/>
  <c r="H499" i="7"/>
  <c r="I500" i="7"/>
  <c r="J501" i="7"/>
  <c r="K502" i="7"/>
  <c r="G504" i="7"/>
  <c r="H505" i="7"/>
  <c r="I506" i="7"/>
  <c r="J507" i="7"/>
  <c r="K508" i="7"/>
  <c r="G510" i="7"/>
  <c r="H511" i="7"/>
  <c r="I512" i="7"/>
  <c r="J513" i="7"/>
  <c r="K514" i="7"/>
  <c r="G516" i="7"/>
  <c r="H517" i="7"/>
  <c r="I518" i="7"/>
  <c r="J519" i="7"/>
  <c r="K520" i="7"/>
  <c r="G522" i="7"/>
  <c r="H523" i="7"/>
  <c r="I524" i="7"/>
  <c r="J525" i="7"/>
  <c r="K526" i="7"/>
  <c r="G528" i="7"/>
  <c r="H529" i="7"/>
  <c r="I530" i="7"/>
  <c r="J531" i="7"/>
  <c r="K532" i="7"/>
  <c r="G534" i="7"/>
  <c r="H535" i="7"/>
  <c r="I536" i="7"/>
  <c r="J543" i="7"/>
  <c r="K550" i="7"/>
  <c r="G558" i="7"/>
  <c r="H565" i="7"/>
  <c r="I572" i="7"/>
  <c r="H577" i="7"/>
  <c r="K580" i="7"/>
  <c r="I584" i="7"/>
  <c r="G588" i="7"/>
  <c r="J591" i="7"/>
  <c r="H595" i="7"/>
  <c r="K598" i="7"/>
  <c r="I602" i="7"/>
  <c r="G606" i="7"/>
  <c r="J609" i="7"/>
  <c r="K612" i="7"/>
  <c r="G614" i="7"/>
  <c r="H615" i="7"/>
  <c r="I616" i="7"/>
  <c r="J617" i="7"/>
  <c r="K618" i="7"/>
  <c r="G620" i="7"/>
  <c r="H621" i="7"/>
  <c r="I622" i="7"/>
  <c r="J623" i="7"/>
  <c r="K624" i="7"/>
  <c r="G626" i="7"/>
  <c r="H627" i="7"/>
  <c r="I628" i="7"/>
  <c r="J629" i="7"/>
  <c r="K630" i="7"/>
  <c r="G632" i="7"/>
  <c r="H633" i="7"/>
  <c r="I634" i="7"/>
  <c r="J635" i="7"/>
  <c r="K636" i="7"/>
  <c r="G638" i="7"/>
  <c r="H639" i="7"/>
  <c r="I640" i="7"/>
  <c r="J641" i="7"/>
  <c r="K642" i="7"/>
  <c r="G644" i="7"/>
  <c r="H645" i="7"/>
  <c r="I646" i="7"/>
  <c r="J647" i="7"/>
  <c r="K648" i="7"/>
  <c r="G650" i="7"/>
  <c r="H651" i="7"/>
  <c r="I652" i="7"/>
  <c r="J653" i="7"/>
  <c r="K654" i="7"/>
  <c r="G656" i="7"/>
  <c r="H657" i="7"/>
  <c r="I658" i="7"/>
  <c r="J659" i="7"/>
  <c r="K660" i="7"/>
  <c r="G662" i="7"/>
  <c r="H663" i="7"/>
  <c r="I664" i="7"/>
  <c r="J665" i="7"/>
  <c r="K666" i="7"/>
  <c r="G668" i="7"/>
  <c r="H669" i="7"/>
  <c r="I670" i="7"/>
  <c r="J671" i="7"/>
  <c r="K672" i="7"/>
  <c r="G674" i="7"/>
  <c r="H675" i="7"/>
  <c r="I676" i="7"/>
  <c r="J677" i="7"/>
  <c r="K678" i="7"/>
  <c r="G680" i="7"/>
  <c r="H681" i="7"/>
  <c r="I682" i="7"/>
  <c r="J683" i="7"/>
  <c r="K684" i="7"/>
  <c r="G686" i="7"/>
  <c r="H687" i="7"/>
  <c r="I688" i="7"/>
  <c r="J689" i="7"/>
  <c r="K690" i="7"/>
  <c r="G692" i="7"/>
  <c r="H693" i="7"/>
  <c r="I694" i="7"/>
  <c r="J695" i="7"/>
  <c r="K696" i="7"/>
  <c r="G698" i="7"/>
  <c r="H699" i="7"/>
  <c r="I700" i="7"/>
  <c r="J701" i="7"/>
  <c r="K702" i="7"/>
  <c r="G704" i="7"/>
  <c r="H705" i="7"/>
  <c r="I706" i="7"/>
  <c r="J707" i="7"/>
  <c r="K708" i="7"/>
  <c r="G710" i="7"/>
  <c r="H711" i="7"/>
  <c r="I712" i="7"/>
  <c r="J713" i="7"/>
  <c r="K714" i="7"/>
  <c r="G716" i="7"/>
  <c r="H717" i="7"/>
  <c r="I718" i="7"/>
  <c r="J719" i="7"/>
  <c r="K720" i="7"/>
  <c r="G722" i="7"/>
  <c r="H723" i="7"/>
  <c r="I724" i="7"/>
  <c r="J725" i="7"/>
  <c r="K726" i="7"/>
  <c r="G728" i="7"/>
  <c r="H729" i="7"/>
  <c r="I730" i="7"/>
  <c r="J731" i="7"/>
  <c r="K732" i="7"/>
  <c r="G734" i="7"/>
  <c r="H735" i="7"/>
  <c r="I736" i="7"/>
  <c r="J737" i="7"/>
  <c r="K738" i="7"/>
  <c r="G740" i="7"/>
  <c r="H741" i="7"/>
  <c r="I742" i="7"/>
  <c r="J743" i="7"/>
  <c r="K744" i="7"/>
  <c r="G746" i="7"/>
  <c r="H747" i="7"/>
  <c r="I748" i="7"/>
  <c r="J749" i="7"/>
  <c r="K750" i="7"/>
  <c r="G752" i="7"/>
  <c r="H753" i="7"/>
  <c r="I754" i="7"/>
  <c r="J755" i="7"/>
  <c r="K756" i="7"/>
  <c r="G758" i="7"/>
  <c r="H759" i="7"/>
  <c r="I760" i="7"/>
  <c r="J761" i="7"/>
  <c r="K762" i="7"/>
  <c r="G764" i="7"/>
  <c r="H765" i="7"/>
  <c r="I766" i="7"/>
  <c r="J767" i="7"/>
  <c r="K768" i="7"/>
  <c r="G770" i="7"/>
  <c r="H771" i="7"/>
  <c r="I772" i="7"/>
  <c r="J773" i="7"/>
  <c r="K774" i="7"/>
  <c r="G776" i="7"/>
  <c r="H777" i="7"/>
  <c r="I778" i="7"/>
  <c r="J779" i="7"/>
  <c r="K780" i="7"/>
  <c r="G782" i="7"/>
  <c r="H783" i="7"/>
  <c r="I784" i="7"/>
  <c r="J785" i="7"/>
  <c r="K786" i="7"/>
  <c r="G788" i="7"/>
  <c r="H789" i="7"/>
  <c r="I790" i="7"/>
  <c r="J791" i="7"/>
  <c r="K792" i="7"/>
  <c r="G794" i="7"/>
  <c r="H795" i="7"/>
  <c r="I796" i="7"/>
  <c r="J797" i="7"/>
  <c r="J537" i="7"/>
  <c r="K544" i="7"/>
  <c r="G552" i="7"/>
  <c r="H559" i="7"/>
  <c r="I566" i="7"/>
  <c r="J573" i="7"/>
  <c r="H578" i="7"/>
  <c r="K581" i="7"/>
  <c r="I585" i="7"/>
  <c r="G589" i="7"/>
  <c r="J592" i="7"/>
  <c r="H596" i="7"/>
  <c r="K599" i="7"/>
  <c r="I603" i="7"/>
  <c r="G607" i="7"/>
  <c r="J610" i="7"/>
  <c r="G613" i="7"/>
  <c r="H614" i="7"/>
  <c r="I615" i="7"/>
  <c r="J616" i="7"/>
  <c r="K617" i="7"/>
  <c r="G619" i="7"/>
  <c r="H620" i="7"/>
  <c r="I621" i="7"/>
  <c r="J622" i="7"/>
  <c r="K623" i="7"/>
  <c r="G625" i="7"/>
  <c r="H626" i="7"/>
  <c r="I627" i="7"/>
  <c r="J628" i="7"/>
  <c r="K629" i="7"/>
  <c r="G631" i="7"/>
  <c r="H632" i="7"/>
  <c r="I633" i="7"/>
  <c r="J634" i="7"/>
  <c r="K635" i="7"/>
  <c r="G637" i="7"/>
  <c r="H638" i="7"/>
  <c r="I639" i="7"/>
  <c r="J640" i="7"/>
  <c r="K641" i="7"/>
  <c r="G643" i="7"/>
  <c r="H644" i="7"/>
  <c r="I645" i="7"/>
  <c r="J646" i="7"/>
  <c r="K647" i="7"/>
  <c r="G649" i="7"/>
  <c r="H650" i="7"/>
  <c r="I651" i="7"/>
  <c r="J652" i="7"/>
  <c r="K653" i="7"/>
  <c r="G655" i="7"/>
  <c r="H656" i="7"/>
  <c r="I657" i="7"/>
  <c r="J658" i="7"/>
  <c r="K659" i="7"/>
  <c r="G661" i="7"/>
  <c r="H662" i="7"/>
  <c r="I663" i="7"/>
  <c r="J664" i="7"/>
  <c r="K665" i="7"/>
  <c r="G667" i="7"/>
  <c r="H668" i="7"/>
  <c r="I669" i="7"/>
  <c r="J670" i="7"/>
  <c r="K671" i="7"/>
  <c r="G673" i="7"/>
  <c r="H674" i="7"/>
  <c r="I675" i="7"/>
  <c r="J676" i="7"/>
  <c r="K677" i="7"/>
  <c r="G679" i="7"/>
  <c r="H680" i="7"/>
  <c r="I681" i="7"/>
  <c r="J682" i="7"/>
  <c r="K683" i="7"/>
  <c r="G685" i="7"/>
  <c r="H686" i="7"/>
  <c r="I687" i="7"/>
  <c r="J688" i="7"/>
  <c r="K689" i="7"/>
  <c r="G691" i="7"/>
  <c r="H692" i="7"/>
  <c r="I693" i="7"/>
  <c r="J694" i="7"/>
  <c r="K695" i="7"/>
  <c r="G697" i="7"/>
  <c r="H698" i="7"/>
  <c r="I699" i="7"/>
  <c r="J700" i="7"/>
  <c r="K701" i="7"/>
  <c r="G703" i="7"/>
  <c r="H704" i="7"/>
  <c r="I705" i="7"/>
  <c r="J706" i="7"/>
  <c r="K707" i="7"/>
  <c r="G709" i="7"/>
  <c r="H710" i="7"/>
  <c r="I711" i="7"/>
  <c r="J712" i="7"/>
  <c r="K713" i="7"/>
  <c r="G715" i="7"/>
  <c r="H716" i="7"/>
  <c r="I717" i="7"/>
  <c r="J718" i="7"/>
  <c r="K719" i="7"/>
  <c r="G721" i="7"/>
  <c r="H722" i="7"/>
  <c r="I723" i="7"/>
  <c r="J724" i="7"/>
  <c r="K725" i="7"/>
  <c r="G727" i="7"/>
  <c r="H728" i="7"/>
  <c r="I729" i="7"/>
  <c r="J730" i="7"/>
  <c r="K731" i="7"/>
  <c r="G733" i="7"/>
  <c r="H734" i="7"/>
  <c r="I735" i="7"/>
  <c r="J736" i="7"/>
  <c r="K737" i="7"/>
  <c r="G739" i="7"/>
  <c r="H740" i="7"/>
  <c r="I741" i="7"/>
  <c r="J742" i="7"/>
  <c r="K743" i="7"/>
  <c r="G745" i="7"/>
  <c r="H746" i="7"/>
  <c r="I747" i="7"/>
  <c r="J748" i="7"/>
  <c r="K749" i="7"/>
  <c r="G751" i="7"/>
  <c r="H752" i="7"/>
  <c r="I753" i="7"/>
  <c r="J754" i="7"/>
  <c r="K755" i="7"/>
  <c r="G757" i="7"/>
  <c r="H758" i="7"/>
  <c r="I759" i="7"/>
  <c r="J760" i="7"/>
  <c r="K761" i="7"/>
  <c r="G763" i="7"/>
  <c r="H764" i="7"/>
  <c r="I765" i="7"/>
  <c r="J766" i="7"/>
  <c r="K767" i="7"/>
  <c r="G769" i="7"/>
  <c r="H770" i="7"/>
  <c r="I771" i="7"/>
  <c r="J772" i="7"/>
  <c r="K773" i="7"/>
  <c r="G775" i="7"/>
  <c r="H776" i="7"/>
  <c r="I777" i="7"/>
  <c r="J778" i="7"/>
  <c r="K779" i="7"/>
  <c r="G781" i="7"/>
  <c r="H782" i="7"/>
  <c r="I783" i="7"/>
  <c r="J784" i="7"/>
  <c r="K785" i="7"/>
  <c r="G787" i="7"/>
  <c r="H788" i="7"/>
  <c r="I789" i="7"/>
  <c r="J790" i="7"/>
  <c r="K791" i="7"/>
  <c r="G793" i="7"/>
  <c r="H794" i="7"/>
  <c r="I795" i="7"/>
  <c r="J796" i="7"/>
  <c r="K538" i="7"/>
  <c r="G546" i="7"/>
  <c r="H553" i="7"/>
  <c r="I560" i="7"/>
  <c r="J567" i="7"/>
  <c r="K574" i="7"/>
  <c r="I578" i="7"/>
  <c r="G582" i="7"/>
  <c r="J585" i="7"/>
  <c r="H589" i="7"/>
  <c r="K592" i="7"/>
  <c r="I596" i="7"/>
  <c r="G600" i="7"/>
  <c r="J603" i="7"/>
  <c r="H607" i="7"/>
  <c r="K610" i="7"/>
  <c r="H613" i="7"/>
  <c r="I614" i="7"/>
  <c r="J615" i="7"/>
  <c r="K616" i="7"/>
  <c r="G618" i="7"/>
  <c r="H619" i="7"/>
  <c r="I620" i="7"/>
  <c r="J621" i="7"/>
  <c r="K622" i="7"/>
  <c r="G624" i="7"/>
  <c r="H625" i="7"/>
  <c r="I626" i="7"/>
  <c r="J627" i="7"/>
  <c r="K628" i="7"/>
  <c r="G630" i="7"/>
  <c r="H631" i="7"/>
  <c r="I632" i="7"/>
  <c r="J633" i="7"/>
  <c r="K634" i="7"/>
  <c r="G636" i="7"/>
  <c r="H637" i="7"/>
  <c r="I638" i="7"/>
  <c r="J639" i="7"/>
  <c r="K640" i="7"/>
  <c r="G642" i="7"/>
  <c r="H643" i="7"/>
  <c r="I644" i="7"/>
  <c r="J645" i="7"/>
  <c r="K646" i="7"/>
  <c r="G648" i="7"/>
  <c r="H649" i="7"/>
  <c r="I650" i="7"/>
  <c r="J651" i="7"/>
  <c r="K652" i="7"/>
  <c r="G654" i="7"/>
  <c r="H655" i="7"/>
  <c r="I656" i="7"/>
  <c r="J657" i="7"/>
  <c r="K658" i="7"/>
  <c r="G660" i="7"/>
  <c r="H661" i="7"/>
  <c r="I662" i="7"/>
  <c r="J663" i="7"/>
  <c r="K664" i="7"/>
  <c r="G666" i="7"/>
  <c r="H667" i="7"/>
  <c r="I668" i="7"/>
  <c r="J669" i="7"/>
  <c r="K670" i="7"/>
  <c r="G672" i="7"/>
  <c r="H673" i="7"/>
  <c r="I674" i="7"/>
  <c r="J675" i="7"/>
  <c r="K676" i="7"/>
  <c r="G678" i="7"/>
  <c r="H679" i="7"/>
  <c r="I680" i="7"/>
  <c r="J681" i="7"/>
  <c r="K682" i="7"/>
  <c r="G684" i="7"/>
  <c r="H685" i="7"/>
  <c r="I686" i="7"/>
  <c r="J687" i="7"/>
  <c r="K688" i="7"/>
  <c r="G690" i="7"/>
  <c r="H691" i="7"/>
  <c r="I692" i="7"/>
  <c r="J693" i="7"/>
  <c r="K694" i="7"/>
  <c r="G696" i="7"/>
  <c r="H697" i="7"/>
  <c r="I698" i="7"/>
  <c r="J699" i="7"/>
  <c r="K700" i="7"/>
  <c r="G702" i="7"/>
  <c r="H703" i="7"/>
  <c r="I704" i="7"/>
  <c r="J705" i="7"/>
  <c r="K706" i="7"/>
  <c r="G708" i="7"/>
  <c r="H709" i="7"/>
  <c r="I710" i="7"/>
  <c r="J711" i="7"/>
  <c r="K712" i="7"/>
  <c r="G714" i="7"/>
  <c r="H715" i="7"/>
  <c r="I716" i="7"/>
  <c r="J717" i="7"/>
  <c r="K718" i="7"/>
  <c r="G720" i="7"/>
  <c r="H721" i="7"/>
  <c r="I722" i="7"/>
  <c r="J723" i="7"/>
  <c r="K724" i="7"/>
  <c r="G726" i="7"/>
  <c r="H727" i="7"/>
  <c r="I728" i="7"/>
  <c r="J729" i="7"/>
  <c r="K730" i="7"/>
  <c r="G732" i="7"/>
  <c r="H733" i="7"/>
  <c r="I734" i="7"/>
  <c r="J735" i="7"/>
  <c r="K736" i="7"/>
  <c r="G738" i="7"/>
  <c r="H739" i="7"/>
  <c r="I740" i="7"/>
  <c r="J741" i="7"/>
  <c r="K742" i="7"/>
  <c r="G744" i="7"/>
  <c r="H745" i="7"/>
  <c r="I746" i="7"/>
  <c r="J747" i="7"/>
  <c r="K748" i="7"/>
  <c r="G750" i="7"/>
  <c r="H751" i="7"/>
  <c r="I752" i="7"/>
  <c r="J753" i="7"/>
  <c r="K754" i="7"/>
  <c r="G756" i="7"/>
  <c r="H757" i="7"/>
  <c r="I758" i="7"/>
  <c r="J759" i="7"/>
  <c r="K760" i="7"/>
  <c r="G762" i="7"/>
  <c r="H763" i="7"/>
  <c r="I764" i="7"/>
  <c r="J765" i="7"/>
  <c r="K766" i="7"/>
  <c r="G768" i="7"/>
  <c r="H769" i="7"/>
  <c r="I770" i="7"/>
  <c r="J771" i="7"/>
  <c r="K772" i="7"/>
  <c r="G774" i="7"/>
  <c r="H775" i="7"/>
  <c r="I776" i="7"/>
  <c r="J777" i="7"/>
  <c r="K778" i="7"/>
  <c r="G780" i="7"/>
  <c r="H781" i="7"/>
  <c r="I782" i="7"/>
  <c r="J783" i="7"/>
  <c r="K784" i="7"/>
  <c r="G786" i="7"/>
  <c r="H787" i="7"/>
  <c r="I788" i="7"/>
  <c r="J789" i="7"/>
  <c r="K790" i="7"/>
  <c r="G792" i="7"/>
  <c r="H793" i="7"/>
  <c r="I794" i="7"/>
  <c r="J795" i="7"/>
  <c r="K796" i="7"/>
  <c r="G540" i="7"/>
  <c r="H547" i="7"/>
  <c r="I554" i="7"/>
  <c r="J561" i="7"/>
  <c r="K568" i="7"/>
  <c r="K575" i="7"/>
  <c r="I579" i="7"/>
  <c r="G583" i="7"/>
  <c r="J586" i="7"/>
  <c r="H590" i="7"/>
  <c r="K593" i="7"/>
  <c r="I597" i="7"/>
  <c r="G601" i="7"/>
  <c r="J604" i="7"/>
  <c r="H608" i="7"/>
  <c r="K611" i="7"/>
  <c r="I613" i="7"/>
  <c r="J614" i="7"/>
  <c r="K615" i="7"/>
  <c r="G617" i="7"/>
  <c r="H618" i="7"/>
  <c r="I619" i="7"/>
  <c r="J620" i="7"/>
  <c r="K621" i="7"/>
  <c r="G623" i="7"/>
  <c r="H624" i="7"/>
  <c r="I625" i="7"/>
  <c r="J626" i="7"/>
  <c r="K627" i="7"/>
  <c r="G629" i="7"/>
  <c r="H630" i="7"/>
  <c r="I631" i="7"/>
  <c r="J632" i="7"/>
  <c r="K633" i="7"/>
  <c r="G635" i="7"/>
  <c r="H636" i="7"/>
  <c r="I637" i="7"/>
  <c r="J638" i="7"/>
  <c r="K639" i="7"/>
  <c r="G641" i="7"/>
  <c r="H642" i="7"/>
  <c r="I643" i="7"/>
  <c r="J644" i="7"/>
  <c r="K645" i="7"/>
  <c r="G647" i="7"/>
  <c r="H648" i="7"/>
  <c r="I649" i="7"/>
  <c r="J650" i="7"/>
  <c r="K651" i="7"/>
  <c r="G653" i="7"/>
  <c r="H654" i="7"/>
  <c r="I655" i="7"/>
  <c r="J656" i="7"/>
  <c r="K657" i="7"/>
  <c r="G659" i="7"/>
  <c r="H660" i="7"/>
  <c r="I661" i="7"/>
  <c r="J662" i="7"/>
  <c r="K663" i="7"/>
  <c r="G665" i="7"/>
  <c r="H666" i="7"/>
  <c r="I667" i="7"/>
  <c r="J668" i="7"/>
  <c r="K669" i="7"/>
  <c r="G671" i="7"/>
  <c r="H672" i="7"/>
  <c r="I673" i="7"/>
  <c r="J674" i="7"/>
  <c r="K675" i="7"/>
  <c r="G677" i="7"/>
  <c r="H678" i="7"/>
  <c r="I679" i="7"/>
  <c r="J680" i="7"/>
  <c r="K681" i="7"/>
  <c r="G683" i="7"/>
  <c r="H684" i="7"/>
  <c r="I685" i="7"/>
  <c r="J686" i="7"/>
  <c r="K687" i="7"/>
  <c r="G689" i="7"/>
  <c r="H690" i="7"/>
  <c r="I691" i="7"/>
  <c r="J692" i="7"/>
  <c r="K693" i="7"/>
  <c r="G695" i="7"/>
  <c r="H696" i="7"/>
  <c r="I697" i="7"/>
  <c r="J698" i="7"/>
  <c r="K699" i="7"/>
  <c r="G701" i="7"/>
  <c r="H702" i="7"/>
  <c r="I703" i="7"/>
  <c r="J704" i="7"/>
  <c r="K705" i="7"/>
  <c r="G707" i="7"/>
  <c r="H708" i="7"/>
  <c r="I709" i="7"/>
  <c r="J710" i="7"/>
  <c r="K711" i="7"/>
  <c r="G713" i="7"/>
  <c r="H714" i="7"/>
  <c r="I715" i="7"/>
  <c r="J716" i="7"/>
  <c r="K717" i="7"/>
  <c r="G719" i="7"/>
  <c r="H720" i="7"/>
  <c r="I721" i="7"/>
  <c r="J722" i="7"/>
  <c r="K723" i="7"/>
  <c r="G725" i="7"/>
  <c r="H726" i="7"/>
  <c r="I727" i="7"/>
  <c r="J728" i="7"/>
  <c r="K729" i="7"/>
  <c r="G731" i="7"/>
  <c r="H732" i="7"/>
  <c r="I733" i="7"/>
  <c r="J734" i="7"/>
  <c r="K735" i="7"/>
  <c r="G737" i="7"/>
  <c r="H738" i="7"/>
  <c r="I739" i="7"/>
  <c r="J740" i="7"/>
  <c r="K741" i="7"/>
  <c r="G743" i="7"/>
  <c r="H744" i="7"/>
  <c r="I745" i="7"/>
  <c r="J746" i="7"/>
  <c r="K747" i="7"/>
  <c r="G749" i="7"/>
  <c r="H750" i="7"/>
  <c r="I751" i="7"/>
  <c r="J752" i="7"/>
  <c r="K753" i="7"/>
  <c r="G755" i="7"/>
  <c r="H756" i="7"/>
  <c r="I757" i="7"/>
  <c r="J758" i="7"/>
  <c r="K759" i="7"/>
  <c r="G761" i="7"/>
  <c r="H762" i="7"/>
  <c r="I763" i="7"/>
  <c r="J764" i="7"/>
  <c r="K765" i="7"/>
  <c r="G767" i="7"/>
  <c r="H768" i="7"/>
  <c r="I769" i="7"/>
  <c r="J770" i="7"/>
  <c r="K771" i="7"/>
  <c r="G773" i="7"/>
  <c r="H774" i="7"/>
  <c r="I775" i="7"/>
  <c r="J776" i="7"/>
  <c r="K777" i="7"/>
  <c r="G779" i="7"/>
  <c r="H780" i="7"/>
  <c r="I781" i="7"/>
  <c r="J782" i="7"/>
  <c r="K783" i="7"/>
  <c r="G785" i="7"/>
  <c r="H786" i="7"/>
  <c r="I787" i="7"/>
  <c r="J788" i="7"/>
  <c r="K789" i="7"/>
  <c r="G791" i="7"/>
  <c r="H792" i="7"/>
  <c r="I793" i="7"/>
  <c r="J794" i="7"/>
  <c r="K795" i="7"/>
  <c r="G797" i="7"/>
  <c r="H541" i="7"/>
  <c r="I548" i="7"/>
  <c r="J555" i="7"/>
  <c r="K562" i="7"/>
  <c r="G570" i="7"/>
  <c r="G576" i="7"/>
  <c r="J579" i="7"/>
  <c r="H583" i="7"/>
  <c r="K586" i="7"/>
  <c r="I590" i="7"/>
  <c r="G594" i="7"/>
  <c r="J597" i="7"/>
  <c r="H601" i="7"/>
  <c r="K604" i="7"/>
  <c r="I608" i="7"/>
  <c r="G612" i="7"/>
  <c r="J613" i="7"/>
  <c r="K614" i="7"/>
  <c r="G616" i="7"/>
  <c r="H617" i="7"/>
  <c r="I618" i="7"/>
  <c r="J619" i="7"/>
  <c r="K620" i="7"/>
  <c r="G622" i="7"/>
  <c r="H623" i="7"/>
  <c r="I624" i="7"/>
  <c r="J625" i="7"/>
  <c r="K626" i="7"/>
  <c r="G628" i="7"/>
  <c r="H629" i="7"/>
  <c r="I630" i="7"/>
  <c r="J631" i="7"/>
  <c r="K632" i="7"/>
  <c r="G634" i="7"/>
  <c r="H635" i="7"/>
  <c r="I636" i="7"/>
  <c r="J637" i="7"/>
  <c r="K638" i="7"/>
  <c r="G640" i="7"/>
  <c r="H641" i="7"/>
  <c r="I642" i="7"/>
  <c r="J643" i="7"/>
  <c r="K644" i="7"/>
  <c r="G646" i="7"/>
  <c r="H647" i="7"/>
  <c r="I648" i="7"/>
  <c r="J649" i="7"/>
  <c r="K650" i="7"/>
  <c r="G652" i="7"/>
  <c r="H653" i="7"/>
  <c r="I654" i="7"/>
  <c r="J655" i="7"/>
  <c r="K656" i="7"/>
  <c r="G658" i="7"/>
  <c r="H659" i="7"/>
  <c r="I660" i="7"/>
  <c r="J661" i="7"/>
  <c r="K662" i="7"/>
  <c r="G664" i="7"/>
  <c r="H665" i="7"/>
  <c r="I666" i="7"/>
  <c r="J667" i="7"/>
  <c r="K668" i="7"/>
  <c r="G670" i="7"/>
  <c r="H671" i="7"/>
  <c r="I672" i="7"/>
  <c r="J673" i="7"/>
  <c r="K674" i="7"/>
  <c r="G676" i="7"/>
  <c r="H677" i="7"/>
  <c r="I678" i="7"/>
  <c r="J679" i="7"/>
  <c r="K680" i="7"/>
  <c r="G682" i="7"/>
  <c r="H683" i="7"/>
  <c r="I684" i="7"/>
  <c r="J685" i="7"/>
  <c r="I542" i="7"/>
  <c r="J549" i="7"/>
  <c r="K556" i="7"/>
  <c r="G564" i="7"/>
  <c r="H571" i="7"/>
  <c r="G577" i="7"/>
  <c r="J580" i="7"/>
  <c r="H584" i="7"/>
  <c r="K587" i="7"/>
  <c r="I591" i="7"/>
  <c r="G595" i="7"/>
  <c r="J598" i="7"/>
  <c r="H602" i="7"/>
  <c r="K605" i="7"/>
  <c r="I609" i="7"/>
  <c r="J612" i="7"/>
  <c r="K613" i="7"/>
  <c r="G615" i="7"/>
  <c r="H616" i="7"/>
  <c r="I617" i="7"/>
  <c r="J618" i="7"/>
  <c r="K619" i="7"/>
  <c r="G621" i="7"/>
  <c r="H622" i="7"/>
  <c r="I623" i="7"/>
  <c r="J624" i="7"/>
  <c r="K625" i="7"/>
  <c r="G627" i="7"/>
  <c r="H628" i="7"/>
  <c r="I629" i="7"/>
  <c r="J630" i="7"/>
  <c r="K631" i="7"/>
  <c r="G633" i="7"/>
  <c r="H634" i="7"/>
  <c r="I635" i="7"/>
  <c r="J636" i="7"/>
  <c r="K637" i="7"/>
  <c r="G639" i="7"/>
  <c r="H640" i="7"/>
  <c r="I641" i="7"/>
  <c r="J642" i="7"/>
  <c r="K643" i="7"/>
  <c r="G645" i="7"/>
  <c r="H646" i="7"/>
  <c r="I647" i="7"/>
  <c r="J648" i="7"/>
  <c r="K649" i="7"/>
  <c r="G651" i="7"/>
  <c r="H652" i="7"/>
  <c r="I653" i="7"/>
  <c r="J654" i="7"/>
  <c r="K655" i="7"/>
  <c r="G657" i="7"/>
  <c r="H658" i="7"/>
  <c r="I659" i="7"/>
  <c r="J660" i="7"/>
  <c r="K661" i="7"/>
  <c r="G663" i="7"/>
  <c r="H664" i="7"/>
  <c r="I665" i="7"/>
  <c r="J666" i="7"/>
  <c r="K667" i="7"/>
  <c r="G669" i="7"/>
  <c r="H670" i="7"/>
  <c r="I671" i="7"/>
  <c r="J672" i="7"/>
  <c r="K673" i="7"/>
  <c r="G675" i="7"/>
  <c r="H676" i="7"/>
  <c r="I677" i="7"/>
  <c r="J678" i="7"/>
  <c r="K679" i="7"/>
  <c r="G681" i="7"/>
  <c r="H682" i="7"/>
  <c r="I683" i="7"/>
  <c r="J684" i="7"/>
  <c r="K685" i="7"/>
  <c r="G687" i="7"/>
  <c r="H688" i="7"/>
  <c r="I689" i="7"/>
  <c r="J690" i="7"/>
  <c r="K691" i="7"/>
  <c r="G693" i="7"/>
  <c r="H694" i="7"/>
  <c r="I695" i="7"/>
  <c r="J696" i="7"/>
  <c r="K697" i="7"/>
  <c r="G699" i="7"/>
  <c r="H700" i="7"/>
  <c r="I701" i="7"/>
  <c r="J702" i="7"/>
  <c r="K703" i="7"/>
  <c r="G705" i="7"/>
  <c r="H706" i="7"/>
  <c r="I707" i="7"/>
  <c r="J708" i="7"/>
  <c r="K709" i="7"/>
  <c r="G711" i="7"/>
  <c r="H712" i="7"/>
  <c r="I713" i="7"/>
  <c r="J714" i="7"/>
  <c r="K715" i="7"/>
  <c r="G717" i="7"/>
  <c r="H718" i="7"/>
  <c r="I719" i="7"/>
  <c r="J720" i="7"/>
  <c r="K721" i="7"/>
  <c r="G723" i="7"/>
  <c r="H724" i="7"/>
  <c r="I725" i="7"/>
  <c r="J726" i="7"/>
  <c r="K727" i="7"/>
  <c r="G729" i="7"/>
  <c r="H730" i="7"/>
  <c r="I731" i="7"/>
  <c r="J732" i="7"/>
  <c r="K733" i="7"/>
  <c r="G735" i="7"/>
  <c r="H736" i="7"/>
  <c r="I737" i="7"/>
  <c r="J738" i="7"/>
  <c r="K739" i="7"/>
  <c r="G741" i="7"/>
  <c r="H742" i="7"/>
  <c r="I743" i="7"/>
  <c r="J744" i="7"/>
  <c r="K745" i="7"/>
  <c r="G747" i="7"/>
  <c r="H748" i="7"/>
  <c r="I749" i="7"/>
  <c r="J750" i="7"/>
  <c r="K751" i="7"/>
  <c r="G753" i="7"/>
  <c r="H754" i="7"/>
  <c r="I755" i="7"/>
  <c r="J756" i="7"/>
  <c r="K757" i="7"/>
  <c r="G759" i="7"/>
  <c r="H760" i="7"/>
  <c r="I761" i="7"/>
  <c r="J762" i="7"/>
  <c r="K763" i="7"/>
  <c r="G765" i="7"/>
  <c r="H766" i="7"/>
  <c r="I767" i="7"/>
  <c r="J768" i="7"/>
  <c r="K769" i="7"/>
  <c r="G771" i="7"/>
  <c r="H772" i="7"/>
  <c r="I773" i="7"/>
  <c r="J774" i="7"/>
  <c r="K775" i="7"/>
  <c r="G777" i="7"/>
  <c r="H778" i="7"/>
  <c r="I779" i="7"/>
  <c r="J780" i="7"/>
  <c r="K781" i="7"/>
  <c r="G783" i="7"/>
  <c r="H784" i="7"/>
  <c r="I785" i="7"/>
  <c r="J786" i="7"/>
  <c r="K787" i="7"/>
  <c r="G789" i="7"/>
  <c r="H790" i="7"/>
  <c r="I791" i="7"/>
  <c r="J792" i="7"/>
  <c r="K793" i="7"/>
  <c r="G795" i="7"/>
  <c r="H796" i="7"/>
  <c r="I797" i="7"/>
  <c r="K692" i="7"/>
  <c r="G700" i="7"/>
  <c r="H707" i="7"/>
  <c r="I714" i="7"/>
  <c r="J721" i="7"/>
  <c r="K728" i="7"/>
  <c r="G736" i="7"/>
  <c r="H743" i="7"/>
  <c r="I750" i="7"/>
  <c r="J757" i="7"/>
  <c r="K764" i="7"/>
  <c r="G772" i="7"/>
  <c r="H779" i="7"/>
  <c r="I786" i="7"/>
  <c r="J793" i="7"/>
  <c r="H798" i="7"/>
  <c r="I799" i="7"/>
  <c r="J800" i="7"/>
  <c r="K801" i="7"/>
  <c r="G803" i="7"/>
  <c r="H804" i="7"/>
  <c r="I805" i="7"/>
  <c r="J806" i="7"/>
  <c r="K807" i="7"/>
  <c r="G809" i="7"/>
  <c r="H810" i="7"/>
  <c r="I811" i="7"/>
  <c r="J812" i="7"/>
  <c r="K813" i="7"/>
  <c r="G815" i="7"/>
  <c r="H816" i="7"/>
  <c r="I817" i="7"/>
  <c r="J818" i="7"/>
  <c r="K819" i="7"/>
  <c r="G821" i="7"/>
  <c r="H822" i="7"/>
  <c r="I823" i="7"/>
  <c r="J824" i="7"/>
  <c r="K825" i="7"/>
  <c r="G827" i="7"/>
  <c r="H828" i="7"/>
  <c r="I829" i="7"/>
  <c r="J830" i="7"/>
  <c r="K831" i="7"/>
  <c r="G833" i="7"/>
  <c r="H834" i="7"/>
  <c r="I835" i="7"/>
  <c r="J836" i="7"/>
  <c r="K837" i="7"/>
  <c r="G839" i="7"/>
  <c r="H840" i="7"/>
  <c r="I841" i="7"/>
  <c r="J842" i="7"/>
  <c r="K686" i="7"/>
  <c r="G694" i="7"/>
  <c r="H701" i="7"/>
  <c r="I708" i="7"/>
  <c r="J715" i="7"/>
  <c r="K722" i="7"/>
  <c r="G730" i="7"/>
  <c r="H737" i="7"/>
  <c r="I744" i="7"/>
  <c r="J751" i="7"/>
  <c r="K758" i="7"/>
  <c r="G766" i="7"/>
  <c r="H773" i="7"/>
  <c r="I780" i="7"/>
  <c r="J787" i="7"/>
  <c r="K794" i="7"/>
  <c r="I798" i="7"/>
  <c r="J799" i="7"/>
  <c r="K800" i="7"/>
  <c r="G802" i="7"/>
  <c r="H803" i="7"/>
  <c r="I804" i="7"/>
  <c r="J805" i="7"/>
  <c r="K806" i="7"/>
  <c r="G808" i="7"/>
  <c r="H809" i="7"/>
  <c r="I810" i="7"/>
  <c r="J811" i="7"/>
  <c r="K812" i="7"/>
  <c r="G814" i="7"/>
  <c r="H815" i="7"/>
  <c r="I816" i="7"/>
  <c r="J817" i="7"/>
  <c r="K818" i="7"/>
  <c r="G820" i="7"/>
  <c r="H821" i="7"/>
  <c r="I822" i="7"/>
  <c r="J823" i="7"/>
  <c r="K824" i="7"/>
  <c r="G826" i="7"/>
  <c r="H827" i="7"/>
  <c r="I828" i="7"/>
  <c r="J829" i="7"/>
  <c r="K830" i="7"/>
  <c r="G832" i="7"/>
  <c r="H833" i="7"/>
  <c r="I834" i="7"/>
  <c r="J835" i="7"/>
  <c r="K836" i="7"/>
  <c r="G838" i="7"/>
  <c r="H839" i="7"/>
  <c r="I840" i="7"/>
  <c r="J841" i="7"/>
  <c r="K842" i="7"/>
  <c r="G844" i="7"/>
  <c r="H845" i="7"/>
  <c r="I846" i="7"/>
  <c r="J847" i="7"/>
  <c r="K848" i="7"/>
  <c r="G850" i="7"/>
  <c r="H851" i="7"/>
  <c r="I852" i="7"/>
  <c r="J853" i="7"/>
  <c r="K854" i="7"/>
  <c r="G856" i="7"/>
  <c r="H857" i="7"/>
  <c r="I858" i="7"/>
  <c r="J859" i="7"/>
  <c r="K860" i="7"/>
  <c r="G862" i="7"/>
  <c r="H863" i="7"/>
  <c r="J697" i="7"/>
  <c r="I726" i="7"/>
  <c r="G748" i="7"/>
  <c r="J769" i="7"/>
  <c r="H791" i="7"/>
  <c r="H800" i="7"/>
  <c r="K803" i="7"/>
  <c r="I807" i="7"/>
  <c r="G811" i="7"/>
  <c r="I813" i="7"/>
  <c r="G817" i="7"/>
  <c r="J820" i="7"/>
  <c r="I825" i="7"/>
  <c r="G829" i="7"/>
  <c r="K833" i="7"/>
  <c r="J838" i="7"/>
  <c r="I843" i="7"/>
  <c r="G847" i="7"/>
  <c r="J850" i="7"/>
  <c r="H854" i="7"/>
  <c r="K857" i="7"/>
  <c r="I861" i="7"/>
  <c r="G688" i="7"/>
  <c r="H695" i="7"/>
  <c r="I702" i="7"/>
  <c r="J709" i="7"/>
  <c r="K716" i="7"/>
  <c r="G724" i="7"/>
  <c r="H731" i="7"/>
  <c r="I738" i="7"/>
  <c r="J745" i="7"/>
  <c r="K752" i="7"/>
  <c r="G760" i="7"/>
  <c r="H767" i="7"/>
  <c r="I774" i="7"/>
  <c r="J781" i="7"/>
  <c r="K788" i="7"/>
  <c r="G796" i="7"/>
  <c r="J798" i="7"/>
  <c r="K799" i="7"/>
  <c r="G801" i="7"/>
  <c r="H802" i="7"/>
  <c r="I803" i="7"/>
  <c r="J804" i="7"/>
  <c r="K805" i="7"/>
  <c r="G807" i="7"/>
  <c r="H808" i="7"/>
  <c r="I809" i="7"/>
  <c r="J810" i="7"/>
  <c r="K811" i="7"/>
  <c r="G813" i="7"/>
  <c r="H814" i="7"/>
  <c r="I815" i="7"/>
  <c r="J816" i="7"/>
  <c r="K817" i="7"/>
  <c r="G819" i="7"/>
  <c r="H820" i="7"/>
  <c r="I821" i="7"/>
  <c r="J822" i="7"/>
  <c r="K823" i="7"/>
  <c r="G825" i="7"/>
  <c r="H826" i="7"/>
  <c r="I827" i="7"/>
  <c r="J828" i="7"/>
  <c r="K829" i="7"/>
  <c r="G831" i="7"/>
  <c r="H832" i="7"/>
  <c r="I833" i="7"/>
  <c r="J834" i="7"/>
  <c r="K835" i="7"/>
  <c r="G837" i="7"/>
  <c r="H838" i="7"/>
  <c r="I839" i="7"/>
  <c r="J840" i="7"/>
  <c r="K841" i="7"/>
  <c r="G843" i="7"/>
  <c r="H844" i="7"/>
  <c r="I845" i="7"/>
  <c r="J846" i="7"/>
  <c r="K847" i="7"/>
  <c r="G849" i="7"/>
  <c r="H850" i="7"/>
  <c r="I851" i="7"/>
  <c r="J852" i="7"/>
  <c r="K853" i="7"/>
  <c r="G855" i="7"/>
  <c r="H856" i="7"/>
  <c r="I857" i="7"/>
  <c r="J858" i="7"/>
  <c r="K859" i="7"/>
  <c r="G861" i="7"/>
  <c r="H862" i="7"/>
  <c r="I863" i="7"/>
  <c r="I690" i="7"/>
  <c r="G712" i="7"/>
  <c r="K740" i="7"/>
  <c r="I762" i="7"/>
  <c r="G784" i="7"/>
  <c r="G799" i="7"/>
  <c r="I801" i="7"/>
  <c r="G805" i="7"/>
  <c r="J808" i="7"/>
  <c r="H812" i="7"/>
  <c r="K815" i="7"/>
  <c r="I819" i="7"/>
  <c r="H824" i="7"/>
  <c r="K827" i="7"/>
  <c r="J832" i="7"/>
  <c r="I837" i="7"/>
  <c r="H842" i="7"/>
  <c r="K845" i="7"/>
  <c r="I849" i="7"/>
  <c r="G853" i="7"/>
  <c r="J856" i="7"/>
  <c r="H860" i="7"/>
  <c r="K863" i="7"/>
  <c r="H689" i="7"/>
  <c r="I696" i="7"/>
  <c r="J703" i="7"/>
  <c r="K710" i="7"/>
  <c r="G718" i="7"/>
  <c r="H725" i="7"/>
  <c r="I732" i="7"/>
  <c r="J739" i="7"/>
  <c r="K746" i="7"/>
  <c r="G754" i="7"/>
  <c r="H761" i="7"/>
  <c r="I768" i="7"/>
  <c r="J775" i="7"/>
  <c r="K782" i="7"/>
  <c r="G790" i="7"/>
  <c r="H797" i="7"/>
  <c r="K798" i="7"/>
  <c r="G800" i="7"/>
  <c r="H801" i="7"/>
  <c r="I802" i="7"/>
  <c r="J803" i="7"/>
  <c r="K804" i="7"/>
  <c r="G806" i="7"/>
  <c r="H807" i="7"/>
  <c r="I808" i="7"/>
  <c r="J809" i="7"/>
  <c r="K810" i="7"/>
  <c r="G812" i="7"/>
  <c r="H813" i="7"/>
  <c r="I814" i="7"/>
  <c r="J815" i="7"/>
  <c r="K816" i="7"/>
  <c r="G818" i="7"/>
  <c r="H819" i="7"/>
  <c r="I820" i="7"/>
  <c r="J821" i="7"/>
  <c r="K822" i="7"/>
  <c r="G824" i="7"/>
  <c r="H825" i="7"/>
  <c r="I826" i="7"/>
  <c r="J827" i="7"/>
  <c r="K828" i="7"/>
  <c r="G830" i="7"/>
  <c r="H831" i="7"/>
  <c r="I832" i="7"/>
  <c r="J833" i="7"/>
  <c r="K834" i="7"/>
  <c r="G836" i="7"/>
  <c r="H837" i="7"/>
  <c r="I838" i="7"/>
  <c r="J839" i="7"/>
  <c r="K840" i="7"/>
  <c r="G842" i="7"/>
  <c r="H843" i="7"/>
  <c r="I844" i="7"/>
  <c r="J845" i="7"/>
  <c r="K846" i="7"/>
  <c r="G848" i="7"/>
  <c r="H849" i="7"/>
  <c r="I850" i="7"/>
  <c r="J851" i="7"/>
  <c r="K852" i="7"/>
  <c r="G854" i="7"/>
  <c r="H855" i="7"/>
  <c r="I856" i="7"/>
  <c r="J857" i="7"/>
  <c r="K858" i="7"/>
  <c r="G860" i="7"/>
  <c r="H861" i="7"/>
  <c r="I862" i="7"/>
  <c r="J863" i="7"/>
  <c r="K704" i="7"/>
  <c r="H719" i="7"/>
  <c r="J733" i="7"/>
  <c r="H755" i="7"/>
  <c r="K776" i="7"/>
  <c r="K797" i="7"/>
  <c r="J802" i="7"/>
  <c r="H806" i="7"/>
  <c r="K809" i="7"/>
  <c r="J814" i="7"/>
  <c r="H818" i="7"/>
  <c r="K821" i="7"/>
  <c r="J826" i="7"/>
  <c r="H830" i="7"/>
  <c r="G835" i="7"/>
  <c r="K839" i="7"/>
  <c r="J691" i="7"/>
  <c r="K698" i="7"/>
  <c r="G706" i="7"/>
  <c r="H713" i="7"/>
  <c r="I720" i="7"/>
  <c r="J727" i="7"/>
  <c r="K734" i="7"/>
  <c r="G742" i="7"/>
  <c r="H749" i="7"/>
  <c r="I756" i="7"/>
  <c r="J763" i="7"/>
  <c r="K770" i="7"/>
  <c r="G778" i="7"/>
  <c r="H785" i="7"/>
  <c r="I792" i="7"/>
  <c r="G798" i="7"/>
  <c r="H799" i="7"/>
  <c r="I800" i="7"/>
  <c r="J801" i="7"/>
  <c r="K802" i="7"/>
  <c r="G804" i="7"/>
  <c r="H805" i="7"/>
  <c r="I806" i="7"/>
  <c r="J807" i="7"/>
  <c r="K808" i="7"/>
  <c r="G810" i="7"/>
  <c r="H811" i="7"/>
  <c r="I812" i="7"/>
  <c r="J813" i="7"/>
  <c r="K814" i="7"/>
  <c r="G816" i="7"/>
  <c r="H817" i="7"/>
  <c r="I818" i="7"/>
  <c r="J819" i="7"/>
  <c r="K820" i="7"/>
  <c r="G822" i="7"/>
  <c r="H823" i="7"/>
  <c r="I824" i="7"/>
  <c r="J825" i="7"/>
  <c r="K826" i="7"/>
  <c r="G828" i="7"/>
  <c r="H829" i="7"/>
  <c r="I830" i="7"/>
  <c r="J831" i="7"/>
  <c r="K832" i="7"/>
  <c r="G834" i="7"/>
  <c r="H835" i="7"/>
  <c r="I836" i="7"/>
  <c r="J837" i="7"/>
  <c r="K838" i="7"/>
  <c r="G840" i="7"/>
  <c r="H841" i="7"/>
  <c r="I842" i="7"/>
  <c r="J843" i="7"/>
  <c r="K844" i="7"/>
  <c r="G846" i="7"/>
  <c r="H847" i="7"/>
  <c r="I848" i="7"/>
  <c r="J849" i="7"/>
  <c r="K850" i="7"/>
  <c r="G852" i="7"/>
  <c r="H853" i="7"/>
  <c r="I854" i="7"/>
  <c r="J855" i="7"/>
  <c r="K856" i="7"/>
  <c r="G858" i="7"/>
  <c r="H859" i="7"/>
  <c r="I860" i="7"/>
  <c r="J861" i="7"/>
  <c r="K862" i="7"/>
  <c r="K843" i="7"/>
  <c r="G845" i="7"/>
  <c r="H846" i="7"/>
  <c r="I847" i="7"/>
  <c r="J848" i="7"/>
  <c r="K849" i="7"/>
  <c r="G851" i="7"/>
  <c r="H852" i="7"/>
  <c r="I853" i="7"/>
  <c r="J854" i="7"/>
  <c r="K855" i="7"/>
  <c r="G857" i="7"/>
  <c r="H858" i="7"/>
  <c r="I859" i="7"/>
  <c r="J860" i="7"/>
  <c r="K861" i="7"/>
  <c r="G863" i="7"/>
  <c r="G823" i="7"/>
  <c r="I831" i="7"/>
  <c r="H836" i="7"/>
  <c r="G841" i="7"/>
  <c r="J844" i="7"/>
  <c r="H848" i="7"/>
  <c r="K851" i="7"/>
  <c r="I855" i="7"/>
  <c r="G859" i="7"/>
  <c r="J862" i="7"/>
  <c r="K4" i="7"/>
  <c r="J4" i="7"/>
  <c r="I4" i="7"/>
  <c r="H4" i="7"/>
  <c r="G4" i="7"/>
  <c r="M7" i="43"/>
  <c r="AC7" i="43" s="1"/>
  <c r="K8" i="43"/>
  <c r="AA8" i="43" s="1"/>
  <c r="L8" i="43"/>
  <c r="AB8" i="43" s="1"/>
  <c r="AE51" i="7"/>
  <c r="L18" i="43"/>
  <c r="X18" i="43" s="1"/>
  <c r="L7" i="43"/>
  <c r="AB7" i="43" s="1"/>
  <c r="K18" i="43"/>
  <c r="W18" i="43" s="1"/>
  <c r="N8" i="15"/>
  <c r="DZ27" i="24"/>
  <c r="M18" i="43"/>
  <c r="AC18" i="43" s="1"/>
  <c r="M8" i="43"/>
  <c r="Y8" i="43" s="1"/>
  <c r="K19" i="43"/>
  <c r="AA19" i="43" s="1"/>
  <c r="Y64" i="43"/>
  <c r="AC64" i="43"/>
  <c r="L19" i="43"/>
  <c r="X19" i="43" s="1"/>
  <c r="M19" i="43"/>
  <c r="Y19" i="43" s="1"/>
  <c r="W64" i="43"/>
  <c r="AA64" i="43"/>
  <c r="X64" i="43"/>
  <c r="AB64" i="43"/>
  <c r="Y34" i="43"/>
  <c r="AC34" i="43"/>
  <c r="W5" i="43"/>
  <c r="AA5" i="43"/>
  <c r="W9" i="43"/>
  <c r="AA9" i="43"/>
  <c r="Y11" i="43"/>
  <c r="AC11" i="43"/>
  <c r="W12" i="43"/>
  <c r="AA12" i="43"/>
  <c r="Y14" i="43"/>
  <c r="AC14" i="43"/>
  <c r="W15" i="43"/>
  <c r="AA15" i="43"/>
  <c r="Y17" i="43"/>
  <c r="AC17" i="43"/>
  <c r="X28" i="43"/>
  <c r="AB28" i="43"/>
  <c r="AB22" i="43"/>
  <c r="X22" i="43"/>
  <c r="X25" i="43"/>
  <c r="AB25" i="43"/>
  <c r="X32" i="43"/>
  <c r="AB32" i="43"/>
  <c r="AB50" i="43"/>
  <c r="X50" i="43"/>
  <c r="AA49" i="43"/>
  <c r="W49" i="43"/>
  <c r="Y47" i="43"/>
  <c r="AC47" i="43"/>
  <c r="AC45" i="43"/>
  <c r="Y45" i="43"/>
  <c r="W42" i="43"/>
  <c r="AA42" i="43"/>
  <c r="Y37" i="43"/>
  <c r="AC37" i="43"/>
  <c r="X38" i="43"/>
  <c r="AB38" i="43"/>
  <c r="W39" i="43"/>
  <c r="AA39" i="43"/>
  <c r="X5" i="43"/>
  <c r="AB5" i="43"/>
  <c r="X9" i="43"/>
  <c r="AB9" i="43"/>
  <c r="X12" i="43"/>
  <c r="AB12" i="43"/>
  <c r="X15" i="43"/>
  <c r="AB15" i="43"/>
  <c r="Y28" i="43"/>
  <c r="AC28" i="43"/>
  <c r="W29" i="43"/>
  <c r="AA29" i="43"/>
  <c r="Y22" i="43"/>
  <c r="AC22" i="43"/>
  <c r="W23" i="43"/>
  <c r="AA23" i="43"/>
  <c r="Y25" i="43"/>
  <c r="AC25" i="43"/>
  <c r="W26" i="43"/>
  <c r="AA26" i="43"/>
  <c r="Y32" i="43"/>
  <c r="AC32" i="43"/>
  <c r="Y50" i="43"/>
  <c r="AC50" i="43"/>
  <c r="AB49" i="43"/>
  <c r="X49" i="43"/>
  <c r="AB42" i="43"/>
  <c r="X42" i="43"/>
  <c r="W43" i="43"/>
  <c r="AA43" i="43"/>
  <c r="Y38" i="43"/>
  <c r="AC38" i="43"/>
  <c r="X39" i="43"/>
  <c r="AB39" i="43"/>
  <c r="W40" i="43"/>
  <c r="AA40" i="43"/>
  <c r="W33" i="43"/>
  <c r="AA33" i="43"/>
  <c r="W35" i="43"/>
  <c r="AA35" i="43"/>
  <c r="D65" i="24"/>
  <c r="M5" i="43"/>
  <c r="W6" i="43"/>
  <c r="AA6" i="43"/>
  <c r="Y9" i="43"/>
  <c r="AC9" i="43"/>
  <c r="W10" i="43"/>
  <c r="AA10" i="43"/>
  <c r="Y12" i="43"/>
  <c r="AC12" i="43"/>
  <c r="W13" i="43"/>
  <c r="AA13" i="43"/>
  <c r="Y15" i="43"/>
  <c r="AC15" i="43"/>
  <c r="W16" i="43"/>
  <c r="AA16" i="43"/>
  <c r="X29" i="43"/>
  <c r="AB29" i="43"/>
  <c r="X23" i="43"/>
  <c r="AB23" i="43"/>
  <c r="X26" i="43"/>
  <c r="AB26" i="43"/>
  <c r="Y49" i="43"/>
  <c r="AC49" i="43"/>
  <c r="AA46" i="43"/>
  <c r="W46" i="43"/>
  <c r="Y42" i="43"/>
  <c r="AC42" i="43"/>
  <c r="X43" i="43"/>
  <c r="AB43" i="43"/>
  <c r="W44" i="43"/>
  <c r="AA44" i="43"/>
  <c r="Y39" i="43"/>
  <c r="AC39" i="43"/>
  <c r="X40" i="43"/>
  <c r="AB40" i="43"/>
  <c r="W41" i="43"/>
  <c r="AA41" i="43"/>
  <c r="X33" i="43"/>
  <c r="AB33" i="43"/>
  <c r="X35" i="43"/>
  <c r="AB35" i="43"/>
  <c r="X6" i="43"/>
  <c r="AB6" i="43"/>
  <c r="X10" i="43"/>
  <c r="AB10" i="43"/>
  <c r="X13" i="43"/>
  <c r="AB13" i="43"/>
  <c r="X16" i="43"/>
  <c r="AB16" i="43"/>
  <c r="Y29" i="43"/>
  <c r="AC29" i="43"/>
  <c r="W30" i="43"/>
  <c r="AA30" i="43"/>
  <c r="Y23" i="43"/>
  <c r="AC23" i="43"/>
  <c r="W24" i="43"/>
  <c r="AA24" i="43"/>
  <c r="Y26" i="43"/>
  <c r="AC26" i="43"/>
  <c r="W27" i="43"/>
  <c r="AA27" i="43"/>
  <c r="W31" i="43"/>
  <c r="AA31" i="43"/>
  <c r="W51" i="43"/>
  <c r="AA51" i="43"/>
  <c r="AB46" i="43"/>
  <c r="X46" i="43"/>
  <c r="Y43" i="43"/>
  <c r="AC43" i="43"/>
  <c r="X44" i="43"/>
  <c r="AB44" i="43"/>
  <c r="W36" i="43"/>
  <c r="AA36" i="43"/>
  <c r="Y40" i="43"/>
  <c r="AC40" i="43"/>
  <c r="X41" i="43"/>
  <c r="AB41" i="43"/>
  <c r="Y33" i="43"/>
  <c r="AC33" i="43"/>
  <c r="W34" i="43"/>
  <c r="AA34" i="43"/>
  <c r="Y35" i="43"/>
  <c r="AC35" i="43"/>
  <c r="W7" i="43"/>
  <c r="AA7" i="43"/>
  <c r="Y6" i="43"/>
  <c r="AC6" i="43"/>
  <c r="AC10" i="43"/>
  <c r="Y10" i="43"/>
  <c r="W11" i="43"/>
  <c r="AA11" i="43"/>
  <c r="AC13" i="43"/>
  <c r="Y13" i="43"/>
  <c r="AA14" i="43"/>
  <c r="W14" i="43"/>
  <c r="Y16" i="43"/>
  <c r="AC16" i="43"/>
  <c r="AA17" i="43"/>
  <c r="W17" i="43"/>
  <c r="X30" i="43"/>
  <c r="AB30" i="43"/>
  <c r="X24" i="43"/>
  <c r="AB24" i="43"/>
  <c r="X27" i="43"/>
  <c r="AB27" i="43"/>
  <c r="X31" i="43"/>
  <c r="AB31" i="43"/>
  <c r="AB51" i="43"/>
  <c r="X51" i="43"/>
  <c r="W47" i="43"/>
  <c r="AA47" i="43"/>
  <c r="Y46" i="43"/>
  <c r="AC46" i="43"/>
  <c r="W45" i="43"/>
  <c r="AA45" i="43"/>
  <c r="Y44" i="43"/>
  <c r="AC44" i="43"/>
  <c r="AB36" i="43"/>
  <c r="X36" i="43"/>
  <c r="W37" i="43"/>
  <c r="AA37" i="43"/>
  <c r="Y41" i="43"/>
  <c r="AC41" i="43"/>
  <c r="X34" i="43"/>
  <c r="AB34" i="43"/>
  <c r="X11" i="43"/>
  <c r="AB11" i="43"/>
  <c r="X14" i="43"/>
  <c r="AB14" i="43"/>
  <c r="X17" i="43"/>
  <c r="AB17" i="43"/>
  <c r="AA28" i="43"/>
  <c r="W28" i="43"/>
  <c r="Y30" i="43"/>
  <c r="AC30" i="43"/>
  <c r="W22" i="43"/>
  <c r="AA22" i="43"/>
  <c r="Y24" i="43"/>
  <c r="AC24" i="43"/>
  <c r="W25" i="43"/>
  <c r="AA25" i="43"/>
  <c r="Y27" i="43"/>
  <c r="AC27" i="43"/>
  <c r="Y31" i="43"/>
  <c r="AC31" i="43"/>
  <c r="AA32" i="43"/>
  <c r="W32" i="43"/>
  <c r="Y51" i="43"/>
  <c r="AC51" i="43"/>
  <c r="W50" i="43"/>
  <c r="AA50" i="43"/>
  <c r="AB47" i="43"/>
  <c r="X47" i="43"/>
  <c r="AB45" i="43"/>
  <c r="X45" i="43"/>
  <c r="Y36" i="43"/>
  <c r="AC36" i="43"/>
  <c r="X37" i="43"/>
  <c r="AB37" i="43"/>
  <c r="W38" i="43"/>
  <c r="AA38" i="43"/>
  <c r="AD10" i="7"/>
  <c r="R33" i="41"/>
  <c r="R32" i="41"/>
  <c r="C49" i="15"/>
  <c r="W8" i="15"/>
  <c r="F41" i="15"/>
  <c r="F42" i="15" s="1"/>
  <c r="F43" i="15" s="1"/>
  <c r="C40" i="15" s="1"/>
  <c r="U15" i="15"/>
  <c r="I25" i="15"/>
  <c r="J25" i="15" s="1"/>
  <c r="I8" i="15"/>
  <c r="I28" i="15"/>
  <c r="J28" i="15" s="1"/>
  <c r="I31" i="15"/>
  <c r="J31" i="15" s="1"/>
  <c r="I35" i="15"/>
  <c r="D66" i="15"/>
  <c r="U14" i="15"/>
  <c r="I5" i="15"/>
  <c r="H20" i="15"/>
  <c r="H21" i="15" s="1"/>
  <c r="C48" i="15" s="1"/>
  <c r="AA23" i="27" s="1"/>
  <c r="U8" i="15"/>
  <c r="I26" i="15"/>
  <c r="J26" i="15" s="1"/>
  <c r="I30" i="15"/>
  <c r="J30" i="15" s="1"/>
  <c r="I33" i="15"/>
  <c r="J33" i="15" s="1"/>
  <c r="M26" i="6"/>
  <c r="D4" i="25"/>
  <c r="BO66" i="24"/>
  <c r="AA36" i="1"/>
  <c r="M27" i="6"/>
  <c r="H26" i="6"/>
  <c r="H27" i="6"/>
  <c r="C26" i="6"/>
  <c r="C34" i="25"/>
  <c r="I97" i="25"/>
  <c r="J26" i="34"/>
  <c r="C27" i="6"/>
  <c r="D44" i="1"/>
  <c r="T3" i="6"/>
  <c r="D36" i="27"/>
  <c r="AS12" i="27"/>
  <c r="BF13" i="27" s="1"/>
  <c r="AS14" i="27" s="1"/>
  <c r="C33" i="25"/>
  <c r="AZ13" i="6"/>
  <c r="AZ14" i="6"/>
  <c r="C33" i="6"/>
  <c r="AZ8" i="6"/>
  <c r="T67" i="6"/>
  <c r="AB5" i="6"/>
  <c r="Q4" i="31"/>
  <c r="D37" i="24"/>
  <c r="AC15" i="25"/>
  <c r="M20" i="6"/>
  <c r="M45" i="6" s="1"/>
  <c r="X5" i="6"/>
  <c r="H20" i="6"/>
  <c r="H44" i="6" s="1"/>
  <c r="DY40" i="24"/>
  <c r="EA41" i="24" s="1"/>
  <c r="D11" i="24"/>
  <c r="X3" i="6"/>
  <c r="AB3" i="6"/>
  <c r="C80" i="25"/>
  <c r="L54" i="24" s="1"/>
  <c r="I76" i="25"/>
  <c r="J5" i="25"/>
  <c r="X57" i="24"/>
  <c r="D23" i="34"/>
  <c r="AC8" i="25"/>
  <c r="AC13" i="25"/>
  <c r="AA34" i="24"/>
  <c r="K19" i="34"/>
  <c r="Q18" i="31"/>
  <c r="AB25" i="31" s="1"/>
  <c r="J65" i="25"/>
  <c r="J79" i="25"/>
  <c r="D22" i="34"/>
  <c r="I15" i="25"/>
  <c r="I88" i="25"/>
  <c r="J80" i="25"/>
  <c r="J67" i="25"/>
  <c r="Q23" i="31"/>
  <c r="I72" i="25"/>
  <c r="AB13" i="31"/>
  <c r="C81" i="25"/>
  <c r="L55" i="24" s="1"/>
  <c r="D33" i="15"/>
  <c r="E33" i="15" s="1"/>
  <c r="C36" i="15"/>
  <c r="D34" i="15"/>
  <c r="E34" i="15" s="1"/>
  <c r="C33" i="15"/>
  <c r="D32" i="15"/>
  <c r="E32" i="15" s="1"/>
  <c r="D35" i="15"/>
  <c r="E35" i="15" s="1"/>
  <c r="C34" i="15"/>
  <c r="C32" i="15"/>
  <c r="D36" i="15"/>
  <c r="E36" i="15" s="1"/>
  <c r="C35" i="15"/>
  <c r="C31" i="15"/>
  <c r="E31" i="15"/>
  <c r="C42" i="15" s="1"/>
  <c r="C46" i="25"/>
  <c r="C44" i="25"/>
  <c r="D42" i="25"/>
  <c r="C83" i="25" s="1"/>
  <c r="L57" i="24" s="1"/>
  <c r="C42" i="25"/>
  <c r="D46" i="25"/>
  <c r="C87" i="25" s="1"/>
  <c r="L61" i="24" s="1"/>
  <c r="D44" i="25"/>
  <c r="C85" i="25" s="1"/>
  <c r="L59" i="24" s="1"/>
  <c r="C22" i="25"/>
  <c r="E59" i="25"/>
  <c r="D45" i="25"/>
  <c r="C45" i="25"/>
  <c r="D43" i="25"/>
  <c r="C84" i="25" s="1"/>
  <c r="L58" i="24" s="1"/>
  <c r="C41" i="25"/>
  <c r="C43" i="25"/>
  <c r="D22" i="25"/>
  <c r="K1" i="7"/>
  <c r="C45" i="6"/>
  <c r="D43" i="6"/>
  <c r="D41" i="6"/>
  <c r="C40" i="6"/>
  <c r="H21" i="6"/>
  <c r="C44" i="6"/>
  <c r="M21" i="6"/>
  <c r="C43" i="6"/>
  <c r="C41" i="6"/>
  <c r="E41" i="6" s="1"/>
  <c r="D44" i="6"/>
  <c r="CI43" i="6" s="1"/>
  <c r="D21" i="6"/>
  <c r="E58" i="6"/>
  <c r="D42" i="6"/>
  <c r="C21" i="6"/>
  <c r="D45" i="6"/>
  <c r="C42" i="6"/>
  <c r="AR12" i="1"/>
  <c r="BE13" i="1" s="1"/>
  <c r="X65" i="6"/>
  <c r="X56" i="24"/>
  <c r="K10" i="27"/>
  <c r="K12" i="24"/>
  <c r="K13" i="24"/>
  <c r="K11" i="24"/>
  <c r="D12" i="24"/>
  <c r="D14" i="24"/>
  <c r="K10" i="24"/>
  <c r="D13" i="24"/>
  <c r="M14" i="15"/>
  <c r="D10" i="1"/>
  <c r="J3" i="6"/>
  <c r="W114" i="6" s="1"/>
  <c r="D10" i="24"/>
  <c r="D15" i="24"/>
  <c r="K20" i="24"/>
  <c r="AN23" i="24"/>
  <c r="BR25" i="24"/>
  <c r="E3" i="25"/>
  <c r="K10" i="1"/>
  <c r="I4" i="6"/>
  <c r="W25" i="6" s="1"/>
  <c r="D11" i="1"/>
  <c r="E3" i="6"/>
  <c r="D12" i="1"/>
  <c r="AM23" i="1"/>
  <c r="O3" i="6"/>
  <c r="D4" i="6"/>
  <c r="S25" i="6" s="1"/>
  <c r="N4" i="6"/>
  <c r="AA25" i="6" s="1"/>
  <c r="K11" i="1"/>
  <c r="BQ26" i="1"/>
  <c r="AD34" i="7"/>
  <c r="AH11" i="7"/>
  <c r="AC49" i="7"/>
  <c r="AG4" i="7"/>
  <c r="AG25" i="7"/>
  <c r="AG10" i="7"/>
  <c r="AF5" i="7"/>
  <c r="AH7" i="7"/>
  <c r="AG15" i="7"/>
  <c r="AE10" i="7"/>
  <c r="AE5" i="7"/>
  <c r="AE4" i="7"/>
  <c r="AE29" i="7"/>
  <c r="AE14" i="7"/>
  <c r="AE28" i="7"/>
  <c r="AE24" i="7"/>
  <c r="AE20" i="7"/>
  <c r="AE18" i="7"/>
  <c r="AE17" i="7"/>
  <c r="AE16" i="7"/>
  <c r="AE26" i="7"/>
  <c r="AE22" i="7"/>
  <c r="AG9" i="7"/>
  <c r="AG18" i="7"/>
  <c r="AG23" i="7"/>
  <c r="AF4" i="7"/>
  <c r="AD5" i="7"/>
  <c r="AH9" i="7"/>
  <c r="AG11" i="7"/>
  <c r="AH15" i="7"/>
  <c r="AH19" i="7"/>
  <c r="AH23" i="7"/>
  <c r="AH27" i="7"/>
  <c r="AI4" i="7"/>
  <c r="AG13" i="7"/>
  <c r="AG21" i="7"/>
  <c r="AH13" i="7"/>
  <c r="AH21" i="7"/>
  <c r="AE37" i="7"/>
  <c r="AG29" i="7"/>
  <c r="AD4" i="7"/>
  <c r="AE58" i="7"/>
  <c r="AE48" i="7" s="1"/>
  <c r="AF29" i="7" s="1"/>
  <c r="AI10" i="7"/>
  <c r="AG19" i="7"/>
  <c r="AE25" i="7"/>
  <c r="AE15" i="7"/>
  <c r="AE11" i="7"/>
  <c r="AE7" i="7"/>
  <c r="AE6" i="7"/>
  <c r="AE8" i="7"/>
  <c r="AG28" i="7"/>
  <c r="AG26" i="7"/>
  <c r="AG24" i="7"/>
  <c r="AG16" i="7"/>
  <c r="AG14" i="7"/>
  <c r="AG22" i="7"/>
  <c r="AG20" i="7"/>
  <c r="AG17" i="7"/>
  <c r="AE57" i="7"/>
  <c r="AE47" i="7" s="1"/>
  <c r="AF10" i="7" s="1"/>
  <c r="AH10" i="7"/>
  <c r="AH4" i="7"/>
  <c r="AH5" i="7"/>
  <c r="AI6" i="7"/>
  <c r="AD12" i="7"/>
  <c r="AD14" i="7"/>
  <c r="AD16" i="7"/>
  <c r="AD20" i="7"/>
  <c r="AD22" i="7"/>
  <c r="AD24" i="7"/>
  <c r="AD26" i="7"/>
  <c r="AH28" i="7"/>
  <c r="AH26" i="7"/>
  <c r="AH24" i="7"/>
  <c r="AH22" i="7"/>
  <c r="AH20" i="7"/>
  <c r="AH16" i="7"/>
  <c r="AH14" i="7"/>
  <c r="AH17" i="7"/>
  <c r="AH18" i="7"/>
  <c r="AE50" i="7"/>
  <c r="AF37" i="7" s="1"/>
  <c r="AD33" i="7"/>
  <c r="AI25" i="7"/>
  <c r="AI15" i="7"/>
  <c r="AI11" i="7"/>
  <c r="AI7" i="7"/>
  <c r="AD6" i="7"/>
  <c r="AG12" i="7"/>
  <c r="AG6" i="7"/>
  <c r="AG8" i="7"/>
  <c r="AI17" i="7"/>
  <c r="AI18" i="7"/>
  <c r="AI29" i="7"/>
  <c r="AI27" i="7"/>
  <c r="AI23" i="7"/>
  <c r="AI21" i="7"/>
  <c r="AI19" i="7"/>
  <c r="AI13" i="7"/>
  <c r="AI9" i="7"/>
  <c r="AE33" i="7"/>
  <c r="AE36" i="7"/>
  <c r="AE34" i="7"/>
  <c r="AD18" i="7"/>
  <c r="AD21" i="7"/>
  <c r="AD19" i="7"/>
  <c r="AD9" i="7"/>
  <c r="AD29" i="7"/>
  <c r="AD27" i="7"/>
  <c r="AD23" i="7"/>
  <c r="AD13" i="7"/>
  <c r="AD7" i="7"/>
  <c r="AD25" i="7"/>
  <c r="AD15" i="7"/>
  <c r="AD11" i="7"/>
  <c r="AE12" i="7"/>
  <c r="AI12" i="7"/>
  <c r="AI14" i="7"/>
  <c r="AI16" i="7"/>
  <c r="AD17" i="7"/>
  <c r="AI20" i="7"/>
  <c r="AI22" i="7"/>
  <c r="AI24" i="7"/>
  <c r="AI26" i="7"/>
  <c r="AI28" i="7"/>
  <c r="AH12" i="7"/>
  <c r="AH8" i="7"/>
  <c r="AH6" i="7"/>
  <c r="AE9" i="7"/>
  <c r="AE13" i="7"/>
  <c r="AE19" i="7"/>
  <c r="AE21" i="7"/>
  <c r="AE23" i="7"/>
  <c r="AE27" i="7"/>
  <c r="EH20" i="24"/>
  <c r="EH28" i="24" s="1"/>
  <c r="EJ39" i="24"/>
  <c r="EJ40" i="24" s="1"/>
  <c r="EJ43" i="24" s="1"/>
  <c r="EH39" i="24"/>
  <c r="EG39" i="24"/>
  <c r="EG40" i="24" s="1"/>
  <c r="EK39" i="24"/>
  <c r="EK40" i="24" s="1"/>
  <c r="C7" i="25"/>
  <c r="Q34" i="31"/>
  <c r="DU22" i="24"/>
  <c r="EL39" i="24"/>
  <c r="EL40" i="24" s="1"/>
  <c r="EL43" i="24" s="1"/>
  <c r="AE5" i="25"/>
  <c r="AE8" i="25"/>
  <c r="D38" i="33"/>
  <c r="AE9" i="25"/>
  <c r="I77" i="25"/>
  <c r="EI39" i="24"/>
  <c r="AE6" i="25"/>
  <c r="CV29" i="24"/>
  <c r="AE7" i="25"/>
  <c r="Z7" i="15"/>
  <c r="Z6" i="15"/>
  <c r="Z10" i="15"/>
  <c r="Z9" i="15"/>
  <c r="Z8" i="15"/>
  <c r="Z5" i="15"/>
  <c r="C7" i="15"/>
  <c r="AY58" i="24"/>
  <c r="BB6" i="6"/>
  <c r="BB7" i="6"/>
  <c r="C7" i="6"/>
  <c r="AB65" i="6"/>
  <c r="X67" i="6"/>
  <c r="H7" i="6"/>
  <c r="BB10" i="6"/>
  <c r="S94" i="6"/>
  <c r="M7" i="6"/>
  <c r="T65" i="6"/>
  <c r="AB67" i="6"/>
  <c r="W94" i="6"/>
  <c r="BB8" i="6"/>
  <c r="AA94" i="6"/>
  <c r="BB5" i="6"/>
  <c r="BB9" i="6"/>
  <c r="S15" i="6"/>
  <c r="T5" i="6"/>
  <c r="AA15" i="6"/>
  <c r="AA85" i="6"/>
  <c r="W85" i="6"/>
  <c r="W15" i="6"/>
  <c r="S85" i="6"/>
  <c r="R18" i="34" l="1"/>
  <c r="Q24" i="34"/>
  <c r="Q19" i="34"/>
  <c r="R24" i="34"/>
  <c r="R19" i="34"/>
  <c r="Q25" i="34"/>
  <c r="R25" i="34"/>
  <c r="Q18" i="34"/>
  <c r="R23" i="34"/>
  <c r="Q23" i="34"/>
  <c r="EG45" i="24"/>
  <c r="EG44" i="24"/>
  <c r="I96" i="25"/>
  <c r="I95" i="25"/>
  <c r="I94" i="25"/>
  <c r="W92" i="6"/>
  <c r="AA92" i="6"/>
  <c r="W91" i="6"/>
  <c r="AA93" i="6"/>
  <c r="S92" i="6"/>
  <c r="W93" i="6"/>
  <c r="S93" i="6"/>
  <c r="S91" i="6"/>
  <c r="AA91" i="6"/>
  <c r="C69" i="25"/>
  <c r="I25" i="25"/>
  <c r="X7" i="43"/>
  <c r="V104" i="6"/>
  <c r="W31" i="6" s="1"/>
  <c r="H107" i="25"/>
  <c r="X8" i="43"/>
  <c r="Y7" i="43"/>
  <c r="W8" i="43"/>
  <c r="AB18" i="43"/>
  <c r="AA18" i="43"/>
  <c r="AB19" i="43"/>
  <c r="AC19" i="43"/>
  <c r="AC8" i="43"/>
  <c r="Y18" i="43"/>
  <c r="W19" i="43"/>
  <c r="M8" i="15"/>
  <c r="M9" i="15" s="1"/>
  <c r="M10" i="15" s="1"/>
  <c r="M11" i="15" s="1"/>
  <c r="R104" i="6"/>
  <c r="S27" i="6" s="1"/>
  <c r="S8" i="6"/>
  <c r="S5" i="6" s="1"/>
  <c r="Z104" i="6"/>
  <c r="AA29" i="6" s="1"/>
  <c r="I80" i="25"/>
  <c r="AC5" i="43"/>
  <c r="Y5" i="43"/>
  <c r="L929" i="7"/>
  <c r="L890" i="7"/>
  <c r="L999" i="7"/>
  <c r="EG41" i="24"/>
  <c r="L887" i="7"/>
  <c r="L1003" i="7"/>
  <c r="L1000" i="7"/>
  <c r="L1002" i="7"/>
  <c r="L886" i="7"/>
  <c r="L891" i="7"/>
  <c r="L885" i="7"/>
  <c r="L889" i="7"/>
  <c r="L928" i="7"/>
  <c r="V65" i="24"/>
  <c r="AB7" i="6"/>
  <c r="AA8" i="6" s="1"/>
  <c r="AA5" i="6" s="1"/>
  <c r="J7" i="25"/>
  <c r="I8" i="25" s="1"/>
  <c r="I5" i="25" s="1"/>
  <c r="L927" i="7"/>
  <c r="J3" i="25" s="1"/>
  <c r="L888" i="7"/>
  <c r="L931" i="7"/>
  <c r="C55" i="25"/>
  <c r="T7" i="6"/>
  <c r="X7" i="6"/>
  <c r="W8" i="6" s="1"/>
  <c r="W5" i="6" s="1"/>
  <c r="I68" i="25"/>
  <c r="I67" i="25" s="1"/>
  <c r="L1001" i="7"/>
  <c r="L930" i="7"/>
  <c r="L1004" i="7"/>
  <c r="J35" i="15"/>
  <c r="BD30" i="27"/>
  <c r="C26" i="15"/>
  <c r="E42" i="25"/>
  <c r="D83" i="25" s="1"/>
  <c r="P57" i="24" s="1"/>
  <c r="Z64" i="24"/>
  <c r="N41" i="6"/>
  <c r="M44" i="6"/>
  <c r="AA68" i="6"/>
  <c r="AA67" i="6" s="1"/>
  <c r="S68" i="6"/>
  <c r="S67" i="6" s="1"/>
  <c r="W68" i="6"/>
  <c r="W67" i="6" s="1"/>
  <c r="K14" i="27"/>
  <c r="X84" i="6"/>
  <c r="W84" i="6" s="1"/>
  <c r="Q20" i="34"/>
  <c r="Q17" i="34"/>
  <c r="Q16" i="34"/>
  <c r="R8" i="34"/>
  <c r="Q7" i="34"/>
  <c r="R22" i="34"/>
  <c r="R11" i="34"/>
  <c r="R16" i="34"/>
  <c r="Q15" i="34"/>
  <c r="Q11" i="34"/>
  <c r="R10" i="34"/>
  <c r="Q12" i="34"/>
  <c r="Q21" i="34"/>
  <c r="Q10" i="34"/>
  <c r="Q14" i="34"/>
  <c r="R12" i="34"/>
  <c r="Q22" i="34"/>
  <c r="R9" i="34"/>
  <c r="R21" i="34"/>
  <c r="Q8" i="34"/>
  <c r="R7" i="34"/>
  <c r="R17" i="34"/>
  <c r="Q9" i="34"/>
  <c r="R15" i="34"/>
  <c r="R20" i="34"/>
  <c r="D32" i="34"/>
  <c r="C26" i="34"/>
  <c r="R14" i="34"/>
  <c r="I43" i="6"/>
  <c r="H45" i="6"/>
  <c r="I44" i="6"/>
  <c r="H40" i="6"/>
  <c r="N42" i="6"/>
  <c r="J58" i="6"/>
  <c r="I45" i="6"/>
  <c r="H41" i="6"/>
  <c r="H42" i="6"/>
  <c r="I21" i="6"/>
  <c r="M43" i="6"/>
  <c r="M41" i="6"/>
  <c r="N44" i="6"/>
  <c r="M42" i="6"/>
  <c r="N43" i="6"/>
  <c r="Q37" i="31"/>
  <c r="Q40" i="31" s="1"/>
  <c r="N21" i="6"/>
  <c r="N45" i="6"/>
  <c r="O58" i="6"/>
  <c r="M40" i="6"/>
  <c r="I42" i="6"/>
  <c r="I41" i="6"/>
  <c r="H43" i="6"/>
  <c r="D30" i="15"/>
  <c r="E30" i="15" s="1"/>
  <c r="E37" i="15" s="1"/>
  <c r="C43" i="15"/>
  <c r="C44" i="15" s="1"/>
  <c r="C45" i="15" s="1"/>
  <c r="AB84" i="6"/>
  <c r="AA84" i="6" s="1"/>
  <c r="M54" i="6"/>
  <c r="M18" i="6"/>
  <c r="AB22" i="31"/>
  <c r="C18" i="25"/>
  <c r="AB23" i="31"/>
  <c r="BL43" i="25"/>
  <c r="C86" i="25"/>
  <c r="L60" i="24" s="1"/>
  <c r="K15" i="1"/>
  <c r="AR14" i="1"/>
  <c r="AS15" i="27"/>
  <c r="C3" i="15"/>
  <c r="K17" i="27"/>
  <c r="AA21" i="27" s="1"/>
  <c r="H54" i="6"/>
  <c r="T84" i="6"/>
  <c r="S84" i="6" s="1"/>
  <c r="C54" i="6"/>
  <c r="C68" i="6"/>
  <c r="S82" i="6"/>
  <c r="S114" i="6"/>
  <c r="AA82" i="6"/>
  <c r="M68" i="6"/>
  <c r="I92" i="25"/>
  <c r="I91" i="25"/>
  <c r="I85" i="25"/>
  <c r="I86" i="25" s="1"/>
  <c r="I90" i="25"/>
  <c r="I117" i="25"/>
  <c r="J87" i="25"/>
  <c r="I87" i="25" s="1"/>
  <c r="E4" i="25"/>
  <c r="AA114" i="6"/>
  <c r="W82" i="6"/>
  <c r="H68" i="6"/>
  <c r="AF17" i="7"/>
  <c r="EJ45" i="24"/>
  <c r="I20" i="6"/>
  <c r="D20" i="6"/>
  <c r="I1" i="7" s="1"/>
  <c r="D21" i="25"/>
  <c r="EH26" i="24"/>
  <c r="EH32" i="24"/>
  <c r="AF20" i="7"/>
  <c r="EH31" i="24"/>
  <c r="AF23" i="7"/>
  <c r="AF22" i="7"/>
  <c r="AF13" i="7"/>
  <c r="AF24" i="7"/>
  <c r="AF21" i="7"/>
  <c r="AF9" i="7"/>
  <c r="AF26" i="7"/>
  <c r="AF27" i="7"/>
  <c r="AF18" i="7"/>
  <c r="N20" i="6"/>
  <c r="AF14" i="7"/>
  <c r="AF28" i="7"/>
  <c r="AF19" i="7"/>
  <c r="EI40" i="24"/>
  <c r="AF16" i="7"/>
  <c r="EH23" i="24"/>
  <c r="CV23" i="24" s="1"/>
  <c r="DZ24" i="24" s="1"/>
  <c r="AF33" i="7"/>
  <c r="AF36" i="7"/>
  <c r="AF34" i="7"/>
  <c r="AF35" i="7"/>
  <c r="AF12" i="7"/>
  <c r="AF8" i="7"/>
  <c r="AF6" i="7"/>
  <c r="AF7" i="7"/>
  <c r="AF25" i="7"/>
  <c r="AF15" i="7"/>
  <c r="AF11" i="7"/>
  <c r="EH27" i="24"/>
  <c r="EH30" i="24"/>
  <c r="EH25" i="24"/>
  <c r="EH29" i="24"/>
  <c r="EH24" i="24"/>
  <c r="EJ41" i="24"/>
  <c r="EJ44" i="24"/>
  <c r="EH40" i="24"/>
  <c r="H18" i="6"/>
  <c r="EG43" i="24"/>
  <c r="EG42" i="24"/>
  <c r="EJ42" i="24"/>
  <c r="EL41" i="24"/>
  <c r="EL45" i="24"/>
  <c r="EL44" i="24"/>
  <c r="EL42" i="24"/>
  <c r="EK41" i="24"/>
  <c r="EK45" i="24"/>
  <c r="EK44" i="24"/>
  <c r="EK43" i="24"/>
  <c r="EK42" i="24"/>
  <c r="C18" i="6"/>
  <c r="BC25" i="1" s="1"/>
  <c r="BC58" i="24"/>
  <c r="AY60" i="24"/>
  <c r="AY62" i="24" s="1"/>
  <c r="AY64" i="24" s="1"/>
  <c r="EH44" i="24" l="1"/>
  <c r="EH45" i="24"/>
  <c r="O41" i="6"/>
  <c r="D70" i="25"/>
  <c r="W28" i="6"/>
  <c r="S28" i="6"/>
  <c r="I31" i="25"/>
  <c r="W27" i="6"/>
  <c r="AA30" i="6"/>
  <c r="S29" i="6"/>
  <c r="AA31" i="6"/>
  <c r="W29" i="6"/>
  <c r="S30" i="6"/>
  <c r="AA27" i="6"/>
  <c r="W30" i="6"/>
  <c r="S31" i="6"/>
  <c r="AA28" i="6"/>
  <c r="I30" i="25"/>
  <c r="I29" i="25"/>
  <c r="I28" i="25"/>
  <c r="I27" i="25"/>
  <c r="P37" i="25"/>
  <c r="S29" i="1"/>
  <c r="K29" i="1"/>
  <c r="AA29" i="1"/>
  <c r="BD25" i="24"/>
  <c r="AA26" i="24" s="1"/>
  <c r="Q7" i="31"/>
  <c r="AB7" i="31" s="1"/>
  <c r="W103" i="6"/>
  <c r="W4" i="6" s="1"/>
  <c r="I107" i="25"/>
  <c r="I104" i="25" s="1"/>
  <c r="AA103" i="6"/>
  <c r="AA4" i="6" s="1"/>
  <c r="N91" i="6"/>
  <c r="N90" i="6"/>
  <c r="S104" i="6"/>
  <c r="S102" i="6" s="1"/>
  <c r="S103" i="6"/>
  <c r="S4" i="6" s="1"/>
  <c r="I106" i="25"/>
  <c r="I4" i="25" s="1"/>
  <c r="W104" i="6"/>
  <c r="W102" i="6" s="1"/>
  <c r="AA104" i="6"/>
  <c r="AA102" i="6" s="1"/>
  <c r="EI42" i="24"/>
  <c r="EI41" i="24"/>
  <c r="F29" i="34"/>
  <c r="AO5" i="34" s="1"/>
  <c r="D29" i="34"/>
  <c r="F35" i="33"/>
  <c r="H35" i="33"/>
  <c r="H29" i="34"/>
  <c r="AO6" i="34" s="1"/>
  <c r="D35" i="33"/>
  <c r="J41" i="6"/>
  <c r="C41" i="15"/>
  <c r="X62" i="24"/>
  <c r="DZ32" i="24"/>
  <c r="DZ37" i="24"/>
  <c r="EI45" i="24"/>
  <c r="DZ25" i="24"/>
  <c r="Q43" i="31" s="1"/>
  <c r="Q42" i="31"/>
  <c r="CV24" i="24"/>
  <c r="EI43" i="24"/>
  <c r="EI44" i="24"/>
  <c r="T15" i="15"/>
  <c r="T14" i="15"/>
  <c r="T13" i="15"/>
  <c r="V11" i="15"/>
  <c r="U10" i="15"/>
  <c r="U7" i="15"/>
  <c r="C17" i="15"/>
  <c r="U11" i="15"/>
  <c r="T10" i="15"/>
  <c r="T7" i="15"/>
  <c r="T6" i="15"/>
  <c r="C8" i="15" s="1"/>
  <c r="W11" i="15"/>
  <c r="Y15" i="15"/>
  <c r="Y14" i="15"/>
  <c r="Y13" i="15"/>
  <c r="T11" i="15"/>
  <c r="X15" i="15"/>
  <c r="X14" i="15"/>
  <c r="X13" i="15"/>
  <c r="T8" i="15"/>
  <c r="W15" i="15"/>
  <c r="W14" i="15"/>
  <c r="W13" i="15"/>
  <c r="X11" i="15"/>
  <c r="T9" i="15"/>
  <c r="T5" i="15"/>
  <c r="X9" i="15"/>
  <c r="Y7" i="15"/>
  <c r="W6" i="15"/>
  <c r="X8" i="15"/>
  <c r="Y8" i="15"/>
  <c r="U9" i="15"/>
  <c r="X10" i="15"/>
  <c r="W7" i="15"/>
  <c r="U6" i="15"/>
  <c r="I4" i="15" s="1"/>
  <c r="I12" i="15" s="1"/>
  <c r="V9" i="15"/>
  <c r="X6" i="15"/>
  <c r="Y6" i="15"/>
  <c r="Y11" i="15"/>
  <c r="Y9" i="15"/>
  <c r="W10" i="15"/>
  <c r="W9" i="15"/>
  <c r="X7" i="15"/>
  <c r="Y10" i="15"/>
  <c r="V6" i="15"/>
  <c r="AC6" i="15"/>
  <c r="AF6" i="15"/>
  <c r="D37" i="15"/>
  <c r="C46" i="15"/>
  <c r="M3" i="15" s="1"/>
  <c r="C67" i="15"/>
  <c r="AI6" i="15"/>
  <c r="H3" i="6"/>
  <c r="BD37" i="1"/>
  <c r="BB30" i="1"/>
  <c r="C3" i="6"/>
  <c r="AW37" i="1"/>
  <c r="BK31" i="1"/>
  <c r="AU30" i="1"/>
  <c r="BD34" i="1"/>
  <c r="AU33" i="1"/>
  <c r="BI33" i="1"/>
  <c r="BD31" i="1"/>
  <c r="BK34" i="1"/>
  <c r="BB33" i="1"/>
  <c r="AW31" i="1"/>
  <c r="BS29" i="1"/>
  <c r="M3" i="6"/>
  <c r="BK37" i="1"/>
  <c r="AW34" i="1"/>
  <c r="BQ37" i="1" s="1"/>
  <c r="BI30" i="1"/>
  <c r="AR15" i="1"/>
  <c r="EH43" i="24"/>
  <c r="EH42" i="24"/>
  <c r="EH41" i="24"/>
  <c r="BG58" i="24"/>
  <c r="BG60" i="24" s="1"/>
  <c r="BG62" i="24" s="1"/>
  <c r="BC60" i="24"/>
  <c r="BC62" i="24" s="1"/>
  <c r="BC64" i="24" s="1"/>
  <c r="BG64" i="24" s="1"/>
  <c r="I105" i="25" l="1"/>
  <c r="I103" i="25" s="1"/>
  <c r="L65" i="24" s="1"/>
  <c r="M6" i="15"/>
  <c r="M7" i="15" s="1"/>
  <c r="AC61" i="15"/>
  <c r="AC55" i="15"/>
  <c r="AC60" i="15"/>
  <c r="AC66" i="15"/>
  <c r="AC62" i="15"/>
  <c r="AC59" i="15"/>
  <c r="AC64" i="15"/>
  <c r="AC65" i="15"/>
  <c r="AC57" i="15"/>
  <c r="AC63" i="15"/>
  <c r="AC56" i="15"/>
  <c r="AC58" i="15"/>
  <c r="N97" i="6"/>
  <c r="N98" i="6"/>
  <c r="N93" i="6"/>
  <c r="N99" i="6"/>
  <c r="N94" i="6"/>
  <c r="N92" i="6"/>
  <c r="N95" i="6"/>
  <c r="N96" i="6"/>
  <c r="S101" i="6"/>
  <c r="S100" i="6" s="1"/>
  <c r="S3" i="6" s="1"/>
  <c r="AA101" i="6"/>
  <c r="AA100" i="6" s="1"/>
  <c r="W101" i="6"/>
  <c r="W100" i="6" s="1"/>
  <c r="W3" i="6" s="1"/>
  <c r="BD33" i="24"/>
  <c r="AD21" i="24" s="1"/>
  <c r="L23" i="34" s="1"/>
  <c r="K14" i="24"/>
  <c r="L29" i="34"/>
  <c r="L35" i="33"/>
  <c r="DZ23" i="24"/>
  <c r="Q41" i="31"/>
  <c r="CV25" i="24"/>
  <c r="CV26" i="24"/>
  <c r="DZ34" i="24" s="1"/>
  <c r="Q46" i="31" s="1"/>
  <c r="I3" i="6"/>
  <c r="BS35" i="1"/>
  <c r="N3" i="6"/>
  <c r="K16" i="1"/>
  <c r="D3" i="6"/>
  <c r="E8" i="6" s="1"/>
  <c r="AA22" i="1"/>
  <c r="BS32" i="1"/>
  <c r="BT32" i="1" s="1"/>
  <c r="M14" i="6"/>
  <c r="AC22" i="1"/>
  <c r="U24" i="1"/>
  <c r="H15" i="6"/>
  <c r="S24" i="1"/>
  <c r="C14" i="6"/>
  <c r="K22" i="1"/>
  <c r="BS30" i="1"/>
  <c r="M22" i="1"/>
  <c r="BP34" i="1"/>
  <c r="W21" i="6"/>
  <c r="W46" i="6"/>
  <c r="H23" i="6"/>
  <c r="I71" i="6" s="1"/>
  <c r="W16" i="6"/>
  <c r="C10" i="15"/>
  <c r="C19" i="15" s="1"/>
  <c r="AS21" i="27"/>
  <c r="K21" i="27" s="1"/>
  <c r="C18" i="15"/>
  <c r="AS17" i="27"/>
  <c r="K19" i="27" s="1"/>
  <c r="AA21" i="6"/>
  <c r="M23" i="6"/>
  <c r="N71" i="6" s="1"/>
  <c r="AA46" i="6"/>
  <c r="AA16" i="6"/>
  <c r="M15" i="6"/>
  <c r="AA24" i="1"/>
  <c r="AC24" i="1"/>
  <c r="S56" i="6"/>
  <c r="S46" i="6"/>
  <c r="C23" i="6"/>
  <c r="D23" i="6" s="1"/>
  <c r="S21" i="6"/>
  <c r="AZ7" i="6"/>
  <c r="AA61" i="6"/>
  <c r="AA51" i="6"/>
  <c r="W61" i="6"/>
  <c r="W51" i="6"/>
  <c r="BA11" i="6"/>
  <c r="S61" i="6"/>
  <c r="S51" i="6"/>
  <c r="AZ11" i="6"/>
  <c r="W56" i="6"/>
  <c r="AA56" i="6"/>
  <c r="AZ17" i="6"/>
  <c r="AZ10" i="6"/>
  <c r="AZ6" i="6"/>
  <c r="AZ9" i="6"/>
  <c r="BA16" i="6"/>
  <c r="AZ16" i="6"/>
  <c r="BA9" i="6"/>
  <c r="BA6" i="6"/>
  <c r="S16" i="6"/>
  <c r="AC53" i="15"/>
  <c r="AC50" i="15"/>
  <c r="AC39" i="15"/>
  <c r="AC30" i="15"/>
  <c r="AC28" i="15"/>
  <c r="AC15" i="15"/>
  <c r="AC35" i="15"/>
  <c r="AC36" i="15"/>
  <c r="AC19" i="15"/>
  <c r="AC29" i="15"/>
  <c r="AC42" i="15"/>
  <c r="AC47" i="15"/>
  <c r="AC48" i="15"/>
  <c r="AC51" i="15"/>
  <c r="AC40" i="15"/>
  <c r="AC54" i="15"/>
  <c r="AC9" i="15"/>
  <c r="AC43" i="15"/>
  <c r="AC21" i="15"/>
  <c r="AC44" i="15"/>
  <c r="AC45" i="15"/>
  <c r="AC26" i="15"/>
  <c r="AC52" i="15"/>
  <c r="AC41" i="15"/>
  <c r="AC18" i="15"/>
  <c r="AC23" i="15"/>
  <c r="AC25" i="15"/>
  <c r="AC11" i="15"/>
  <c r="AC17" i="15"/>
  <c r="AC8" i="15"/>
  <c r="AC20" i="15"/>
  <c r="AC46" i="15"/>
  <c r="AC7" i="15"/>
  <c r="AC24" i="15"/>
  <c r="T30" i="27"/>
  <c r="AC33" i="15"/>
  <c r="AC27" i="15"/>
  <c r="AC49" i="15"/>
  <c r="AC10" i="15"/>
  <c r="AC38" i="15"/>
  <c r="AC32" i="15"/>
  <c r="AC16" i="15"/>
  <c r="M12" i="15"/>
  <c r="M13" i="15" s="1"/>
  <c r="AC31" i="15"/>
  <c r="AC37" i="15"/>
  <c r="AC13" i="15"/>
  <c r="AC12" i="15"/>
  <c r="AC14" i="15"/>
  <c r="AC22" i="15"/>
  <c r="AC34" i="15"/>
  <c r="K24" i="1"/>
  <c r="BQ38" i="1" s="1"/>
  <c r="C15" i="6"/>
  <c r="M24" i="1"/>
  <c r="S22" i="1"/>
  <c r="U22" i="1"/>
  <c r="H14" i="6"/>
  <c r="BS31" i="1"/>
  <c r="BT31" i="1" s="1"/>
  <c r="AI66" i="15" l="1"/>
  <c r="AI57" i="15"/>
  <c r="AI58" i="15"/>
  <c r="AI59" i="15"/>
  <c r="AI60" i="15"/>
  <c r="AI61" i="15"/>
  <c r="AI62" i="15"/>
  <c r="AI63" i="15"/>
  <c r="AI64" i="15"/>
  <c r="AI65" i="15"/>
  <c r="AI55" i="15"/>
  <c r="AI56" i="15"/>
  <c r="AF57" i="15"/>
  <c r="AF66" i="15"/>
  <c r="AF55" i="15"/>
  <c r="AF56" i="15"/>
  <c r="AF61" i="15"/>
  <c r="AF58" i="15"/>
  <c r="AF60" i="15"/>
  <c r="AF59" i="15"/>
  <c r="AF62" i="15"/>
  <c r="AF65" i="15"/>
  <c r="AF63" i="15"/>
  <c r="AF64" i="15"/>
  <c r="I3" i="25"/>
  <c r="I39" i="25" s="1"/>
  <c r="AA3" i="6"/>
  <c r="AA39" i="6" s="1"/>
  <c r="S6" i="6"/>
  <c r="C15" i="25"/>
  <c r="N5" i="25" s="1"/>
  <c r="S39" i="6"/>
  <c r="W39" i="6"/>
  <c r="W6" i="6"/>
  <c r="AY38" i="1" s="1"/>
  <c r="CV22" i="24"/>
  <c r="DZ33" i="24"/>
  <c r="H10" i="6"/>
  <c r="H25" i="6" s="1"/>
  <c r="C10" i="6"/>
  <c r="M10" i="6"/>
  <c r="M25" i="6" s="1"/>
  <c r="S33" i="1"/>
  <c r="AC4" i="15"/>
  <c r="BU32" i="1"/>
  <c r="C22" i="15"/>
  <c r="K30" i="27" s="1"/>
  <c r="W52" i="6"/>
  <c r="W53" i="6" s="1"/>
  <c r="W22" i="6"/>
  <c r="AH12" i="6" s="1"/>
  <c r="W47" i="6"/>
  <c r="H34" i="6"/>
  <c r="I14" i="6"/>
  <c r="W62" i="6"/>
  <c r="AH3" i="6"/>
  <c r="W57" i="6"/>
  <c r="W58" i="6" s="1"/>
  <c r="K33" i="1"/>
  <c r="AY12" i="6"/>
  <c r="AY7" i="6"/>
  <c r="AY15" i="6"/>
  <c r="AY9" i="6"/>
  <c r="AY10" i="6"/>
  <c r="AY5" i="6"/>
  <c r="AY11" i="6"/>
  <c r="AY14" i="6"/>
  <c r="AY13" i="6"/>
  <c r="AY16" i="6"/>
  <c r="AY17" i="6"/>
  <c r="AY18" i="6"/>
  <c r="AY8" i="6"/>
  <c r="AY6" i="6"/>
  <c r="I15" i="6"/>
  <c r="AH16" i="6"/>
  <c r="AH5" i="6"/>
  <c r="H35" i="6"/>
  <c r="BU31" i="1"/>
  <c r="N20" i="15"/>
  <c r="BU30" i="1"/>
  <c r="BT30" i="1"/>
  <c r="AA33" i="1"/>
  <c r="M35" i="6"/>
  <c r="N15" i="6"/>
  <c r="AL5" i="6"/>
  <c r="AL16" i="6"/>
  <c r="AA57" i="6"/>
  <c r="AA58" i="6" s="1"/>
  <c r="AA47" i="6"/>
  <c r="N14" i="6"/>
  <c r="AL3" i="6"/>
  <c r="AA62" i="6"/>
  <c r="M34" i="6"/>
  <c r="AA22" i="6"/>
  <c r="AL12" i="6" s="1"/>
  <c r="AA52" i="6"/>
  <c r="AA53" i="6" s="1"/>
  <c r="D14" i="6"/>
  <c r="S22" i="6"/>
  <c r="AD12" i="6" s="1"/>
  <c r="AD3" i="6"/>
  <c r="C34" i="6"/>
  <c r="S57" i="6"/>
  <c r="S58" i="6" s="1"/>
  <c r="S52" i="6"/>
  <c r="S53" i="6" s="1"/>
  <c r="S47" i="6"/>
  <c r="S62" i="6"/>
  <c r="AD5" i="6"/>
  <c r="AD16" i="6"/>
  <c r="C35" i="6"/>
  <c r="D15" i="6"/>
  <c r="AA26" i="27"/>
  <c r="BA32" i="27"/>
  <c r="AY36" i="1" l="1"/>
  <c r="BB36" i="1" s="1"/>
  <c r="H16" i="6" s="1"/>
  <c r="AR38" i="1"/>
  <c r="AR36" i="1" s="1"/>
  <c r="N16" i="25"/>
  <c r="Q11" i="31"/>
  <c r="C36" i="25"/>
  <c r="W48" i="6"/>
  <c r="AA48" i="6"/>
  <c r="S7" i="6"/>
  <c r="S10" i="6" s="1"/>
  <c r="S48" i="6"/>
  <c r="AA6" i="6"/>
  <c r="W7" i="6"/>
  <c r="W10" i="6" s="1"/>
  <c r="Q45" i="31"/>
  <c r="Q44" i="31" s="1"/>
  <c r="DZ35" i="24"/>
  <c r="DZ22" i="24"/>
  <c r="K21" i="24" s="1"/>
  <c r="C25" i="6"/>
  <c r="AR22" i="1"/>
  <c r="Z14" i="1" s="1"/>
  <c r="C36" i="6"/>
  <c r="AS24" i="27"/>
  <c r="C25" i="15"/>
  <c r="C27" i="15" s="1"/>
  <c r="K28" i="27" s="1"/>
  <c r="C8" i="6"/>
  <c r="H8" i="6"/>
  <c r="H24" i="6" s="1"/>
  <c r="H28" i="6" s="1"/>
  <c r="J43" i="6" s="1"/>
  <c r="M8" i="6"/>
  <c r="M24" i="6" s="1"/>
  <c r="M28" i="6" s="1"/>
  <c r="O43" i="6" s="1"/>
  <c r="M36" i="6"/>
  <c r="H36" i="6"/>
  <c r="AP21" i="6"/>
  <c r="AU36" i="1" l="1"/>
  <c r="K26" i="1" s="1"/>
  <c r="BW30" i="1"/>
  <c r="U26" i="1"/>
  <c r="BX31" i="1"/>
  <c r="BW31" i="1"/>
  <c r="BB39" i="1"/>
  <c r="AY39" i="1" s="1"/>
  <c r="S26" i="1"/>
  <c r="BF38" i="1"/>
  <c r="BF36" i="1" s="1"/>
  <c r="BI36" i="1" s="1"/>
  <c r="M16" i="6" s="1"/>
  <c r="AA11" i="6" s="1"/>
  <c r="O45" i="6"/>
  <c r="O44" i="6"/>
  <c r="J42" i="6"/>
  <c r="J44" i="6"/>
  <c r="J45" i="6"/>
  <c r="O46" i="6"/>
  <c r="O42" i="6"/>
  <c r="AA7" i="6"/>
  <c r="AA10" i="6" s="1"/>
  <c r="C28" i="25"/>
  <c r="DZ38" i="24"/>
  <c r="DP30" i="24"/>
  <c r="DV42" i="24"/>
  <c r="AL7" i="6"/>
  <c r="O40" i="6"/>
  <c r="N54" i="6"/>
  <c r="J46" i="6"/>
  <c r="AH7" i="6"/>
  <c r="J40" i="6"/>
  <c r="I54" i="6"/>
  <c r="C24" i="6"/>
  <c r="C28" i="6" s="1"/>
  <c r="E43" i="6" s="1"/>
  <c r="AR18" i="1"/>
  <c r="Z13" i="1" s="1"/>
  <c r="Z17" i="1" s="1"/>
  <c r="W40" i="6"/>
  <c r="W41" i="6" s="1"/>
  <c r="W42" i="6" s="1"/>
  <c r="W11" i="6"/>
  <c r="W12" i="6" s="1"/>
  <c r="I16" i="6"/>
  <c r="W17" i="6"/>
  <c r="AH4" i="6"/>
  <c r="AH6" i="6" s="1"/>
  <c r="AU39" i="1" l="1"/>
  <c r="BQ33" i="1" s="1"/>
  <c r="BX30" i="1"/>
  <c r="BY30" i="1" s="1"/>
  <c r="C16" i="6"/>
  <c r="S40" i="6" s="1"/>
  <c r="S41" i="6" s="1"/>
  <c r="S42" i="6" s="1"/>
  <c r="M26" i="1"/>
  <c r="BQ34" i="1"/>
  <c r="BX32" i="1"/>
  <c r="BY31" i="1"/>
  <c r="AA40" i="6"/>
  <c r="AA41" i="6" s="1"/>
  <c r="BW32" i="1"/>
  <c r="N16" i="6"/>
  <c r="AL4" i="6"/>
  <c r="AL6" i="6" s="1"/>
  <c r="AL8" i="6" s="1"/>
  <c r="AL13" i="6" s="1"/>
  <c r="AA26" i="1"/>
  <c r="AC26" i="1"/>
  <c r="AA17" i="6"/>
  <c r="BI39" i="1"/>
  <c r="BF39" i="1" s="1"/>
  <c r="E44" i="6"/>
  <c r="E45" i="6"/>
  <c r="E42" i="6"/>
  <c r="D36" i="6"/>
  <c r="AA12" i="6"/>
  <c r="AH8" i="6"/>
  <c r="AH13" i="6" s="1"/>
  <c r="D54" i="6"/>
  <c r="AD7" i="6"/>
  <c r="E40" i="6"/>
  <c r="AR26" i="1"/>
  <c r="E46" i="6"/>
  <c r="X42" i="6"/>
  <c r="W43" i="6" s="1"/>
  <c r="AH11" i="6"/>
  <c r="AB42" i="6" l="1"/>
  <c r="AA43" i="6" s="1"/>
  <c r="AA42" i="6"/>
  <c r="T42" i="6"/>
  <c r="S43" i="6" s="1"/>
  <c r="AD4" i="6"/>
  <c r="AD6" i="6" s="1"/>
  <c r="AD8" i="6" s="1"/>
  <c r="AD13" i="6" s="1"/>
  <c r="S11" i="6"/>
  <c r="S12" i="6" s="1"/>
  <c r="S17" i="6"/>
  <c r="AR39" i="1"/>
  <c r="D16" i="6"/>
  <c r="B1" i="6"/>
  <c r="AG8" i="1" s="1"/>
  <c r="BY32" i="1"/>
  <c r="AW23" i="6"/>
  <c r="BQ35" i="1"/>
  <c r="B110" i="6"/>
  <c r="AL11" i="6"/>
  <c r="BI6" i="6"/>
  <c r="E46" i="25"/>
  <c r="D87" i="25" s="1"/>
  <c r="P61" i="24" s="1"/>
  <c r="E45" i="25"/>
  <c r="D86" i="25" s="1"/>
  <c r="P60" i="24" s="1"/>
  <c r="E43" i="25"/>
  <c r="D84" i="25" s="1"/>
  <c r="P58" i="24" s="1"/>
  <c r="BB44" i="1"/>
  <c r="J39" i="6" s="1"/>
  <c r="BI44" i="1"/>
  <c r="O39" i="6" s="1"/>
  <c r="AU44" i="1"/>
  <c r="E39" i="6" s="1"/>
  <c r="K17" i="1"/>
  <c r="BQ25" i="1" s="1"/>
  <c r="AD11" i="6" l="1"/>
  <c r="X41" i="6"/>
  <c r="AD38" i="6" l="1"/>
  <c r="O47" i="6"/>
  <c r="M58" i="6" s="1"/>
  <c r="BF45" i="1" s="1"/>
  <c r="I47" i="6"/>
  <c r="H49" i="6" s="1"/>
  <c r="AH38" i="6"/>
  <c r="J47" i="6"/>
  <c r="H58" i="6" s="1"/>
  <c r="AY45" i="1" s="1"/>
  <c r="D47" i="6" l="1"/>
  <c r="C49" i="6" s="1"/>
  <c r="T41" i="6"/>
  <c r="E47" i="6"/>
  <c r="C58" i="6" s="1"/>
  <c r="AR45" i="1" s="1"/>
  <c r="O48" i="6"/>
  <c r="N48" i="6" s="1"/>
  <c r="AB41" i="6"/>
  <c r="N47" i="6"/>
  <c r="M49" i="6" s="1"/>
  <c r="AL38" i="6"/>
  <c r="J48" i="6"/>
  <c r="I48" i="6" s="1"/>
  <c r="E48" i="6" l="1"/>
  <c r="C55" i="6" s="1"/>
  <c r="AD14" i="6" s="1"/>
  <c r="D49" i="6"/>
  <c r="M55" i="6"/>
  <c r="AL14" i="6" s="1"/>
  <c r="H55" i="6"/>
  <c r="AH14" i="6" s="1"/>
  <c r="BI47" i="6" l="1"/>
  <c r="AD76" i="6"/>
  <c r="BI57" i="6"/>
  <c r="AD86" i="6"/>
  <c r="AD83" i="6"/>
  <c r="AD95" i="6"/>
  <c r="BI63" i="6"/>
  <c r="BI60" i="6"/>
  <c r="BI52" i="6"/>
  <c r="BI56" i="6"/>
  <c r="AD87" i="6"/>
  <c r="BI53" i="6"/>
  <c r="BI44" i="6"/>
  <c r="AD85" i="6"/>
  <c r="BI49" i="6"/>
  <c r="BI54" i="6"/>
  <c r="AD84" i="6"/>
  <c r="BI65" i="6"/>
  <c r="BI51" i="6"/>
  <c r="AD80" i="6"/>
  <c r="AD79" i="6"/>
  <c r="AD78" i="6"/>
  <c r="BI61" i="6"/>
  <c r="BI62" i="6"/>
  <c r="AD91" i="6"/>
  <c r="AD96" i="6"/>
  <c r="AD75" i="6"/>
  <c r="BI55" i="6"/>
  <c r="AD90" i="6"/>
  <c r="BI43" i="6"/>
  <c r="BI48" i="6"/>
  <c r="AD81" i="6"/>
  <c r="AD82" i="6"/>
  <c r="BI59" i="6"/>
  <c r="AD92" i="6"/>
  <c r="BI45" i="6"/>
  <c r="BI50" i="6"/>
  <c r="AD77" i="6"/>
  <c r="BI46" i="6"/>
  <c r="BI58" i="6"/>
  <c r="BI64" i="6"/>
  <c r="AD88" i="6"/>
  <c r="AD97" i="6"/>
  <c r="AD93" i="6"/>
  <c r="AD94" i="6"/>
  <c r="AD89" i="6"/>
  <c r="BO3" i="6"/>
  <c r="D48" i="6"/>
  <c r="AH98" i="6" l="1"/>
  <c r="AH96" i="6"/>
  <c r="AH95" i="6"/>
  <c r="AH87" i="6"/>
  <c r="AH97" i="6"/>
  <c r="AH92" i="6"/>
  <c r="AH89" i="6"/>
  <c r="AH90" i="6"/>
  <c r="AH93" i="6"/>
  <c r="AH91" i="6"/>
  <c r="AH88" i="6"/>
  <c r="AH94" i="6"/>
  <c r="I6" i="25" l="1"/>
  <c r="AS38" i="24" l="1"/>
  <c r="AS36" i="24" s="1"/>
  <c r="Q65" i="24" l="1"/>
  <c r="E44" i="25"/>
  <c r="D85" i="25" s="1"/>
  <c r="P59" i="24" s="1"/>
  <c r="L6" i="34"/>
  <c r="K9" i="24"/>
  <c r="AG7" i="3"/>
  <c r="J69" i="25"/>
  <c r="J68" i="25"/>
  <c r="I79" i="25"/>
  <c r="AS6" i="27"/>
  <c r="M20" i="15" s="1"/>
  <c r="M21" i="15" s="1"/>
  <c r="M22" i="15" s="1"/>
  <c r="M23" i="15" s="1"/>
  <c r="M24" i="15" s="1"/>
  <c r="M25" i="15" s="1"/>
  <c r="M17" i="15" s="1"/>
  <c r="AR6" i="1"/>
  <c r="F3" i="6" s="1"/>
  <c r="AB66" i="6" l="1"/>
  <c r="AA66" i="6" s="1"/>
  <c r="AL20" i="6" s="1"/>
  <c r="AF43" i="15"/>
  <c r="AF36" i="15"/>
  <c r="AF44" i="15"/>
  <c r="AF35" i="15"/>
  <c r="M26" i="15"/>
  <c r="M27" i="15" s="1"/>
  <c r="AF20" i="15"/>
  <c r="AF26" i="15"/>
  <c r="AF37" i="15"/>
  <c r="AF22" i="15"/>
  <c r="AF29" i="15"/>
  <c r="AF39" i="15"/>
  <c r="AF8" i="15"/>
  <c r="AF41" i="15"/>
  <c r="AF54" i="15"/>
  <c r="AF30" i="15"/>
  <c r="AF31" i="15"/>
  <c r="AF45" i="15"/>
  <c r="AF21" i="15"/>
  <c r="AF52" i="15"/>
  <c r="AF28" i="15"/>
  <c r="AF48" i="15"/>
  <c r="AF23" i="15"/>
  <c r="AF9" i="15"/>
  <c r="AF46" i="15"/>
  <c r="AF47" i="15"/>
  <c r="AF51" i="15"/>
  <c r="AF14" i="15"/>
  <c r="AF24" i="15"/>
  <c r="AF7" i="15"/>
  <c r="AF13" i="15"/>
  <c r="AF10" i="15"/>
  <c r="AF19" i="15"/>
  <c r="AF15" i="15"/>
  <c r="AF33" i="15"/>
  <c r="AF38" i="15"/>
  <c r="AF18" i="15"/>
  <c r="AF50" i="15"/>
  <c r="AF49" i="15"/>
  <c r="AF42" i="15"/>
  <c r="AF53" i="15"/>
  <c r="AF12" i="15"/>
  <c r="AF32" i="15"/>
  <c r="AF40" i="15"/>
  <c r="AF27" i="15"/>
  <c r="AF25" i="15"/>
  <c r="AF16" i="15"/>
  <c r="AF11" i="15"/>
  <c r="AF17" i="15"/>
  <c r="AF34" i="15"/>
  <c r="K3" i="6"/>
  <c r="C71" i="6"/>
  <c r="DU27" i="24"/>
  <c r="M34" i="15"/>
  <c r="M35" i="15" s="1"/>
  <c r="M36" i="15" s="1"/>
  <c r="M37" i="15" s="1"/>
  <c r="M38" i="15" s="1"/>
  <c r="M39" i="15" s="1"/>
  <c r="M31" i="15" s="1"/>
  <c r="X66" i="6"/>
  <c r="W66" i="6" s="1"/>
  <c r="AH20" i="6" s="1"/>
  <c r="L6" i="33"/>
  <c r="M48" i="33" s="1"/>
  <c r="AF55" i="24"/>
  <c r="DK21" i="24"/>
  <c r="J66" i="25"/>
  <c r="T66" i="6"/>
  <c r="BO20" i="24"/>
  <c r="D48" i="33"/>
  <c r="K9" i="1"/>
  <c r="K9" i="27"/>
  <c r="F3" i="25"/>
  <c r="AH32" i="6" l="1"/>
  <c r="AH21" i="6"/>
  <c r="AH22" i="6" s="1"/>
  <c r="AH23" i="6" s="1"/>
  <c r="AH24" i="6" s="1"/>
  <c r="AH25" i="6" s="1"/>
  <c r="AH31" i="6" s="1"/>
  <c r="AF31" i="6" s="1"/>
  <c r="K22" i="24"/>
  <c r="CN21" i="24"/>
  <c r="C11" i="25"/>
  <c r="Q26" i="31" s="1"/>
  <c r="AF4" i="15"/>
  <c r="AI35" i="15"/>
  <c r="AI54" i="15"/>
  <c r="AI44" i="15"/>
  <c r="AI17" i="15"/>
  <c r="AI52" i="15"/>
  <c r="AI13" i="15"/>
  <c r="AI41" i="15"/>
  <c r="AI18" i="15"/>
  <c r="AI21" i="15"/>
  <c r="AI25" i="15"/>
  <c r="AI50" i="15"/>
  <c r="AI27" i="15"/>
  <c r="AI19" i="15"/>
  <c r="AI20" i="15"/>
  <c r="AI7" i="15"/>
  <c r="AI47" i="15"/>
  <c r="AI34" i="15"/>
  <c r="AI31" i="15"/>
  <c r="AI37" i="15"/>
  <c r="AI43" i="15"/>
  <c r="AI26" i="15"/>
  <c r="AI15" i="15"/>
  <c r="AI22" i="15"/>
  <c r="AI14" i="15"/>
  <c r="AI46" i="15"/>
  <c r="AI24" i="15"/>
  <c r="AI36" i="15"/>
  <c r="AI12" i="15"/>
  <c r="AI39" i="15"/>
  <c r="AI53" i="15"/>
  <c r="AI29" i="15"/>
  <c r="AI30" i="15"/>
  <c r="AI8" i="15"/>
  <c r="M40" i="15"/>
  <c r="M41" i="15" s="1"/>
  <c r="AI40" i="15"/>
  <c r="AI33" i="15"/>
  <c r="AI16" i="15"/>
  <c r="AI28" i="15"/>
  <c r="AI32" i="15"/>
  <c r="AI38" i="15"/>
  <c r="AI10" i="15"/>
  <c r="AI23" i="15"/>
  <c r="AI9" i="15"/>
  <c r="AI11" i="15"/>
  <c r="AI48" i="15"/>
  <c r="AI51" i="15"/>
  <c r="AI49" i="15"/>
  <c r="AI42" i="15"/>
  <c r="AI45" i="15"/>
  <c r="AL21" i="6"/>
  <c r="AL22" i="6" s="1"/>
  <c r="AL23" i="6" s="1"/>
  <c r="AL24" i="6" s="1"/>
  <c r="AL25" i="6" s="1"/>
  <c r="AL29" i="6" s="1"/>
  <c r="C75" i="25"/>
  <c r="C74" i="25"/>
  <c r="C72" i="25" s="1"/>
  <c r="D73" i="25"/>
  <c r="C73" i="25"/>
  <c r="I73" i="25"/>
  <c r="I66" i="25"/>
  <c r="L66" i="25"/>
  <c r="S66" i="6"/>
  <c r="AD20" i="6" s="1"/>
  <c r="S115" i="6"/>
  <c r="H71" i="6"/>
  <c r="P3" i="6"/>
  <c r="M71" i="6" s="1"/>
  <c r="AS12" i="24" l="1"/>
  <c r="BF13" i="24" s="1"/>
  <c r="AS14" i="24" s="1"/>
  <c r="BD30" i="24" s="1"/>
  <c r="C14" i="25" s="1"/>
  <c r="C35" i="25" s="1"/>
  <c r="C37" i="25" s="1"/>
  <c r="Q24" i="31"/>
  <c r="AB24" i="31" s="1"/>
  <c r="C27" i="25"/>
  <c r="AL31" i="6"/>
  <c r="AJ31" i="6" s="1"/>
  <c r="L16" i="34"/>
  <c r="L16" i="33"/>
  <c r="AI4" i="15"/>
  <c r="AD21" i="6"/>
  <c r="AD22" i="6" s="1"/>
  <c r="AD23" i="6" s="1"/>
  <c r="AD24" i="6" s="1"/>
  <c r="AD25" i="6" s="1"/>
  <c r="AD15" i="6" s="1"/>
  <c r="AL15" i="6"/>
  <c r="AA30" i="1"/>
  <c r="AC39" i="1"/>
  <c r="AJ29" i="6"/>
  <c r="AA39" i="1" s="1"/>
  <c r="AH15" i="6"/>
  <c r="S30" i="1"/>
  <c r="AL30" i="6"/>
  <c r="AH30" i="6"/>
  <c r="AH29" i="6"/>
  <c r="AH33" i="6"/>
  <c r="Q10" i="31" l="1"/>
  <c r="Q9" i="31" s="1"/>
  <c r="AA21" i="24"/>
  <c r="D24" i="33" s="1"/>
  <c r="AD19" i="24"/>
  <c r="K28" i="24" s="1"/>
  <c r="C3" i="25"/>
  <c r="I56" i="25" s="1"/>
  <c r="I57" i="25" s="1"/>
  <c r="I58" i="25" s="1"/>
  <c r="AA19" i="24"/>
  <c r="D23" i="33" s="1"/>
  <c r="BT33" i="24"/>
  <c r="D14" i="25"/>
  <c r="K19" i="33"/>
  <c r="N3" i="25"/>
  <c r="BD36" i="24"/>
  <c r="AD23" i="24" s="1"/>
  <c r="BT29" i="24"/>
  <c r="L22" i="34"/>
  <c r="BT28" i="24"/>
  <c r="I7" i="25"/>
  <c r="I10" i="25" s="1"/>
  <c r="AA23" i="24"/>
  <c r="H23" i="33" s="1"/>
  <c r="K15" i="24"/>
  <c r="BD31" i="24"/>
  <c r="AC10" i="25"/>
  <c r="AD6" i="25"/>
  <c r="C10" i="25" s="1"/>
  <c r="AS22" i="24" s="1"/>
  <c r="K19" i="24" s="1"/>
  <c r="AS15" i="24"/>
  <c r="AD9" i="25"/>
  <c r="BD34" i="24"/>
  <c r="AC6" i="25"/>
  <c r="BD37" i="24"/>
  <c r="Q27" i="31"/>
  <c r="AD16" i="25"/>
  <c r="AD11" i="25"/>
  <c r="AC7" i="25"/>
  <c r="BU29" i="24"/>
  <c r="AC9" i="25"/>
  <c r="AC11" i="25"/>
  <c r="D15" i="25"/>
  <c r="AB11" i="31" s="1"/>
  <c r="I21" i="25"/>
  <c r="I22" i="25" s="1"/>
  <c r="N12" i="25" s="1"/>
  <c r="I51" i="25"/>
  <c r="I52" i="25" s="1"/>
  <c r="I53" i="25" s="1"/>
  <c r="AD30" i="6"/>
  <c r="M38" i="1" s="1"/>
  <c r="AD29" i="6"/>
  <c r="AB29" i="6" s="1"/>
  <c r="K39" i="1" s="1"/>
  <c r="AD31" i="6"/>
  <c r="AB31" i="6" s="1"/>
  <c r="AJ30" i="6"/>
  <c r="AA38" i="1" s="1"/>
  <c r="AC38" i="1"/>
  <c r="U38" i="1"/>
  <c r="AF30" i="6"/>
  <c r="S38" i="1" s="1"/>
  <c r="AH62" i="6"/>
  <c r="AH66" i="6"/>
  <c r="AH84" i="6"/>
  <c r="AH39" i="6"/>
  <c r="AH65" i="6"/>
  <c r="AH55" i="6"/>
  <c r="AH43" i="6"/>
  <c r="AH85" i="6"/>
  <c r="AH77" i="6"/>
  <c r="AH61" i="6"/>
  <c r="AH17" i="6"/>
  <c r="AH52" i="6"/>
  <c r="AH81" i="6"/>
  <c r="AH47" i="6"/>
  <c r="AH56" i="6"/>
  <c r="AH76" i="6"/>
  <c r="AH44" i="6"/>
  <c r="AH73" i="6"/>
  <c r="AH69" i="6"/>
  <c r="AH70" i="6"/>
  <c r="AH75" i="6"/>
  <c r="AH72" i="6"/>
  <c r="AH78" i="6"/>
  <c r="AH57" i="6"/>
  <c r="AH41" i="6"/>
  <c r="AH46" i="6"/>
  <c r="AH86" i="6"/>
  <c r="AH71" i="6"/>
  <c r="AH51" i="6"/>
  <c r="AH83" i="6"/>
  <c r="AH50" i="6"/>
  <c r="AH74" i="6"/>
  <c r="AH42" i="6"/>
  <c r="AH45" i="6"/>
  <c r="AH58" i="6"/>
  <c r="AH67" i="6"/>
  <c r="AH64" i="6"/>
  <c r="AH63" i="6"/>
  <c r="AH54" i="6"/>
  <c r="AH80" i="6"/>
  <c r="AH40" i="6"/>
  <c r="AH79" i="6"/>
  <c r="AH49" i="6"/>
  <c r="AH53" i="6"/>
  <c r="AH82" i="6"/>
  <c r="AH48" i="6"/>
  <c r="AH59" i="6"/>
  <c r="AH60" i="6"/>
  <c r="AH68" i="6"/>
  <c r="AL56" i="6"/>
  <c r="AL42" i="6"/>
  <c r="AL60" i="6"/>
  <c r="AL59" i="6"/>
  <c r="AL54" i="6"/>
  <c r="AL61" i="6"/>
  <c r="AL71" i="6"/>
  <c r="AL48" i="6"/>
  <c r="AL70" i="6"/>
  <c r="AL90" i="6"/>
  <c r="AL68" i="6"/>
  <c r="AL87" i="6"/>
  <c r="AL75" i="6"/>
  <c r="AL51" i="6"/>
  <c r="AL88" i="6"/>
  <c r="AL93" i="6"/>
  <c r="AL39" i="6"/>
  <c r="AL83" i="6"/>
  <c r="AL79" i="6"/>
  <c r="AL82" i="6"/>
  <c r="AL86" i="6"/>
  <c r="AL72" i="6"/>
  <c r="AL45" i="6"/>
  <c r="AL53" i="6"/>
  <c r="AL85" i="6"/>
  <c r="AL66" i="6"/>
  <c r="AL46" i="6"/>
  <c r="AL41" i="6"/>
  <c r="AL64" i="6"/>
  <c r="AL74" i="6"/>
  <c r="AL91" i="6"/>
  <c r="AL17" i="6"/>
  <c r="AL80" i="6"/>
  <c r="AL89" i="6"/>
  <c r="AL49" i="6"/>
  <c r="AL95" i="6"/>
  <c r="AL81" i="6"/>
  <c r="AL97" i="6"/>
  <c r="AL77" i="6"/>
  <c r="AL73" i="6"/>
  <c r="AL78" i="6"/>
  <c r="AL62" i="6"/>
  <c r="AL65" i="6"/>
  <c r="AL84" i="6"/>
  <c r="AL69" i="6"/>
  <c r="AL40" i="6"/>
  <c r="AL94" i="6"/>
  <c r="AL47" i="6"/>
  <c r="AL67" i="6"/>
  <c r="AL52" i="6"/>
  <c r="AL55" i="6"/>
  <c r="AL44" i="6"/>
  <c r="AL63" i="6"/>
  <c r="AL57" i="6"/>
  <c r="AL92" i="6"/>
  <c r="AL58" i="6"/>
  <c r="AL98" i="6"/>
  <c r="AL43" i="6"/>
  <c r="AL76" i="6"/>
  <c r="AL96" i="6"/>
  <c r="AL50" i="6"/>
  <c r="AF29" i="6"/>
  <c r="S39" i="1" s="1"/>
  <c r="U39" i="1"/>
  <c r="AD61" i="6"/>
  <c r="AD44" i="6"/>
  <c r="BI14" i="6"/>
  <c r="AD55" i="6"/>
  <c r="AD51" i="6"/>
  <c r="BI34" i="6"/>
  <c r="BI40" i="6"/>
  <c r="AD64" i="6"/>
  <c r="AD69" i="6"/>
  <c r="AD56" i="6"/>
  <c r="AD39" i="6"/>
  <c r="BI35" i="6"/>
  <c r="AD48" i="6"/>
  <c r="AD47" i="6"/>
  <c r="AD72" i="6"/>
  <c r="BI39" i="6"/>
  <c r="BI15" i="6"/>
  <c r="AD65" i="6"/>
  <c r="AD71" i="6"/>
  <c r="AD49" i="6"/>
  <c r="BI42" i="6"/>
  <c r="BI9" i="6"/>
  <c r="AD57" i="6"/>
  <c r="AD98" i="6"/>
  <c r="AD43" i="6"/>
  <c r="AD62" i="6"/>
  <c r="BI37" i="6"/>
  <c r="BI16" i="6"/>
  <c r="BI28" i="6"/>
  <c r="BI29" i="6"/>
  <c r="AD46" i="6"/>
  <c r="AD66" i="6"/>
  <c r="AD53" i="6"/>
  <c r="AD17" i="6"/>
  <c r="BI18" i="6"/>
  <c r="BI31" i="6"/>
  <c r="AD54" i="6"/>
  <c r="AD68" i="6"/>
  <c r="AD70" i="6"/>
  <c r="BI33" i="6"/>
  <c r="BI25" i="6"/>
  <c r="BI20" i="6"/>
  <c r="BI24" i="6"/>
  <c r="AD50" i="6"/>
  <c r="K30" i="1"/>
  <c r="AD45" i="6"/>
  <c r="BI19" i="6"/>
  <c r="BI10" i="6"/>
  <c r="AD40" i="6"/>
  <c r="AD63" i="6"/>
  <c r="AD42" i="6"/>
  <c r="BI32" i="6"/>
  <c r="BI22" i="6"/>
  <c r="BI66" i="6"/>
  <c r="BI12" i="6"/>
  <c r="AD74" i="6"/>
  <c r="AD58" i="6"/>
  <c r="BI21" i="6"/>
  <c r="BI27" i="6"/>
  <c r="BI7" i="6"/>
  <c r="AD41" i="6"/>
  <c r="AD67" i="6"/>
  <c r="BI17" i="6"/>
  <c r="BI13" i="6"/>
  <c r="BI23" i="6"/>
  <c r="BI11" i="6"/>
  <c r="AD60" i="6"/>
  <c r="AD59" i="6"/>
  <c r="BI30" i="6"/>
  <c r="AD73" i="6"/>
  <c r="AD52" i="6"/>
  <c r="BI36" i="6"/>
  <c r="BI41" i="6"/>
  <c r="BI26" i="6"/>
  <c r="BI8" i="6"/>
  <c r="BI38" i="6"/>
  <c r="AB10" i="31"/>
  <c r="AB9" i="31" s="1"/>
  <c r="S21" i="25" l="1"/>
  <c r="I46" i="25"/>
  <c r="I47" i="25" s="1"/>
  <c r="I48" i="25" s="1"/>
  <c r="AC16" i="25"/>
  <c r="BD39" i="24"/>
  <c r="AS39" i="24" s="1"/>
  <c r="I61" i="25"/>
  <c r="I62" i="25" s="1"/>
  <c r="H24" i="33"/>
  <c r="H23" i="34"/>
  <c r="Q48" i="31"/>
  <c r="M39" i="1"/>
  <c r="AB30" i="6"/>
  <c r="K38" i="1" s="1"/>
  <c r="C16" i="25"/>
  <c r="C24" i="25"/>
  <c r="I37" i="25" s="1"/>
  <c r="AC17" i="25"/>
  <c r="BT34" i="24"/>
  <c r="BT35" i="24" s="1"/>
  <c r="I16" i="25"/>
  <c r="BR27" i="24"/>
  <c r="AF56" i="24"/>
  <c r="D3" i="25"/>
  <c r="E8" i="25" s="1"/>
  <c r="K17" i="24"/>
  <c r="BQ27" i="24"/>
  <c r="BQ32" i="24"/>
  <c r="C26" i="25"/>
  <c r="AK27" i="31"/>
  <c r="Q28" i="31"/>
  <c r="Q29" i="31" s="1"/>
  <c r="BT30" i="24"/>
  <c r="AD36" i="6"/>
  <c r="AH36" i="6"/>
  <c r="AH27" i="6"/>
  <c r="AH28" i="6" s="1"/>
  <c r="AY46" i="1" s="1"/>
  <c r="S28" i="1"/>
  <c r="Q49" i="31"/>
  <c r="Q50" i="31" s="1"/>
  <c r="AD27" i="6"/>
  <c r="AD28" i="6" s="1"/>
  <c r="AR46" i="1" s="1"/>
  <c r="K28" i="1"/>
  <c r="AL36" i="6"/>
  <c r="BM4" i="6"/>
  <c r="BJ16" i="6" s="1"/>
  <c r="BI67" i="6"/>
  <c r="AL27" i="6"/>
  <c r="AL28" i="6" s="1"/>
  <c r="BF46" i="1" s="1"/>
  <c r="AA28" i="1"/>
  <c r="I11" i="25" l="1"/>
  <c r="I12" i="25" s="1"/>
  <c r="I40" i="25"/>
  <c r="I41" i="25" s="1"/>
  <c r="I17" i="25"/>
  <c r="N4" i="25"/>
  <c r="N6" i="25" s="1"/>
  <c r="D16" i="25"/>
  <c r="AB10" i="25"/>
  <c r="AB17" i="25"/>
  <c r="AB14" i="25"/>
  <c r="AB13" i="25"/>
  <c r="D25" i="25"/>
  <c r="AB8" i="25"/>
  <c r="AB18" i="25"/>
  <c r="AB11" i="25"/>
  <c r="AB19" i="25" s="1"/>
  <c r="AB12" i="25"/>
  <c r="AB9" i="25"/>
  <c r="AB6" i="25"/>
  <c r="AB15" i="25"/>
  <c r="AB5" i="25"/>
  <c r="C8" i="25" s="1"/>
  <c r="AB16" i="25"/>
  <c r="AB7" i="25"/>
  <c r="BJ17" i="6"/>
  <c r="BJ25" i="6"/>
  <c r="BJ26" i="6"/>
  <c r="BJ22" i="6"/>
  <c r="BJ23" i="6"/>
  <c r="BJ34" i="6"/>
  <c r="BJ11" i="6"/>
  <c r="BJ12" i="6"/>
  <c r="BJ14" i="6"/>
  <c r="BJ32" i="6"/>
  <c r="BJ13" i="6"/>
  <c r="BJ31" i="6"/>
  <c r="BJ28" i="6"/>
  <c r="BJ20" i="6"/>
  <c r="BJ30" i="6"/>
  <c r="BJ40" i="6"/>
  <c r="BJ21" i="6"/>
  <c r="BJ15" i="6"/>
  <c r="BJ35" i="6"/>
  <c r="BJ37" i="6"/>
  <c r="BJ39" i="6"/>
  <c r="BJ18" i="6"/>
  <c r="BJ33" i="6"/>
  <c r="BJ24" i="6"/>
  <c r="BJ9" i="6"/>
  <c r="BJ41" i="6"/>
  <c r="BJ10" i="6"/>
  <c r="BJ7" i="6"/>
  <c r="BJ42" i="6"/>
  <c r="BJ36" i="6"/>
  <c r="BJ8" i="6"/>
  <c r="BJ19" i="6"/>
  <c r="BJ29" i="6"/>
  <c r="BJ66" i="6"/>
  <c r="BJ27" i="6"/>
  <c r="BJ56" i="6"/>
  <c r="BJ53" i="6"/>
  <c r="BJ60" i="6"/>
  <c r="BJ61" i="6"/>
  <c r="BJ57" i="6"/>
  <c r="BJ43" i="6"/>
  <c r="BJ55" i="6"/>
  <c r="BJ47" i="6"/>
  <c r="BJ64" i="6"/>
  <c r="BJ58" i="6"/>
  <c r="BJ63" i="6"/>
  <c r="BJ46" i="6"/>
  <c r="BJ48" i="6"/>
  <c r="BJ44" i="6"/>
  <c r="BJ59" i="6"/>
  <c r="BJ49" i="6"/>
  <c r="BJ62" i="6"/>
  <c r="BJ54" i="6"/>
  <c r="BJ52" i="6"/>
  <c r="BM3" i="6"/>
  <c r="BJ45" i="6"/>
  <c r="BJ65" i="6"/>
  <c r="BJ50" i="6"/>
  <c r="BJ51" i="6"/>
  <c r="BJ38" i="6"/>
  <c r="B1" i="25" l="1"/>
  <c r="AI8" i="24" s="1"/>
  <c r="I42" i="25"/>
  <c r="X60" i="24"/>
  <c r="AC65" i="24" s="1"/>
  <c r="Z74" i="25"/>
  <c r="C78" i="25"/>
  <c r="B110" i="25"/>
  <c r="J43" i="25"/>
  <c r="I43" i="25" s="1"/>
  <c r="L67" i="25"/>
  <c r="N11" i="25"/>
  <c r="C25" i="25"/>
  <c r="C29" i="25" s="1"/>
  <c r="Q33" i="31"/>
  <c r="Q32" i="31" s="1"/>
  <c r="AS17" i="24"/>
  <c r="K18" i="24" s="1"/>
  <c r="K23" i="24" s="1"/>
  <c r="BJ67" i="6"/>
  <c r="BM5" i="6" s="1"/>
  <c r="N20" i="25" l="1"/>
  <c r="P20" i="25"/>
  <c r="J40" i="25"/>
  <c r="D48" i="25"/>
  <c r="E48" i="25"/>
  <c r="N7" i="25"/>
  <c r="N8" i="25" s="1"/>
  <c r="N13" i="25" s="1"/>
  <c r="D55" i="25"/>
  <c r="E41" i="25"/>
  <c r="Q3" i="31"/>
  <c r="E47" i="25"/>
  <c r="D82" i="25" s="1"/>
  <c r="P56" i="24" s="1"/>
  <c r="AS26" i="24"/>
  <c r="C50" i="25" l="1"/>
  <c r="C88" i="25"/>
  <c r="L62" i="24" s="1"/>
  <c r="AB51" i="31"/>
  <c r="AB15" i="31"/>
  <c r="AB12" i="31" s="1"/>
  <c r="Q51" i="31"/>
  <c r="Q15" i="31"/>
  <c r="D88" i="25"/>
  <c r="P62" i="24" s="1"/>
  <c r="X54" i="24"/>
  <c r="L24" i="33"/>
  <c r="AB4" i="31"/>
  <c r="BD43" i="24"/>
  <c r="E40" i="25" s="1"/>
  <c r="N38" i="25" s="1"/>
  <c r="K24" i="24"/>
  <c r="N21" i="25"/>
  <c r="N22" i="25" s="1"/>
  <c r="N23" i="25" s="1"/>
  <c r="AL6" i="25"/>
  <c r="D81" i="25"/>
  <c r="P55" i="24" s="1"/>
  <c r="Q13" i="31"/>
  <c r="C59" i="25"/>
  <c r="AS44" i="24" s="1"/>
  <c r="P21" i="25" l="1"/>
  <c r="P22" i="25" s="1"/>
  <c r="P23" i="25" s="1"/>
  <c r="P24" i="25"/>
  <c r="P25" i="25" s="1"/>
  <c r="N24" i="25"/>
  <c r="N25" i="25" s="1"/>
  <c r="AG57" i="24"/>
  <c r="J20" i="34"/>
  <c r="J20" i="33"/>
  <c r="D80" i="25"/>
  <c r="P54" i="24" s="1"/>
  <c r="E49" i="25"/>
  <c r="Q14" i="31"/>
  <c r="Q12" i="31" s="1"/>
  <c r="D49" i="25" l="1"/>
  <c r="C89" i="25" s="1"/>
  <c r="L63" i="24" s="1"/>
  <c r="C56" i="25"/>
  <c r="N14" i="25" s="1"/>
  <c r="D89" i="25"/>
  <c r="P63" i="24" s="1"/>
  <c r="Q6" i="31"/>
  <c r="Q8" i="31" s="1"/>
  <c r="N29" i="25"/>
  <c r="N30" i="25"/>
  <c r="N31" i="25"/>
  <c r="L31" i="25" s="1"/>
  <c r="P27" i="25"/>
  <c r="P28" i="25" s="1"/>
  <c r="P30" i="25"/>
  <c r="P29" i="25"/>
  <c r="P31" i="25"/>
  <c r="L30" i="25" l="1"/>
  <c r="AA29" i="24" s="1"/>
  <c r="AD29" i="24"/>
  <c r="L29" i="25"/>
  <c r="AA30" i="24" s="1"/>
  <c r="AD30" i="24"/>
  <c r="AR3" i="25"/>
  <c r="N15" i="25"/>
  <c r="AA27" i="24" l="1"/>
  <c r="AL35" i="25"/>
  <c r="AL62" i="25"/>
  <c r="AL47" i="25"/>
  <c r="AL66" i="25"/>
  <c r="N57" i="25"/>
  <c r="AL7" i="25"/>
  <c r="AL52" i="25"/>
  <c r="N56" i="25"/>
  <c r="AL61" i="25"/>
  <c r="N44" i="25"/>
  <c r="N59" i="25"/>
  <c r="AL14" i="25"/>
  <c r="AL65" i="25"/>
  <c r="N98" i="25"/>
  <c r="AL21" i="25"/>
  <c r="AL42" i="25"/>
  <c r="N79" i="25"/>
  <c r="N63" i="25"/>
  <c r="N82" i="25"/>
  <c r="N67" i="25"/>
  <c r="N85" i="25"/>
  <c r="N80" i="25"/>
  <c r="N83" i="25"/>
  <c r="AL15" i="25"/>
  <c r="AL40" i="25"/>
  <c r="AL34" i="25"/>
  <c r="AL60" i="25"/>
  <c r="AL38" i="25"/>
  <c r="AL33" i="25"/>
  <c r="AL54" i="25"/>
  <c r="AL59" i="25"/>
  <c r="AL55" i="25"/>
  <c r="N54" i="25"/>
  <c r="N84" i="25"/>
  <c r="N47" i="25"/>
  <c r="AL18" i="25"/>
  <c r="AL8" i="25"/>
  <c r="N89" i="25"/>
  <c r="N17" i="25"/>
  <c r="AL30" i="25"/>
  <c r="AL39" i="25"/>
  <c r="N41" i="25"/>
  <c r="N96" i="25"/>
  <c r="AL22" i="25"/>
  <c r="AL41" i="25"/>
  <c r="AL36" i="25"/>
  <c r="N90" i="25"/>
  <c r="AL29" i="25"/>
  <c r="AL19" i="25"/>
  <c r="AL48" i="25"/>
  <c r="N64" i="25"/>
  <c r="N97" i="25"/>
  <c r="AL13" i="25"/>
  <c r="AL11" i="25"/>
  <c r="N74" i="25"/>
  <c r="AL56" i="25"/>
  <c r="AL57" i="25"/>
  <c r="N60" i="25"/>
  <c r="N40" i="25"/>
  <c r="N61" i="25"/>
  <c r="N48" i="25"/>
  <c r="AL63" i="25"/>
  <c r="N58" i="25"/>
  <c r="N46" i="25"/>
  <c r="AL32" i="25"/>
  <c r="N81" i="25"/>
  <c r="AL49" i="25"/>
  <c r="AL37" i="25"/>
  <c r="N87" i="25"/>
  <c r="AL51" i="25"/>
  <c r="N88" i="25"/>
  <c r="AL20" i="25"/>
  <c r="N77" i="25"/>
  <c r="N50" i="25"/>
  <c r="N71" i="25"/>
  <c r="AL24" i="25"/>
  <c r="N68" i="25"/>
  <c r="AL27" i="25"/>
  <c r="AL10" i="25"/>
  <c r="N72" i="25"/>
  <c r="AL43" i="25"/>
  <c r="N73" i="25"/>
  <c r="AL31" i="25"/>
  <c r="N53" i="25"/>
  <c r="N75" i="25"/>
  <c r="AL17" i="25"/>
  <c r="AL64" i="25"/>
  <c r="N66" i="25"/>
  <c r="N78" i="25"/>
  <c r="AL53" i="25"/>
  <c r="N51" i="25"/>
  <c r="AL25" i="25"/>
  <c r="N39" i="25"/>
  <c r="N91" i="25"/>
  <c r="AL23" i="25"/>
  <c r="N55" i="25"/>
  <c r="N43" i="25"/>
  <c r="N62" i="25"/>
  <c r="AL28" i="25"/>
  <c r="N52" i="25"/>
  <c r="N42" i="25"/>
  <c r="N92" i="25"/>
  <c r="N94" i="25"/>
  <c r="N95" i="25"/>
  <c r="N76" i="25"/>
  <c r="AL50" i="25"/>
  <c r="N65" i="25"/>
  <c r="AL58" i="25"/>
  <c r="AL45" i="25"/>
  <c r="AL46" i="25"/>
  <c r="N45" i="25"/>
  <c r="AL26" i="25"/>
  <c r="AL12" i="25"/>
  <c r="AL44" i="25"/>
  <c r="AL9" i="25"/>
  <c r="N69" i="25"/>
  <c r="N86" i="25"/>
  <c r="AL16" i="25"/>
  <c r="N93" i="25"/>
  <c r="N70" i="25"/>
  <c r="N49" i="25"/>
  <c r="N36" i="25" l="1"/>
  <c r="N27" i="25"/>
  <c r="N28" i="25" s="1"/>
  <c r="AS45" i="24" s="1"/>
  <c r="X58" i="24" s="1"/>
  <c r="AA25" i="24"/>
  <c r="AL67" i="25"/>
  <c r="AP4" i="25"/>
  <c r="AM36" i="25" s="1"/>
  <c r="H22" i="34"/>
  <c r="BR24" i="24"/>
  <c r="Q5" i="31"/>
  <c r="H22" i="33"/>
  <c r="X59" i="24"/>
  <c r="AM46" i="25" l="1"/>
  <c r="AM58" i="25"/>
  <c r="AM53" i="25"/>
  <c r="AM38" i="25"/>
  <c r="AM33" i="25"/>
  <c r="AM34" i="25"/>
  <c r="AM63" i="25"/>
  <c r="AM59" i="25"/>
  <c r="AM64" i="25"/>
  <c r="AM24" i="25"/>
  <c r="AP3" i="25"/>
  <c r="AM32" i="25"/>
  <c r="AM7" i="25"/>
  <c r="AM60" i="25"/>
  <c r="AM42" i="25"/>
  <c r="AM47" i="25"/>
  <c r="AM8" i="25"/>
  <c r="AM40" i="25"/>
  <c r="AM15" i="25"/>
  <c r="AM28" i="25"/>
  <c r="AM57" i="25"/>
  <c r="AM20" i="25"/>
  <c r="AM14" i="25"/>
  <c r="AM31" i="25"/>
  <c r="AM66" i="25"/>
  <c r="AM56" i="25"/>
  <c r="AM26" i="25"/>
  <c r="AM12" i="25"/>
  <c r="AM29" i="25"/>
  <c r="AM18" i="25"/>
  <c r="AM17" i="25"/>
  <c r="AM35" i="25"/>
  <c r="AM51" i="25"/>
  <c r="AM49" i="25"/>
  <c r="AM22" i="25"/>
  <c r="AM30" i="25"/>
  <c r="AM65" i="25"/>
  <c r="AM16" i="25"/>
  <c r="AM48" i="25"/>
  <c r="AM39" i="25"/>
  <c r="AM55" i="25"/>
  <c r="AM21" i="25"/>
  <c r="AM52" i="25"/>
  <c r="AM10" i="25"/>
  <c r="AM23" i="25"/>
  <c r="AM9" i="25"/>
  <c r="AM19" i="25"/>
  <c r="AM50" i="25"/>
  <c r="AM11" i="25"/>
  <c r="AM43" i="25"/>
  <c r="AM62" i="25"/>
  <c r="AM37" i="25"/>
  <c r="AM41" i="25"/>
  <c r="AM61" i="25"/>
  <c r="AM27" i="25"/>
  <c r="AM44" i="25"/>
  <c r="AM13" i="25"/>
  <c r="AM25" i="25"/>
  <c r="AM45" i="25"/>
  <c r="AM54" i="25"/>
  <c r="AM67" i="25" l="1"/>
  <c r="AP5" i="2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xml:space="preserve">전 재원 </author>
  </authors>
  <commentList>
    <comment ref="BF13" authorId="0" shapeId="0" xr:uid="{00000000-0006-0000-0E00-000001000000}">
      <text>
        <r>
          <rPr>
            <b/>
            <sz val="11"/>
            <color indexed="81"/>
            <rFont val="맑은 고딕 Semilight"/>
            <family val="3"/>
            <charset val="129"/>
          </rPr>
          <t>※ 국산차 진행시 확인필</t>
        </r>
      </text>
    </comment>
  </commentList>
</comments>
</file>

<file path=xl/sharedStrings.xml><?xml version="1.0" encoding="utf-8"?>
<sst xmlns="http://schemas.openxmlformats.org/spreadsheetml/2006/main" count="11553" uniqueCount="3281">
  <si>
    <t>■ 최대잔가확인</t>
    <phoneticPr fontId="2" type="noConversion"/>
  </si>
  <si>
    <t>■ 취득원가대비</t>
    <phoneticPr fontId="2" type="noConversion"/>
  </si>
  <si>
    <t>■Irr검증</t>
    <phoneticPr fontId="2" type="noConversion"/>
  </si>
  <si>
    <t>■현가율</t>
    <phoneticPr fontId="2" type="noConversion"/>
  </si>
  <si>
    <t>■ 오류코드</t>
    <phoneticPr fontId="2" type="noConversion"/>
  </si>
  <si>
    <t>계산서가격</t>
    <phoneticPr fontId="2" type="noConversion"/>
  </si>
  <si>
    <t>해당차량기본잔가율</t>
    <phoneticPr fontId="2" type="noConversion"/>
  </si>
  <si>
    <t>보증금</t>
    <phoneticPr fontId="2" type="noConversion"/>
  </si>
  <si>
    <t>등록지역</t>
    <phoneticPr fontId="2" type="noConversion"/>
  </si>
  <si>
    <t>리스기간</t>
    <phoneticPr fontId="2" type="noConversion"/>
  </si>
  <si>
    <t>약정주행거리</t>
    <phoneticPr fontId="2" type="noConversion"/>
  </si>
  <si>
    <t>차종구분</t>
    <phoneticPr fontId="3" type="noConversion"/>
  </si>
  <si>
    <t>취득세율</t>
    <phoneticPr fontId="3" type="noConversion"/>
  </si>
  <si>
    <t>취득세</t>
    <phoneticPr fontId="3" type="noConversion"/>
  </si>
  <si>
    <t>공채</t>
    <phoneticPr fontId="3" type="noConversion"/>
  </si>
  <si>
    <t>차세(年)</t>
    <phoneticPr fontId="3" type="noConversion"/>
  </si>
  <si>
    <t>결과 irr</t>
    <phoneticPr fontId="2" type="noConversion"/>
  </si>
  <si>
    <t>오류코드</t>
    <phoneticPr fontId="2" type="noConversion"/>
  </si>
  <si>
    <t>차종구분</t>
    <phoneticPr fontId="2" type="noConversion"/>
  </si>
  <si>
    <t>최대잔가상향율</t>
    <phoneticPr fontId="2" type="noConversion"/>
  </si>
  <si>
    <t>잔존가치</t>
    <phoneticPr fontId="2" type="noConversion"/>
  </si>
  <si>
    <t>대구광역시</t>
    <phoneticPr fontId="2" type="noConversion"/>
  </si>
  <si>
    <t>비영업용</t>
    <phoneticPr fontId="3" type="noConversion"/>
  </si>
  <si>
    <t>비영업용</t>
    <phoneticPr fontId="3" type="noConversion"/>
  </si>
  <si>
    <t>서울</t>
    <phoneticPr fontId="3" type="noConversion"/>
  </si>
  <si>
    <t>대구</t>
    <phoneticPr fontId="3" type="noConversion"/>
  </si>
  <si>
    <t>내제이자율</t>
    <phoneticPr fontId="2" type="noConversion"/>
  </si>
  <si>
    <t>잔가를확인하세요</t>
    <phoneticPr fontId="2" type="noConversion"/>
  </si>
  <si>
    <t>배기량</t>
    <phoneticPr fontId="2" type="noConversion"/>
  </si>
  <si>
    <t>주행거리추가잔가율</t>
    <phoneticPr fontId="2" type="noConversion"/>
  </si>
  <si>
    <t>선납리스료</t>
    <phoneticPr fontId="2" type="noConversion"/>
  </si>
  <si>
    <t>서울특별시</t>
    <phoneticPr fontId="2" type="noConversion"/>
  </si>
  <si>
    <t>승용경차</t>
    <phoneticPr fontId="3" type="noConversion"/>
  </si>
  <si>
    <t>할인</t>
    <phoneticPr fontId="2" type="noConversion"/>
  </si>
  <si>
    <t>현가율</t>
    <phoneticPr fontId="2" type="noConversion"/>
  </si>
  <si>
    <t>보증금을 확인하세요</t>
    <phoneticPr fontId="2" type="noConversion"/>
  </si>
  <si>
    <t>등록지역</t>
    <phoneticPr fontId="2" type="noConversion"/>
  </si>
  <si>
    <t>최대잔가율</t>
    <phoneticPr fontId="2" type="noConversion"/>
  </si>
  <si>
    <t>승용일반</t>
    <phoneticPr fontId="3" type="noConversion"/>
  </si>
  <si>
    <t>보증금,선납리스료,잔가의 합은 취득원가를 초과할수 없습니다.</t>
    <phoneticPr fontId="2" type="noConversion"/>
  </si>
  <si>
    <t>취득세율</t>
    <phoneticPr fontId="2" type="noConversion"/>
  </si>
  <si>
    <t>최대잔가금액</t>
    <phoneticPr fontId="2" type="noConversion"/>
  </si>
  <si>
    <t>취득원가</t>
    <phoneticPr fontId="2" type="noConversion"/>
  </si>
  <si>
    <t>승용SUV</t>
    <phoneticPr fontId="3" type="noConversion"/>
  </si>
  <si>
    <t>최대수수료지급초과입니다</t>
    <phoneticPr fontId="2" type="noConversion"/>
  </si>
  <si>
    <t>취득세</t>
    <phoneticPr fontId="2" type="noConversion"/>
  </si>
  <si>
    <t>취득원가대비</t>
    <phoneticPr fontId="2" type="noConversion"/>
  </si>
  <si>
    <t>승용7_10인승</t>
    <phoneticPr fontId="3" type="noConversion"/>
  </si>
  <si>
    <t>공채할인율</t>
    <phoneticPr fontId="2" type="noConversion"/>
  </si>
  <si>
    <t>■ 최대잔가 초과 Check</t>
    <phoneticPr fontId="2" type="noConversion"/>
  </si>
  <si>
    <t>보증금기준</t>
    <phoneticPr fontId="2" type="noConversion"/>
  </si>
  <si>
    <t>하이브리드_승용</t>
    <phoneticPr fontId="3" type="noConversion"/>
  </si>
  <si>
    <t>공채할인</t>
    <phoneticPr fontId="2" type="noConversion"/>
  </si>
  <si>
    <t>■ 기본리스료</t>
    <phoneticPr fontId="2" type="noConversion"/>
  </si>
  <si>
    <t>차량(계산서)가격기준</t>
    <phoneticPr fontId="2" type="noConversion"/>
  </si>
  <si>
    <t>하이브리드_SUV</t>
    <phoneticPr fontId="2" type="noConversion"/>
  </si>
  <si>
    <t>탁송료</t>
    <phoneticPr fontId="2" type="noConversion"/>
  </si>
  <si>
    <t>적용잔가금액</t>
    <phoneticPr fontId="2" type="noConversion"/>
  </si>
  <si>
    <t>잔가</t>
    <phoneticPr fontId="2" type="noConversion"/>
  </si>
  <si>
    <t>취득원가기준</t>
    <phoneticPr fontId="2" type="noConversion"/>
  </si>
  <si>
    <t>전기</t>
    <phoneticPr fontId="3" type="noConversion"/>
  </si>
  <si>
    <t>부대비용</t>
    <phoneticPr fontId="2" type="noConversion"/>
  </si>
  <si>
    <t>초과여부</t>
    <phoneticPr fontId="2" type="noConversion"/>
  </si>
  <si>
    <t>금액 직접입력</t>
    <phoneticPr fontId="2" type="noConversion"/>
  </si>
  <si>
    <t>승합경차</t>
    <phoneticPr fontId="3" type="noConversion"/>
  </si>
  <si>
    <t>리스기간</t>
    <phoneticPr fontId="2" type="noConversion"/>
  </si>
  <si>
    <t>취득원가대비</t>
    <phoneticPr fontId="2" type="noConversion"/>
  </si>
  <si>
    <t>승합15인승이하</t>
    <phoneticPr fontId="3" type="noConversion"/>
  </si>
  <si>
    <t>■ 최소잔가 Check</t>
    <phoneticPr fontId="2" type="noConversion"/>
  </si>
  <si>
    <t>최대수수료</t>
    <phoneticPr fontId="2" type="noConversion"/>
  </si>
  <si>
    <t>잔가기준</t>
    <phoneticPr fontId="2" type="noConversion"/>
  </si>
  <si>
    <t>승합16~25인승</t>
    <phoneticPr fontId="3" type="noConversion"/>
  </si>
  <si>
    <t>최소잔가율</t>
    <phoneticPr fontId="2" type="noConversion"/>
  </si>
  <si>
    <t>기본리스료</t>
    <phoneticPr fontId="2" type="noConversion"/>
  </si>
  <si>
    <t>차량(계산서)가격기준</t>
    <phoneticPr fontId="2" type="noConversion"/>
  </si>
  <si>
    <t>승합26인승이상</t>
    <phoneticPr fontId="3" type="noConversion"/>
  </si>
  <si>
    <t>최소잔가금액</t>
    <phoneticPr fontId="2" type="noConversion"/>
  </si>
  <si>
    <t>최소잔가Check결과</t>
    <phoneticPr fontId="2" type="noConversion"/>
  </si>
  <si>
    <t>월납입리스료</t>
    <phoneticPr fontId="2" type="noConversion"/>
  </si>
  <si>
    <t>자동차세(연간)</t>
    <phoneticPr fontId="2" type="noConversion"/>
  </si>
  <si>
    <t>보험료(연간)</t>
    <phoneticPr fontId="2" type="noConversion"/>
  </si>
  <si>
    <t>■ 보증금최대 Check</t>
    <phoneticPr fontId="2" type="noConversion"/>
  </si>
  <si>
    <t>■ PMT</t>
    <phoneticPr fontId="2" type="noConversion"/>
  </si>
  <si>
    <t>■잔가보장수수료</t>
    <phoneticPr fontId="2" type="noConversion"/>
  </si>
  <si>
    <t>최대보증금율</t>
    <phoneticPr fontId="2" type="noConversion"/>
  </si>
  <si>
    <t>Irr</t>
    <phoneticPr fontId="2" type="noConversion"/>
  </si>
  <si>
    <t>구간</t>
    <phoneticPr fontId="2" type="noConversion"/>
  </si>
  <si>
    <t>IRR변동률</t>
    <phoneticPr fontId="2" type="noConversion"/>
  </si>
  <si>
    <t>기준값</t>
    <phoneticPr fontId="2" type="noConversion"/>
  </si>
  <si>
    <t>최대보증금액</t>
    <phoneticPr fontId="2" type="noConversion"/>
  </si>
  <si>
    <t>PMT1</t>
    <phoneticPr fontId="2" type="noConversion"/>
  </si>
  <si>
    <t>■ 취득원가계산</t>
    <phoneticPr fontId="2" type="noConversion"/>
  </si>
  <si>
    <t>최대보증금Check결과</t>
    <phoneticPr fontId="2" type="noConversion"/>
  </si>
  <si>
    <t>RATE1</t>
    <phoneticPr fontId="2" type="noConversion"/>
  </si>
  <si>
    <t>차량가</t>
    <phoneticPr fontId="2" type="noConversion"/>
  </si>
  <si>
    <t>RATE1(round)</t>
    <phoneticPr fontId="2" type="noConversion"/>
  </si>
  <si>
    <t>취득세</t>
    <phoneticPr fontId="2" type="noConversion"/>
  </si>
  <si>
    <t>■ 잔가율초과 및 보장수수료계산</t>
    <phoneticPr fontId="2" type="noConversion"/>
  </si>
  <si>
    <t>PMT2</t>
    <phoneticPr fontId="2" type="noConversion"/>
  </si>
  <si>
    <t>공채할인</t>
    <phoneticPr fontId="2" type="noConversion"/>
  </si>
  <si>
    <t>기본잔가율</t>
    <phoneticPr fontId="2" type="noConversion"/>
  </si>
  <si>
    <t>PMT2(round)</t>
    <phoneticPr fontId="2" type="noConversion"/>
  </si>
  <si>
    <t>적용잔가율</t>
    <phoneticPr fontId="2" type="noConversion"/>
  </si>
  <si>
    <t>초과잔가율</t>
    <phoneticPr fontId="2" type="noConversion"/>
  </si>
  <si>
    <t>최종RATE</t>
    <phoneticPr fontId="2" type="noConversion"/>
  </si>
  <si>
    <t>취득원가합계</t>
    <phoneticPr fontId="2" type="noConversion"/>
  </si>
  <si>
    <t>잔가보장수수료</t>
    <phoneticPr fontId="2" type="noConversion"/>
  </si>
  <si>
    <t>최종RATE(round)</t>
    <phoneticPr fontId="2" type="noConversion"/>
  </si>
  <si>
    <t>■ 초기납입금계산</t>
    <phoneticPr fontId="2" type="noConversion"/>
  </si>
  <si>
    <t>■ 선납률조건 확인</t>
    <phoneticPr fontId="2" type="noConversion"/>
  </si>
  <si>
    <t>IRR 상승 보증금기준</t>
    <phoneticPr fontId="2" type="noConversion"/>
  </si>
  <si>
    <t>IRR 상승 금액</t>
    <phoneticPr fontId="2" type="noConversion"/>
  </si>
  <si>
    <t>IRR 상승여부</t>
    <phoneticPr fontId="2" type="noConversion"/>
  </si>
  <si>
    <t>상승률</t>
    <phoneticPr fontId="2" type="noConversion"/>
  </si>
  <si>
    <t>초기납입금합계</t>
    <phoneticPr fontId="2" type="noConversion"/>
  </si>
  <si>
    <t>선납 50</t>
    <phoneticPr fontId="2" type="noConversion"/>
  </si>
  <si>
    <t>■ 지급수수료</t>
    <phoneticPr fontId="2" type="noConversion"/>
  </si>
  <si>
    <t>선납 60</t>
    <phoneticPr fontId="2" type="noConversion"/>
  </si>
  <si>
    <t>■ 기타</t>
    <phoneticPr fontId="2" type="noConversion"/>
  </si>
  <si>
    <t>수입인지</t>
    <phoneticPr fontId="2" type="noConversion"/>
  </si>
  <si>
    <t>선납 65</t>
    <phoneticPr fontId="2" type="noConversion"/>
  </si>
  <si>
    <t>■ 최대수수료Check</t>
    <phoneticPr fontId="2" type="noConversion"/>
  </si>
  <si>
    <t>지급최대수수료</t>
    <phoneticPr fontId="2" type="noConversion"/>
  </si>
  <si>
    <t>최대수수료초과여부</t>
    <phoneticPr fontId="2" type="noConversion"/>
  </si>
  <si>
    <t>■ 판매사원 최대 수수료 제한</t>
    <phoneticPr fontId="2" type="noConversion"/>
  </si>
  <si>
    <t>제조사</t>
    <phoneticPr fontId="2" type="noConversion"/>
  </si>
  <si>
    <t>보증금 40% 이하</t>
    <phoneticPr fontId="2" type="noConversion"/>
  </si>
  <si>
    <t>보증금40% 초과</t>
    <phoneticPr fontId="2" type="noConversion"/>
  </si>
  <si>
    <t>기본잔가율(수정금지)</t>
    <phoneticPr fontId="2" type="noConversion"/>
  </si>
  <si>
    <t>배기량</t>
    <phoneticPr fontId="2" type="noConversion"/>
  </si>
  <si>
    <t>BRAND</t>
  </si>
  <si>
    <t>MODEL</t>
  </si>
  <si>
    <t>배기량</t>
  </si>
  <si>
    <t>차종구분</t>
  </si>
  <si>
    <t>브랜드 등급</t>
    <phoneticPr fontId="2" type="noConversion"/>
  </si>
  <si>
    <t>AG수수료</t>
    <phoneticPr fontId="2" type="noConversion"/>
  </si>
  <si>
    <t>오토리스 IRR</t>
    <phoneticPr fontId="2" type="noConversion"/>
  </si>
  <si>
    <t>오토리스(고잔가) IRR</t>
    <phoneticPr fontId="2" type="noConversion"/>
  </si>
  <si>
    <t>오토론 1~4</t>
    <phoneticPr fontId="2" type="noConversion"/>
  </si>
  <si>
    <t>오토론 5</t>
    <phoneticPr fontId="2" type="noConversion"/>
  </si>
  <si>
    <t>오토론 6</t>
    <phoneticPr fontId="2" type="noConversion"/>
  </si>
  <si>
    <t>등급</t>
    <phoneticPr fontId="2" type="noConversion"/>
  </si>
  <si>
    <t>개월</t>
    <phoneticPr fontId="2" type="noConversion"/>
  </si>
  <si>
    <t>잔가율</t>
    <phoneticPr fontId="2" type="noConversion"/>
  </si>
  <si>
    <t>승용일반</t>
  </si>
  <si>
    <t>S</t>
    <phoneticPr fontId="2" type="noConversion"/>
  </si>
  <si>
    <t>BMW</t>
  </si>
  <si>
    <t>AUDI</t>
    <phoneticPr fontId="2" type="noConversion"/>
  </si>
  <si>
    <t>C</t>
    <phoneticPr fontId="2" type="noConversion"/>
  </si>
  <si>
    <t>S</t>
    <phoneticPr fontId="2" type="noConversion"/>
  </si>
  <si>
    <t>PORSCHE</t>
    <phoneticPr fontId="2" type="noConversion"/>
  </si>
  <si>
    <t>S</t>
    <phoneticPr fontId="2" type="noConversion"/>
  </si>
  <si>
    <t>A</t>
    <phoneticPr fontId="2" type="noConversion"/>
  </si>
  <si>
    <t>MASERATI</t>
    <phoneticPr fontId="2" type="noConversion"/>
  </si>
  <si>
    <t>VOLVO</t>
    <phoneticPr fontId="2" type="noConversion"/>
  </si>
  <si>
    <t>FORD</t>
    <phoneticPr fontId="2" type="noConversion"/>
  </si>
  <si>
    <t>VOLKSWAGEN</t>
    <phoneticPr fontId="2" type="noConversion"/>
  </si>
  <si>
    <t>JEEP</t>
    <phoneticPr fontId="2" type="noConversion"/>
  </si>
  <si>
    <t>D</t>
    <phoneticPr fontId="2" type="noConversion"/>
  </si>
  <si>
    <t>B</t>
  </si>
  <si>
    <t>MINI</t>
    <phoneticPr fontId="2" type="noConversion"/>
  </si>
  <si>
    <t>LEXUS</t>
    <phoneticPr fontId="2" type="noConversion"/>
  </si>
  <si>
    <t>CADILLAC</t>
    <phoneticPr fontId="2" type="noConversion"/>
  </si>
  <si>
    <t>A</t>
  </si>
  <si>
    <t>TOYOTA</t>
    <phoneticPr fontId="2" type="noConversion"/>
  </si>
  <si>
    <t>HONDA</t>
    <phoneticPr fontId="2" type="noConversion"/>
  </si>
  <si>
    <t>C</t>
  </si>
  <si>
    <t>PEUGEOT</t>
    <phoneticPr fontId="2" type="noConversion"/>
  </si>
  <si>
    <t>CHRYSLER</t>
    <phoneticPr fontId="2" type="noConversion"/>
  </si>
  <si>
    <t>LINCOLN</t>
    <phoneticPr fontId="2" type="noConversion"/>
  </si>
  <si>
    <t>D</t>
  </si>
  <si>
    <t>CITROEN</t>
    <phoneticPr fontId="2" type="noConversion"/>
  </si>
  <si>
    <t>FIAT</t>
    <phoneticPr fontId="2" type="noConversion"/>
  </si>
  <si>
    <t>ROLLS_ROYCE</t>
    <phoneticPr fontId="2" type="noConversion"/>
  </si>
  <si>
    <t>BENTLEY</t>
    <phoneticPr fontId="2" type="noConversion"/>
  </si>
  <si>
    <t>FERRARI</t>
    <phoneticPr fontId="2" type="noConversion"/>
  </si>
  <si>
    <t>E</t>
  </si>
  <si>
    <t>LAMBORGHINI</t>
    <phoneticPr fontId="2" type="noConversion"/>
  </si>
  <si>
    <t>TESLA</t>
    <phoneticPr fontId="2" type="noConversion"/>
  </si>
  <si>
    <t>MCLAREN</t>
    <phoneticPr fontId="2" type="noConversion"/>
  </si>
  <si>
    <t>등급별 IRR 기준</t>
    <phoneticPr fontId="2" type="noConversion"/>
  </si>
  <si>
    <t>일반/고잔가</t>
    <phoneticPr fontId="2" type="noConversion"/>
  </si>
  <si>
    <t>특별잔가</t>
    <phoneticPr fontId="2" type="noConversion"/>
  </si>
  <si>
    <t>1-4등급</t>
    <phoneticPr fontId="2" type="noConversion"/>
  </si>
  <si>
    <t>5등급</t>
    <phoneticPr fontId="2" type="noConversion"/>
  </si>
  <si>
    <t>6등급</t>
    <phoneticPr fontId="2" type="noConversion"/>
  </si>
  <si>
    <t>B</t>
    <phoneticPr fontId="2" type="noConversion"/>
  </si>
  <si>
    <t>D-B</t>
    <phoneticPr fontId="2" type="noConversion"/>
  </si>
  <si>
    <t>D-C</t>
    <phoneticPr fontId="2" type="noConversion"/>
  </si>
  <si>
    <t>승용SUV</t>
  </si>
  <si>
    <t>전기</t>
  </si>
  <si>
    <t>하이브리드_승용</t>
  </si>
  <si>
    <t>국산R-1</t>
  </si>
  <si>
    <t>국산R-2</t>
  </si>
  <si>
    <t>국산S</t>
  </si>
  <si>
    <t>국산S-1</t>
  </si>
  <si>
    <t>국산S-2</t>
  </si>
  <si>
    <t>국산A</t>
  </si>
  <si>
    <t>국산A-1</t>
  </si>
  <si>
    <t>국산A-2</t>
  </si>
  <si>
    <t>국산B</t>
  </si>
  <si>
    <t>국산B-1</t>
  </si>
  <si>
    <t>현대</t>
  </si>
  <si>
    <t>기아</t>
  </si>
  <si>
    <t>르노삼성</t>
  </si>
  <si>
    <t>쉐보레</t>
  </si>
  <si>
    <t>쌍용</t>
  </si>
  <si>
    <t>국산</t>
  </si>
  <si>
    <t>무보증잔존가치할인</t>
    <phoneticPr fontId="2" type="noConversion"/>
  </si>
  <si>
    <t>국산/수입</t>
    <phoneticPr fontId="2" type="noConversion"/>
  </si>
  <si>
    <t>브랜드</t>
    <phoneticPr fontId="2" type="noConversion"/>
  </si>
  <si>
    <t>국산</t>
    <phoneticPr fontId="2" type="noConversion"/>
  </si>
  <si>
    <t>차종</t>
    <phoneticPr fontId="2" type="noConversion"/>
  </si>
  <si>
    <t>제휴정보</t>
    <phoneticPr fontId="2" type="noConversion"/>
  </si>
  <si>
    <t>브랜드</t>
    <phoneticPr fontId="2" type="noConversion"/>
  </si>
  <si>
    <t>제휴사</t>
    <phoneticPr fontId="2" type="noConversion"/>
  </si>
  <si>
    <t>한성자동차</t>
  </si>
  <si>
    <t>한성자동차</t>
    <phoneticPr fontId="2" type="noConversion"/>
  </si>
  <si>
    <t>Benz_제휴</t>
    <phoneticPr fontId="2" type="noConversion"/>
  </si>
  <si>
    <t>KCC모터스</t>
  </si>
  <si>
    <t>경남자동차</t>
  </si>
  <si>
    <t>모터원</t>
  </si>
  <si>
    <t>모터원</t>
    <phoneticPr fontId="2" type="noConversion"/>
  </si>
  <si>
    <t>기타</t>
    <phoneticPr fontId="2" type="noConversion"/>
  </si>
  <si>
    <t>AUDI_제휴</t>
    <phoneticPr fontId="2" type="noConversion"/>
  </si>
  <si>
    <t>태안모터스</t>
  </si>
  <si>
    <t>태안모터스</t>
    <phoneticPr fontId="2" type="noConversion"/>
  </si>
  <si>
    <t>PORSCHE_제휴</t>
    <phoneticPr fontId="2" type="noConversion"/>
  </si>
  <si>
    <t>아우토슈타트</t>
  </si>
  <si>
    <t>아우토슈타트</t>
    <phoneticPr fontId="2" type="noConversion"/>
  </si>
  <si>
    <t>VOLKSWAGEN_제휴</t>
    <phoneticPr fontId="2" type="noConversion"/>
  </si>
  <si>
    <t>KCC오토</t>
  </si>
  <si>
    <t>KCC오토</t>
    <phoneticPr fontId="2" type="noConversion"/>
  </si>
  <si>
    <t>G&amp;B모터스</t>
  </si>
  <si>
    <t>G&amp;B모터스</t>
    <phoneticPr fontId="2" type="noConversion"/>
  </si>
  <si>
    <t>KCC오토모빌</t>
  </si>
  <si>
    <t>KCC오토모빌</t>
    <phoneticPr fontId="2" type="noConversion"/>
  </si>
  <si>
    <t>KCC모터스</t>
    <phoneticPr fontId="2" type="noConversion"/>
  </si>
  <si>
    <t>한성모터스</t>
  </si>
  <si>
    <t>한성모터스</t>
    <phoneticPr fontId="2" type="noConversion"/>
  </si>
  <si>
    <t>기본가격</t>
    <phoneticPr fontId="2" type="noConversion"/>
  </si>
  <si>
    <t>옵션가격</t>
    <phoneticPr fontId="2" type="noConversion"/>
  </si>
  <si>
    <t>제휴딜러사</t>
    <phoneticPr fontId="2" type="noConversion"/>
  </si>
  <si>
    <t>제휴수수료1_계산</t>
    <phoneticPr fontId="2" type="noConversion"/>
  </si>
  <si>
    <t>할인지원금_조건</t>
    <phoneticPr fontId="2" type="noConversion"/>
  </si>
  <si>
    <t>할인지원금_계산</t>
    <phoneticPr fontId="2" type="noConversion"/>
  </si>
  <si>
    <t>제휴수수료1_조건</t>
    <phoneticPr fontId="2" type="noConversion"/>
  </si>
  <si>
    <t>제휴수수료2_조건</t>
    <phoneticPr fontId="2" type="noConversion"/>
  </si>
  <si>
    <t>제휴수수료2_계산</t>
    <phoneticPr fontId="2" type="noConversion"/>
  </si>
  <si>
    <t>제휴수수료3_조건</t>
    <phoneticPr fontId="2" type="noConversion"/>
  </si>
  <si>
    <t>제휴수수료3_계산</t>
    <phoneticPr fontId="2" type="noConversion"/>
  </si>
  <si>
    <t>제휴수수료4_조건</t>
    <phoneticPr fontId="2" type="noConversion"/>
  </si>
  <si>
    <t>제휴수수료4_계산</t>
    <phoneticPr fontId="2" type="noConversion"/>
  </si>
  <si>
    <t>계산서 가격</t>
    <phoneticPr fontId="2" type="noConversion"/>
  </si>
  <si>
    <t>■ 초기비용/등록정보</t>
    <phoneticPr fontId="2" type="noConversion"/>
  </si>
  <si>
    <t>대구광역시</t>
  </si>
  <si>
    <t>■ 리스조건</t>
    <phoneticPr fontId="2" type="noConversion"/>
  </si>
  <si>
    <t>차량가기준</t>
  </si>
  <si>
    <t>선수금</t>
    <phoneticPr fontId="2" type="noConversion"/>
  </si>
  <si>
    <t>■ Incentive</t>
    <phoneticPr fontId="2" type="noConversion"/>
  </si>
  <si>
    <t>CM Incentive</t>
    <phoneticPr fontId="2" type="noConversion"/>
  </si>
  <si>
    <t>딜러사 할인</t>
    <phoneticPr fontId="2" type="noConversion"/>
  </si>
  <si>
    <t>Audi_제휴</t>
    <phoneticPr fontId="2" type="noConversion"/>
  </si>
  <si>
    <t>Porsche_제휴</t>
    <phoneticPr fontId="2" type="noConversion"/>
  </si>
  <si>
    <t>Wolkswagen_제휴</t>
    <phoneticPr fontId="2" type="noConversion"/>
  </si>
  <si>
    <t>브랜드</t>
    <phoneticPr fontId="2" type="noConversion"/>
  </si>
  <si>
    <t>Honda_제휴</t>
    <phoneticPr fontId="2" type="noConversion"/>
  </si>
  <si>
    <t>BMW_제휴</t>
    <phoneticPr fontId="2" type="noConversion"/>
  </si>
  <si>
    <t>한독모터스</t>
    <phoneticPr fontId="2" type="noConversion"/>
  </si>
  <si>
    <t>BMW_제휴</t>
    <phoneticPr fontId="2" type="noConversion"/>
  </si>
  <si>
    <t>한독모터스</t>
    <phoneticPr fontId="2" type="noConversion"/>
  </si>
  <si>
    <t>CM 연락처</t>
    <phoneticPr fontId="2" type="noConversion"/>
  </si>
  <si>
    <t>합계</t>
    <phoneticPr fontId="2" type="noConversion"/>
  </si>
  <si>
    <t>귀중</t>
    <phoneticPr fontId="2" type="noConversion"/>
  </si>
  <si>
    <t>모델명</t>
    <phoneticPr fontId="2" type="noConversion"/>
  </si>
  <si>
    <t>딜러사</t>
    <phoneticPr fontId="2" type="noConversion"/>
  </si>
  <si>
    <t>할인금액</t>
    <phoneticPr fontId="2" type="noConversion"/>
  </si>
  <si>
    <t>옵션가격</t>
    <phoneticPr fontId="2" type="noConversion"/>
  </si>
  <si>
    <t>차량 판매금액</t>
    <phoneticPr fontId="2" type="noConversion"/>
  </si>
  <si>
    <t>차량 기본가</t>
    <phoneticPr fontId="2" type="noConversion"/>
  </si>
  <si>
    <t>탁송료</t>
    <phoneticPr fontId="2" type="noConversion"/>
  </si>
  <si>
    <t>부대비용</t>
    <phoneticPr fontId="2" type="noConversion"/>
  </si>
  <si>
    <t>공채할인</t>
    <phoneticPr fontId="2" type="noConversion"/>
  </si>
  <si>
    <t>취득원가</t>
    <phoneticPr fontId="2" type="noConversion"/>
  </si>
  <si>
    <t>리스 기간</t>
    <phoneticPr fontId="2" type="noConversion"/>
  </si>
  <si>
    <t>연간 운행거리</t>
    <phoneticPr fontId="2" type="noConversion"/>
  </si>
  <si>
    <t>잔존가치</t>
    <phoneticPr fontId="2" type="noConversion"/>
  </si>
  <si>
    <t>월 리스료</t>
    <phoneticPr fontId="2" type="noConversion"/>
  </si>
  <si>
    <t>보증금 할인</t>
    <phoneticPr fontId="2" type="noConversion"/>
  </si>
  <si>
    <t>선수금 할인</t>
    <phoneticPr fontId="2" type="noConversion"/>
  </si>
  <si>
    <t>초기납입금</t>
    <phoneticPr fontId="2" type="noConversion"/>
  </si>
  <si>
    <t>■ INPUT2</t>
    <phoneticPr fontId="2" type="noConversion"/>
  </si>
  <si>
    <t>■ INPUT1</t>
    <phoneticPr fontId="2" type="noConversion"/>
  </si>
  <si>
    <t>■ INPUT3</t>
    <phoneticPr fontId="2" type="noConversion"/>
  </si>
  <si>
    <t>AG기본수수료</t>
    <phoneticPr fontId="2" type="noConversion"/>
  </si>
  <si>
    <t>제휴정보</t>
    <phoneticPr fontId="2" type="noConversion"/>
  </si>
  <si>
    <t>MSRP</t>
    <phoneticPr fontId="2" type="noConversion"/>
  </si>
  <si>
    <t>취득원가</t>
  </si>
  <si>
    <t>취득원가</t>
    <phoneticPr fontId="2" type="noConversion"/>
  </si>
  <si>
    <t>취득원가</t>
    <phoneticPr fontId="2" type="noConversion"/>
  </si>
  <si>
    <t>AG기본수수료_기준</t>
    <phoneticPr fontId="2" type="noConversion"/>
  </si>
  <si>
    <t>잔가보장수수료</t>
    <phoneticPr fontId="2" type="noConversion"/>
  </si>
  <si>
    <t>수수료 계</t>
    <phoneticPr fontId="2" type="noConversion"/>
  </si>
  <si>
    <t>AG입력수수료</t>
    <phoneticPr fontId="2" type="noConversion"/>
  </si>
  <si>
    <t>수수료 계</t>
    <phoneticPr fontId="2" type="noConversion"/>
  </si>
  <si>
    <t>■ 잔가보장사</t>
    <phoneticPr fontId="2" type="noConversion"/>
  </si>
  <si>
    <t>상품</t>
    <phoneticPr fontId="2" type="noConversion"/>
  </si>
  <si>
    <t>잔가보장사</t>
    <phoneticPr fontId="2" type="noConversion"/>
  </si>
  <si>
    <t>월 자동차세</t>
    <phoneticPr fontId="2" type="noConversion"/>
  </si>
  <si>
    <t>취득원가</t>
    <phoneticPr fontId="2" type="noConversion"/>
  </si>
  <si>
    <t>취득원가</t>
    <phoneticPr fontId="2" type="noConversion"/>
  </si>
  <si>
    <t>취득원가</t>
    <phoneticPr fontId="2" type="noConversion"/>
  </si>
  <si>
    <t>취득원가</t>
    <phoneticPr fontId="2" type="noConversion"/>
  </si>
  <si>
    <t>취득원가</t>
    <phoneticPr fontId="2" type="noConversion"/>
  </si>
  <si>
    <t>상품 선택</t>
    <phoneticPr fontId="2" type="noConversion"/>
  </si>
  <si>
    <t>브랜드 선택</t>
    <phoneticPr fontId="2" type="noConversion"/>
  </si>
  <si>
    <t>제휴사 선택</t>
    <phoneticPr fontId="2" type="noConversion"/>
  </si>
  <si>
    <t>운용리스 견적서</t>
    <phoneticPr fontId="2" type="noConversion"/>
  </si>
  <si>
    <t>잔가보장사</t>
    <phoneticPr fontId="2" type="noConversion"/>
  </si>
  <si>
    <t>보장사</t>
    <phoneticPr fontId="2" type="noConversion"/>
  </si>
  <si>
    <t>F</t>
  </si>
  <si>
    <t>G</t>
  </si>
  <si>
    <t>H</t>
  </si>
  <si>
    <t>I</t>
  </si>
  <si>
    <t>J</t>
  </si>
  <si>
    <t>L</t>
  </si>
  <si>
    <t>M</t>
  </si>
  <si>
    <t>N</t>
  </si>
  <si>
    <t>O</t>
  </si>
  <si>
    <t>R</t>
  </si>
  <si>
    <t>U</t>
  </si>
  <si>
    <t>X</t>
  </si>
  <si>
    <t>기타</t>
  </si>
  <si>
    <t>서울</t>
  </si>
  <si>
    <t>경남</t>
  </si>
  <si>
    <t>인천</t>
  </si>
  <si>
    <t>제주</t>
  </si>
  <si>
    <t>경기</t>
  </si>
  <si>
    <t>선납금</t>
    <phoneticPr fontId="2" type="noConversion"/>
  </si>
  <si>
    <t>금융담당자</t>
    <phoneticPr fontId="2" type="noConversion"/>
  </si>
  <si>
    <t>금리</t>
    <phoneticPr fontId="2" type="noConversion"/>
  </si>
  <si>
    <t>■ INPUT</t>
    <phoneticPr fontId="2" type="noConversion"/>
  </si>
  <si>
    <t>■ 공채계산</t>
    <phoneticPr fontId="2" type="noConversion"/>
  </si>
  <si>
    <t>■ 기본할부금 (1-4 등급)</t>
    <phoneticPr fontId="2" type="noConversion"/>
  </si>
  <si>
    <t>■ 할부기간</t>
    <phoneticPr fontId="2" type="noConversion"/>
  </si>
  <si>
    <t>■ 공채할인</t>
    <phoneticPr fontId="2" type="noConversion"/>
  </si>
  <si>
    <t>■Irr검증 A</t>
    <phoneticPr fontId="2" type="noConversion"/>
  </si>
  <si>
    <t>■Irr검증 B</t>
    <phoneticPr fontId="2" type="noConversion"/>
  </si>
  <si>
    <t>■Irr검증 C</t>
    <phoneticPr fontId="2" type="noConversion"/>
  </si>
  <si>
    <t>계산서가격</t>
    <phoneticPr fontId="2" type="noConversion"/>
  </si>
  <si>
    <t>등록지</t>
    <phoneticPr fontId="2" type="noConversion"/>
  </si>
  <si>
    <t>기본리스료</t>
    <phoneticPr fontId="2" type="noConversion"/>
  </si>
  <si>
    <t>할부기간</t>
    <phoneticPr fontId="2" type="noConversion"/>
  </si>
  <si>
    <t>차종구분</t>
    <phoneticPr fontId="3" type="noConversion"/>
  </si>
  <si>
    <t>취득세율</t>
    <phoneticPr fontId="3" type="noConversion"/>
  </si>
  <si>
    <t>취득세</t>
    <phoneticPr fontId="3" type="noConversion"/>
  </si>
  <si>
    <t>공채</t>
    <phoneticPr fontId="3" type="noConversion"/>
  </si>
  <si>
    <t>차세(年)</t>
    <phoneticPr fontId="3" type="noConversion"/>
  </si>
  <si>
    <t>결과 irr</t>
    <phoneticPr fontId="2" type="noConversion"/>
  </si>
  <si>
    <t>차종구분</t>
    <phoneticPr fontId="2" type="noConversion"/>
  </si>
  <si>
    <t>비영업용</t>
    <phoneticPr fontId="3" type="noConversion"/>
  </si>
  <si>
    <t>서울</t>
    <phoneticPr fontId="3" type="noConversion"/>
  </si>
  <si>
    <t>부산대구</t>
    <phoneticPr fontId="3" type="noConversion"/>
  </si>
  <si>
    <t>경남인천</t>
    <phoneticPr fontId="3" type="noConversion"/>
  </si>
  <si>
    <t>제주</t>
    <phoneticPr fontId="3" type="noConversion"/>
  </si>
  <si>
    <t>경기기타</t>
    <phoneticPr fontId="3" type="noConversion"/>
  </si>
  <si>
    <t>배기량</t>
    <phoneticPr fontId="2" type="noConversion"/>
  </si>
  <si>
    <t>■ PMT</t>
    <phoneticPr fontId="2" type="noConversion"/>
  </si>
  <si>
    <t>승용경차</t>
    <phoneticPr fontId="3" type="noConversion"/>
  </si>
  <si>
    <t>등록지역</t>
    <phoneticPr fontId="2" type="noConversion"/>
  </si>
  <si>
    <t>Irr</t>
    <phoneticPr fontId="2" type="noConversion"/>
  </si>
  <si>
    <t>승용일반</t>
    <phoneticPr fontId="3" type="noConversion"/>
  </si>
  <si>
    <t>취득세율</t>
    <phoneticPr fontId="2" type="noConversion"/>
  </si>
  <si>
    <t>취득세</t>
    <phoneticPr fontId="2" type="noConversion"/>
  </si>
  <si>
    <t>RATE1</t>
    <phoneticPr fontId="2" type="noConversion"/>
  </si>
  <si>
    <t>승용7_10인승</t>
    <phoneticPr fontId="3" type="noConversion"/>
  </si>
  <si>
    <t>RATE1(round)</t>
    <phoneticPr fontId="2" type="noConversion"/>
  </si>
  <si>
    <t>하이브리드_승용</t>
    <phoneticPr fontId="3" type="noConversion"/>
  </si>
  <si>
    <t>PMT2</t>
    <phoneticPr fontId="2" type="noConversion"/>
  </si>
  <si>
    <t>하이브리드_SUV</t>
    <phoneticPr fontId="2" type="noConversion"/>
  </si>
  <si>
    <t>탁송료</t>
    <phoneticPr fontId="2" type="noConversion"/>
  </si>
  <si>
    <t>PMT2(round)</t>
    <phoneticPr fontId="2" type="noConversion"/>
  </si>
  <si>
    <t>전기</t>
    <phoneticPr fontId="3" type="noConversion"/>
  </si>
  <si>
    <t>부대비용</t>
    <phoneticPr fontId="2" type="noConversion"/>
  </si>
  <si>
    <t>공채할인금액</t>
    <phoneticPr fontId="2" type="noConversion"/>
  </si>
  <si>
    <t>최종RATE</t>
    <phoneticPr fontId="2" type="noConversion"/>
  </si>
  <si>
    <t>승합경차</t>
    <phoneticPr fontId="3" type="noConversion"/>
  </si>
  <si>
    <t>기간</t>
    <phoneticPr fontId="2" type="noConversion"/>
  </si>
  <si>
    <t>최종RATE(round)</t>
    <phoneticPr fontId="2" type="noConversion"/>
  </si>
  <si>
    <t>승합15인승이하</t>
    <phoneticPr fontId="3" type="noConversion"/>
  </si>
  <si>
    <t>할부원금</t>
    <phoneticPr fontId="2" type="noConversion"/>
  </si>
  <si>
    <t>■ 인지세 계산</t>
    <phoneticPr fontId="2" type="noConversion"/>
  </si>
  <si>
    <t>승합16~25인승</t>
    <phoneticPr fontId="3" type="noConversion"/>
  </si>
  <si>
    <t>할부인지세</t>
    <phoneticPr fontId="2" type="noConversion"/>
  </si>
  <si>
    <t>승합26인승이상</t>
    <phoneticPr fontId="3" type="noConversion"/>
  </si>
  <si>
    <t>■ 총구매비용</t>
    <phoneticPr fontId="2" type="noConversion"/>
  </si>
  <si>
    <t>■ 기본할부금 (5등급)</t>
    <phoneticPr fontId="2" type="noConversion"/>
  </si>
  <si>
    <t>차량가</t>
    <phoneticPr fontId="2" type="noConversion"/>
  </si>
  <si>
    <t>공채할인</t>
    <phoneticPr fontId="2" type="noConversion"/>
  </si>
  <si>
    <t>고객부담</t>
    <phoneticPr fontId="2" type="noConversion"/>
  </si>
  <si>
    <t>회사부담</t>
    <phoneticPr fontId="2" type="noConversion"/>
  </si>
  <si>
    <t>PMT1</t>
    <phoneticPr fontId="2" type="noConversion"/>
  </si>
  <si>
    <t>총구매비용</t>
    <phoneticPr fontId="2" type="noConversion"/>
  </si>
  <si>
    <t>■설정비계산</t>
    <phoneticPr fontId="2" type="noConversion"/>
  </si>
  <si>
    <t>■ 초기납입금계산</t>
    <phoneticPr fontId="2" type="noConversion"/>
  </si>
  <si>
    <t>설정율</t>
    <phoneticPr fontId="2" type="noConversion"/>
  </si>
  <si>
    <t>설정금액</t>
    <phoneticPr fontId="2" type="noConversion"/>
  </si>
  <si>
    <t>설정비</t>
    <phoneticPr fontId="2" type="noConversion"/>
  </si>
  <si>
    <t>선납금</t>
    <phoneticPr fontId="2" type="noConversion"/>
  </si>
  <si>
    <t>수입인지</t>
    <phoneticPr fontId="2" type="noConversion"/>
  </si>
  <si>
    <t>초기납입금</t>
    <phoneticPr fontId="2" type="noConversion"/>
  </si>
  <si>
    <t>■ 지급수수료</t>
    <phoneticPr fontId="2" type="noConversion"/>
  </si>
  <si>
    <t>■ 기본할부금 (6등급)</t>
    <phoneticPr fontId="2" type="noConversion"/>
  </si>
  <si>
    <t>■ 수수료상한 Check</t>
    <phoneticPr fontId="2" type="noConversion"/>
  </si>
  <si>
    <t>수수료상한금액</t>
    <phoneticPr fontId="2" type="noConversion"/>
  </si>
  <si>
    <t>AG수수료</t>
    <phoneticPr fontId="2" type="noConversion"/>
  </si>
  <si>
    <t>제휴수수료</t>
    <phoneticPr fontId="2" type="noConversion"/>
  </si>
  <si>
    <t>SC수수료지급가능액</t>
    <phoneticPr fontId="2" type="noConversion"/>
  </si>
  <si>
    <t>SC수수료지급가능율</t>
    <phoneticPr fontId="2" type="noConversion"/>
  </si>
  <si>
    <t>수수료상한Check</t>
    <phoneticPr fontId="2" type="noConversion"/>
  </si>
  <si>
    <t>■ 기타비용</t>
    <phoneticPr fontId="2" type="noConversion"/>
  </si>
  <si>
    <t>VVIP 고객님</t>
    <phoneticPr fontId="2" type="noConversion"/>
  </si>
  <si>
    <t>연락처</t>
    <phoneticPr fontId="2" type="noConversion"/>
  </si>
  <si>
    <t>■ 차량 담당자</t>
    <phoneticPr fontId="2" type="noConversion"/>
  </si>
  <si>
    <t>■ 금융 담당자</t>
    <phoneticPr fontId="2" type="noConversion"/>
  </si>
  <si>
    <t>■ 기본정보/차량정보</t>
    <phoneticPr fontId="2" type="noConversion"/>
  </si>
  <si>
    <t>■ 할인 및 옵션금액</t>
    <phoneticPr fontId="2" type="noConversion"/>
  </si>
  <si>
    <t>견적일자 :</t>
    <phoneticPr fontId="2" type="noConversion"/>
  </si>
  <si>
    <t>공식 할인</t>
    <phoneticPr fontId="2" type="noConversion"/>
  </si>
  <si>
    <t>총차량가</t>
    <phoneticPr fontId="2" type="noConversion"/>
  </si>
  <si>
    <t>기본가격</t>
    <phoneticPr fontId="2" type="noConversion"/>
  </si>
  <si>
    <t>옵션가격</t>
    <phoneticPr fontId="2" type="noConversion"/>
  </si>
  <si>
    <t>계산서 할인</t>
    <phoneticPr fontId="2" type="noConversion"/>
  </si>
  <si>
    <t>연간 주행거리</t>
    <phoneticPr fontId="2" type="noConversion"/>
  </si>
  <si>
    <t>≤상한선</t>
    <phoneticPr fontId="2" type="noConversion"/>
  </si>
  <si>
    <t>금리</t>
    <phoneticPr fontId="2" type="noConversion"/>
  </si>
  <si>
    <t>제휴딜러사</t>
    <phoneticPr fontId="2" type="noConversion"/>
  </si>
  <si>
    <t>연락처</t>
    <phoneticPr fontId="2" type="noConversion"/>
  </si>
  <si>
    <t>금융사명</t>
    <phoneticPr fontId="2" type="noConversion"/>
  </si>
  <si>
    <t>탁송료(계산서포함)</t>
    <phoneticPr fontId="2" type="noConversion"/>
  </si>
  <si>
    <t>고객명</t>
    <phoneticPr fontId="2" type="noConversion"/>
  </si>
  <si>
    <t>지점/대리점/전시장</t>
    <phoneticPr fontId="2" type="noConversion"/>
  </si>
  <si>
    <t>C M</t>
    <phoneticPr fontId="2" type="noConversion"/>
  </si>
  <si>
    <t>자동차세(월)</t>
    <phoneticPr fontId="2" type="noConversion"/>
  </si>
  <si>
    <t>☞ 보증금 및 선납금 반영에 따른 월 납입료 할인율 및 할인금액</t>
    <phoneticPr fontId="2" type="noConversion"/>
  </si>
  <si>
    <t>초기납입금</t>
    <phoneticPr fontId="2" type="noConversion"/>
  </si>
  <si>
    <t>※선수금+보증금+취득원가불포함금액</t>
    <phoneticPr fontId="2" type="noConversion"/>
  </si>
  <si>
    <t>▣</t>
    <phoneticPr fontId="2" type="noConversion"/>
  </si>
  <si>
    <t>자동차 정보</t>
  </si>
  <si>
    <t>▣</t>
    <phoneticPr fontId="2" type="noConversion"/>
  </si>
  <si>
    <t>계약 정보</t>
  </si>
  <si>
    <t>차량담당자</t>
  </si>
  <si>
    <t>▣</t>
    <phoneticPr fontId="2" type="noConversion"/>
  </si>
  <si>
    <t>금융담당자</t>
  </si>
  <si>
    <t>기본리스료</t>
    <phoneticPr fontId="2" type="noConversion"/>
  </si>
  <si>
    <t>차량 정보</t>
    <phoneticPr fontId="2" type="noConversion"/>
  </si>
  <si>
    <t>■</t>
    <phoneticPr fontId="2" type="noConversion"/>
  </si>
  <si>
    <t>■</t>
    <phoneticPr fontId="2" type="noConversion"/>
  </si>
  <si>
    <t>•</t>
    <phoneticPr fontId="2" type="noConversion"/>
  </si>
  <si>
    <t xml:space="preserve">신용조회동의 시 발신번호 1644-7900 / 유선전화 동의 시 발신번호 02-6441-XXXX  </t>
    <phoneticPr fontId="2" type="noConversion"/>
  </si>
  <si>
    <t>조건 1</t>
    <phoneticPr fontId="2" type="noConversion"/>
  </si>
  <si>
    <t>조건 2</t>
    <phoneticPr fontId="2" type="noConversion"/>
  </si>
  <si>
    <t>조건 3</t>
    <phoneticPr fontId="2" type="noConversion"/>
  </si>
  <si>
    <t>공채</t>
    <phoneticPr fontId="2" type="noConversion"/>
  </si>
  <si>
    <t>취득세</t>
    <phoneticPr fontId="2" type="noConversion"/>
  </si>
  <si>
    <t>부대비용</t>
    <phoneticPr fontId="2" type="noConversion"/>
  </si>
  <si>
    <t>차세</t>
    <phoneticPr fontId="2" type="noConversion"/>
  </si>
  <si>
    <t>보증금0</t>
    <phoneticPr fontId="2" type="noConversion"/>
  </si>
  <si>
    <t>선납금 0</t>
    <phoneticPr fontId="2" type="noConversion"/>
  </si>
  <si>
    <t>선납금0 보증금0</t>
    <phoneticPr fontId="2" type="noConversion"/>
  </si>
  <si>
    <t>보증금 0</t>
    <phoneticPr fontId="2" type="noConversion"/>
  </si>
  <si>
    <t>조건1</t>
    <phoneticPr fontId="2" type="noConversion"/>
  </si>
  <si>
    <t>조건2</t>
    <phoneticPr fontId="2" type="noConversion"/>
  </si>
  <si>
    <t>조건3</t>
    <phoneticPr fontId="2" type="noConversion"/>
  </si>
  <si>
    <t>보+선65</t>
    <phoneticPr fontId="2" type="noConversion"/>
  </si>
  <si>
    <t>보+선 상한</t>
    <phoneticPr fontId="2" type="noConversion"/>
  </si>
  <si>
    <t>N</t>
    <phoneticPr fontId="2" type="noConversion"/>
  </si>
  <si>
    <t>P</t>
    <phoneticPr fontId="2" type="noConversion"/>
  </si>
  <si>
    <t>취득원가</t>
    <phoneticPr fontId="2" type="noConversion"/>
  </si>
  <si>
    <t>총구매비용</t>
    <phoneticPr fontId="2" type="noConversion"/>
  </si>
  <si>
    <t>인지세</t>
    <phoneticPr fontId="2" type="noConversion"/>
  </si>
  <si>
    <t>BENZ</t>
    <phoneticPr fontId="2" type="noConversion"/>
  </si>
  <si>
    <t>BENZ_제휴</t>
    <phoneticPr fontId="2" type="noConversion"/>
  </si>
  <si>
    <t>AA</t>
  </si>
  <si>
    <t>할부원금</t>
    <phoneticPr fontId="2" type="noConversion"/>
  </si>
  <si>
    <t>근저당
설정율</t>
    <phoneticPr fontId="2" type="noConversion"/>
  </si>
  <si>
    <t>표면금리</t>
    <phoneticPr fontId="2" type="noConversion"/>
  </si>
  <si>
    <t>표면금리 A</t>
    <phoneticPr fontId="2" type="noConversion"/>
  </si>
  <si>
    <t>총구매비용</t>
    <phoneticPr fontId="2" type="noConversion"/>
  </si>
  <si>
    <t>우성</t>
    <phoneticPr fontId="2" type="noConversion"/>
  </si>
  <si>
    <t>대림</t>
    <phoneticPr fontId="2" type="noConversion"/>
  </si>
  <si>
    <t>우성</t>
    <phoneticPr fontId="2" type="noConversion"/>
  </si>
  <si>
    <t>우성</t>
    <phoneticPr fontId="2" type="noConversion"/>
  </si>
  <si>
    <t>우성</t>
    <phoneticPr fontId="2" type="noConversion"/>
  </si>
  <si>
    <t>취/등록세</t>
    <phoneticPr fontId="2" type="noConversion"/>
  </si>
  <si>
    <t>취/등록세</t>
    <phoneticPr fontId="2" type="noConversion"/>
  </si>
  <si>
    <t>공채</t>
    <phoneticPr fontId="2" type="noConversion"/>
  </si>
  <si>
    <t>취득원가 불포함금액 합계</t>
    <phoneticPr fontId="2" type="noConversion"/>
  </si>
  <si>
    <t>등록비용 계</t>
    <phoneticPr fontId="2" type="noConversion"/>
  </si>
  <si>
    <t>취/등록세</t>
    <phoneticPr fontId="2" type="noConversion"/>
  </si>
  <si>
    <t>취/등록세</t>
    <phoneticPr fontId="2" type="noConversion"/>
  </si>
  <si>
    <t>IRR 기준</t>
    <phoneticPr fontId="2" type="noConversion"/>
  </si>
  <si>
    <t>등록비용 계</t>
    <phoneticPr fontId="2" type="noConversion"/>
  </si>
  <si>
    <t xml:space="preserve">할부금융리스 </t>
    <phoneticPr fontId="2" type="noConversion"/>
  </si>
  <si>
    <t>운용리스</t>
    <phoneticPr fontId="2" type="noConversion"/>
  </si>
  <si>
    <t>제휴사</t>
    <phoneticPr fontId="2" type="noConversion"/>
  </si>
  <si>
    <t>이용금액</t>
    <phoneticPr fontId="2" type="noConversion"/>
  </si>
  <si>
    <t>이용금액</t>
    <phoneticPr fontId="2" type="noConversion"/>
  </si>
  <si>
    <t>이용금액</t>
    <phoneticPr fontId="2" type="noConversion"/>
  </si>
  <si>
    <t>이용금액</t>
    <phoneticPr fontId="2" type="noConversion"/>
  </si>
  <si>
    <t>이용금액</t>
    <phoneticPr fontId="2" type="noConversion"/>
  </si>
  <si>
    <t>MSRP</t>
    <phoneticPr fontId="2" type="noConversion"/>
  </si>
  <si>
    <t>이용금액</t>
    <phoneticPr fontId="2" type="noConversion"/>
  </si>
  <si>
    <t>CM입력수수료</t>
    <phoneticPr fontId="2" type="noConversion"/>
  </si>
  <si>
    <t>이용금액</t>
    <phoneticPr fontId="2" type="noConversion"/>
  </si>
  <si>
    <t>4.9 48개월 이하</t>
    <phoneticPr fontId="2" type="noConversion"/>
  </si>
  <si>
    <t xml:space="preserve"> </t>
    <phoneticPr fontId="2" type="noConversion"/>
  </si>
  <si>
    <t>이용금액</t>
    <phoneticPr fontId="2" type="noConversion"/>
  </si>
  <si>
    <t>이용금액</t>
    <phoneticPr fontId="2" type="noConversion"/>
  </si>
  <si>
    <t>취득원가</t>
    <phoneticPr fontId="2" type="noConversion"/>
  </si>
  <si>
    <t>취득원가</t>
    <phoneticPr fontId="2" type="noConversion"/>
  </si>
  <si>
    <t>차량가</t>
    <phoneticPr fontId="2" type="noConversion"/>
  </si>
  <si>
    <t>AG입력수수료</t>
    <phoneticPr fontId="2" type="noConversion"/>
  </si>
  <si>
    <t>할인지원금</t>
    <phoneticPr fontId="2" type="noConversion"/>
  </si>
  <si>
    <t>제휴수수료1</t>
    <phoneticPr fontId="2" type="noConversion"/>
  </si>
  <si>
    <t>제휴수수료2</t>
    <phoneticPr fontId="2" type="noConversion"/>
  </si>
  <si>
    <t>제휴수수료3</t>
    <phoneticPr fontId="2" type="noConversion"/>
  </si>
  <si>
    <t>제휴수수료4</t>
    <phoneticPr fontId="2" type="noConversion"/>
  </si>
  <si>
    <t>약정 주행거리</t>
    <phoneticPr fontId="2" type="noConversion"/>
  </si>
  <si>
    <t>약정 주행거리</t>
    <phoneticPr fontId="2" type="noConversion"/>
  </si>
  <si>
    <t>IRR조건(리스)</t>
    <phoneticPr fontId="2" type="noConversion"/>
  </si>
  <si>
    <t>IRR조건(론)</t>
    <phoneticPr fontId="2" type="noConversion"/>
  </si>
  <si>
    <t>이용금액</t>
    <phoneticPr fontId="2" type="noConversion"/>
  </si>
  <si>
    <t>합계</t>
    <phoneticPr fontId="2" type="noConversion"/>
  </si>
  <si>
    <t>대구</t>
    <phoneticPr fontId="2" type="noConversion"/>
  </si>
  <si>
    <t>부산</t>
    <phoneticPr fontId="2" type="noConversion"/>
  </si>
  <si>
    <t>기본리스료</t>
    <phoneticPr fontId="2" type="noConversion"/>
  </si>
  <si>
    <t>초기납입금 포함</t>
    <phoneticPr fontId="2" type="noConversion"/>
  </si>
  <si>
    <t>운용리스
AG수수료입력</t>
    <phoneticPr fontId="2" type="noConversion"/>
  </si>
  <si>
    <t>할부/금융리스
AG수수료입력</t>
    <phoneticPr fontId="2" type="noConversion"/>
  </si>
  <si>
    <t>CM수수료</t>
    <phoneticPr fontId="2" type="noConversion"/>
  </si>
  <si>
    <t>VOLKSWAGEN_제휴</t>
    <phoneticPr fontId="2" type="noConversion"/>
  </si>
  <si>
    <t>HONDA_제휴</t>
    <phoneticPr fontId="2" type="noConversion"/>
  </si>
  <si>
    <t>부대비용체크</t>
    <phoneticPr fontId="2" type="noConversion"/>
  </si>
  <si>
    <t>부대비용체크</t>
    <phoneticPr fontId="2" type="noConversion"/>
  </si>
  <si>
    <t>보_선/차량가</t>
    <phoneticPr fontId="2" type="noConversion"/>
  </si>
  <si>
    <t>잔가1</t>
    <phoneticPr fontId="2" type="noConversion"/>
  </si>
  <si>
    <t>상한선</t>
    <phoneticPr fontId="2" type="noConversion"/>
  </si>
  <si>
    <t>상한선</t>
    <phoneticPr fontId="2" type="noConversion"/>
  </si>
  <si>
    <t>잔가2</t>
    <phoneticPr fontId="2" type="noConversion"/>
  </si>
  <si>
    <t>잔가3</t>
    <phoneticPr fontId="2" type="noConversion"/>
  </si>
  <si>
    <t>보증금선수금체크</t>
    <phoneticPr fontId="2" type="noConversion"/>
  </si>
  <si>
    <t>잔존가치 상한선</t>
    <phoneticPr fontId="2" type="noConversion"/>
  </si>
  <si>
    <t>기타</t>
    <phoneticPr fontId="2" type="noConversion"/>
  </si>
  <si>
    <t>PORSCHE_제휴</t>
    <phoneticPr fontId="2" type="noConversion"/>
  </si>
  <si>
    <t>HONDA_제휴</t>
    <phoneticPr fontId="2" type="noConversion"/>
  </si>
  <si>
    <t>취득원가</t>
    <phoneticPr fontId="2" type="noConversion"/>
  </si>
  <si>
    <t>국산기타</t>
    <phoneticPr fontId="2" type="noConversion"/>
  </si>
  <si>
    <t>기타</t>
    <phoneticPr fontId="2" type="noConversion"/>
  </si>
  <si>
    <t>국산기타</t>
    <phoneticPr fontId="2" type="noConversion"/>
  </si>
  <si>
    <t>기타</t>
    <phoneticPr fontId="2" type="noConversion"/>
  </si>
  <si>
    <t>JAGUAR_LANDROVER</t>
    <phoneticPr fontId="2" type="noConversion"/>
  </si>
  <si>
    <t>JAGUAR_LANDROVER_제휴</t>
    <phoneticPr fontId="2" type="noConversion"/>
  </si>
  <si>
    <t>Jaguar_Landrover_제휴</t>
    <phoneticPr fontId="2" type="noConversion"/>
  </si>
  <si>
    <t>JAGUAR_LANDROVER_제휴</t>
    <phoneticPr fontId="2" type="noConversion"/>
  </si>
  <si>
    <t>BENZ_일반</t>
    <phoneticPr fontId="2" type="noConversion"/>
  </si>
  <si>
    <t>AUDI_일반</t>
    <phoneticPr fontId="2" type="noConversion"/>
  </si>
  <si>
    <t>PORSCHE_일반</t>
    <phoneticPr fontId="2" type="noConversion"/>
  </si>
  <si>
    <t>VOLKSWAGEN_일반</t>
    <phoneticPr fontId="2" type="noConversion"/>
  </si>
  <si>
    <t>JAGUAR_LANDROVER_일반</t>
    <phoneticPr fontId="2" type="noConversion"/>
  </si>
  <si>
    <t>HONDA_일반</t>
    <phoneticPr fontId="2" type="noConversion"/>
  </si>
  <si>
    <t>BENZ_일반</t>
    <phoneticPr fontId="2" type="noConversion"/>
  </si>
  <si>
    <t>BMW_일반</t>
    <phoneticPr fontId="2" type="noConversion"/>
  </si>
  <si>
    <t>AUDI_일반</t>
    <phoneticPr fontId="2" type="noConversion"/>
  </si>
  <si>
    <t>VOLKSWAGEN_일반</t>
    <phoneticPr fontId="2" type="noConversion"/>
  </si>
  <si>
    <t>JAGUAR_LANDROVER_일반</t>
    <phoneticPr fontId="2" type="noConversion"/>
  </si>
  <si>
    <t>PORSCHE_일반</t>
    <phoneticPr fontId="2" type="noConversion"/>
  </si>
  <si>
    <t>HONDA_일반</t>
    <phoneticPr fontId="2" type="noConversion"/>
  </si>
  <si>
    <t>계산서금액</t>
    <phoneticPr fontId="2" type="noConversion"/>
  </si>
  <si>
    <t>차량가격</t>
    <phoneticPr fontId="2" type="noConversion"/>
  </si>
  <si>
    <t>보+선 검증</t>
    <phoneticPr fontId="2" type="noConversion"/>
  </si>
  <si>
    <t>잔가검증</t>
    <phoneticPr fontId="2" type="noConversion"/>
  </si>
  <si>
    <t>N</t>
    <phoneticPr fontId="2" type="noConversion"/>
  </si>
  <si>
    <t>IRR조건고잔가5%</t>
    <phoneticPr fontId="2" type="noConversion"/>
  </si>
  <si>
    <t>IRR조건고잔가8%</t>
    <phoneticPr fontId="2" type="noConversion"/>
  </si>
  <si>
    <t>IRR조건고잔가3%</t>
    <phoneticPr fontId="2" type="noConversion"/>
  </si>
  <si>
    <t>제휴사여부</t>
    <phoneticPr fontId="2" type="noConversion"/>
  </si>
  <si>
    <t>Y</t>
    <phoneticPr fontId="2" type="noConversion"/>
  </si>
  <si>
    <t>Y</t>
    <phoneticPr fontId="2" type="noConversion"/>
  </si>
  <si>
    <t>Y</t>
    <phoneticPr fontId="2" type="noConversion"/>
  </si>
  <si>
    <t>Y</t>
    <phoneticPr fontId="2" type="noConversion"/>
  </si>
  <si>
    <t>Y</t>
    <phoneticPr fontId="2" type="noConversion"/>
  </si>
  <si>
    <t>Y</t>
    <phoneticPr fontId="2" type="noConversion"/>
  </si>
  <si>
    <t>Y</t>
    <phoneticPr fontId="2" type="noConversion"/>
  </si>
  <si>
    <t>Y</t>
    <phoneticPr fontId="2" type="noConversion"/>
  </si>
  <si>
    <t>N</t>
    <phoneticPr fontId="2" type="noConversion"/>
  </si>
  <si>
    <t>N</t>
    <phoneticPr fontId="2" type="noConversion"/>
  </si>
  <si>
    <t>N</t>
    <phoneticPr fontId="2" type="noConversion"/>
  </si>
  <si>
    <t>N</t>
    <phoneticPr fontId="2" type="noConversion"/>
  </si>
  <si>
    <t>제휴사여부</t>
    <phoneticPr fontId="2" type="noConversion"/>
  </si>
  <si>
    <t>Y</t>
    <phoneticPr fontId="2" type="noConversion"/>
  </si>
  <si>
    <t>Y</t>
    <phoneticPr fontId="2" type="noConversion"/>
  </si>
  <si>
    <t>Y</t>
    <phoneticPr fontId="2" type="noConversion"/>
  </si>
  <si>
    <t>Y</t>
    <phoneticPr fontId="2" type="noConversion"/>
  </si>
  <si>
    <t>N</t>
    <phoneticPr fontId="2" type="noConversion"/>
  </si>
  <si>
    <t>고잔가IRR상승</t>
    <phoneticPr fontId="2" type="noConversion"/>
  </si>
  <si>
    <t>고잔가IRR상승</t>
    <phoneticPr fontId="2" type="noConversion"/>
  </si>
  <si>
    <t>■Irr검증</t>
    <phoneticPr fontId="2" type="noConversion"/>
  </si>
  <si>
    <t>결과 irr</t>
    <phoneticPr fontId="2" type="noConversion"/>
  </si>
  <si>
    <t>N</t>
    <phoneticPr fontId="2" type="noConversion"/>
  </si>
  <si>
    <t>VVIP 고객님</t>
    <phoneticPr fontId="2" type="noConversion"/>
  </si>
  <si>
    <t>■ 선납률조건 확인</t>
    <phoneticPr fontId="2" type="noConversion"/>
  </si>
  <si>
    <t>N</t>
    <phoneticPr fontId="2" type="noConversion"/>
  </si>
  <si>
    <t>N</t>
    <phoneticPr fontId="2" type="noConversion"/>
  </si>
  <si>
    <t>기타</t>
    <phoneticPr fontId="2" type="noConversion"/>
  </si>
  <si>
    <t>스타자동차</t>
    <phoneticPr fontId="2" type="noConversion"/>
  </si>
  <si>
    <t>유카로오토모빌 Audi</t>
    <phoneticPr fontId="2" type="noConversion"/>
  </si>
  <si>
    <t>제휴여부</t>
    <phoneticPr fontId="2" type="noConversion"/>
  </si>
  <si>
    <t>제휴사</t>
    <phoneticPr fontId="2" type="noConversion"/>
  </si>
  <si>
    <t>승용일반</t>
    <phoneticPr fontId="2" type="noConversion"/>
  </si>
  <si>
    <t>승용SUV</t>
    <phoneticPr fontId="2" type="noConversion"/>
  </si>
  <si>
    <t>전기</t>
    <phoneticPr fontId="2" type="noConversion"/>
  </si>
  <si>
    <t>Audi</t>
    <phoneticPr fontId="2" type="noConversion"/>
  </si>
  <si>
    <t>Porsche</t>
    <phoneticPr fontId="2" type="noConversion"/>
  </si>
  <si>
    <t>Cayenne E-Hybrid</t>
    <phoneticPr fontId="2" type="noConversion"/>
  </si>
  <si>
    <t>하이브리드_승용</t>
    <phoneticPr fontId="2" type="noConversion"/>
  </si>
  <si>
    <t>Toyota</t>
    <phoneticPr fontId="2" type="noConversion"/>
  </si>
  <si>
    <t>-</t>
    <phoneticPr fontId="2" type="noConversion"/>
  </si>
  <si>
    <t>Grand C4 Spacetourer 1.5 Shine</t>
    <phoneticPr fontId="2" type="noConversion"/>
  </si>
  <si>
    <t>승용7_10인승</t>
    <phoneticPr fontId="2" type="noConversion"/>
  </si>
  <si>
    <t>K3_SmartStream G1.6_(가솔린)</t>
    <phoneticPr fontId="2" type="noConversion"/>
  </si>
  <si>
    <t>SM6_2.0_Lpe_(LPG)</t>
    <phoneticPr fontId="2" type="noConversion"/>
  </si>
  <si>
    <t>XM3 1.3T (가솔린)</t>
    <phoneticPr fontId="2" type="noConversion"/>
  </si>
  <si>
    <t>XM3 1.6 (가솔린)</t>
    <phoneticPr fontId="2" type="noConversion"/>
  </si>
  <si>
    <t>QM6_2.0_LPe_(LPG)</t>
    <phoneticPr fontId="2" type="noConversion"/>
  </si>
  <si>
    <t>QM6_2.0_Gde_(가솔린)</t>
    <phoneticPr fontId="2" type="noConversion"/>
  </si>
  <si>
    <t>스파크_VAN_(가솔린)</t>
    <phoneticPr fontId="2" type="noConversion"/>
  </si>
  <si>
    <t>스파크_(가솔린)</t>
    <phoneticPr fontId="2" type="noConversion"/>
  </si>
  <si>
    <t>말리부_1.3T_(가솔린)</t>
    <phoneticPr fontId="2" type="noConversion"/>
  </si>
  <si>
    <t>말리부_2.0T_(가솔린)</t>
    <phoneticPr fontId="2" type="noConversion"/>
  </si>
  <si>
    <t>트랙스_1.4_Turbo_(가솔린)</t>
    <phoneticPr fontId="2" type="noConversion"/>
  </si>
  <si>
    <t>트랙스_1.6_(디젤)</t>
    <phoneticPr fontId="2" type="noConversion"/>
  </si>
  <si>
    <t>이쿼녹스_1.6(5P)_(디젤)</t>
    <phoneticPr fontId="2" type="noConversion"/>
  </si>
  <si>
    <t>트레일블레이저 1.2T (가솔린)</t>
    <phoneticPr fontId="2" type="noConversion"/>
  </si>
  <si>
    <t>트레일블레이저 1.35T (가솔린)</t>
    <phoneticPr fontId="2" type="noConversion"/>
  </si>
  <si>
    <t>트래버스 3.6 (가솔린)</t>
    <phoneticPr fontId="2" type="noConversion"/>
  </si>
  <si>
    <t>티볼리_1.5_(가솔린)</t>
    <phoneticPr fontId="2" type="noConversion"/>
  </si>
  <si>
    <t>티볼리_1.6_(디젤)</t>
    <phoneticPr fontId="2" type="noConversion"/>
  </si>
  <si>
    <t>[신형] 코란도_1.6D_(디젤)</t>
    <phoneticPr fontId="2" type="noConversion"/>
  </si>
  <si>
    <t>[신형] 코란도_1.5_(가솔린)</t>
    <phoneticPr fontId="2" type="noConversion"/>
  </si>
  <si>
    <t>G4 렉스턴(5P)_(디젤)</t>
    <phoneticPr fontId="2" type="noConversion"/>
  </si>
  <si>
    <t>티볼리에어_1.5_(가솔린)</t>
    <phoneticPr fontId="2" type="noConversion"/>
  </si>
  <si>
    <t>말리부_E-TURBO 1.35</t>
    <phoneticPr fontId="2" type="noConversion"/>
  </si>
  <si>
    <t>콜로라도_3.6</t>
    <phoneticPr fontId="2" type="noConversion"/>
  </si>
  <si>
    <t>SM6_Tce_260_PREMIERE (가솔린) 1.3T</t>
    <phoneticPr fontId="2" type="noConversion"/>
  </si>
  <si>
    <t>SM6_Tce_300_PREMIERE(가솔린) 1.8T</t>
    <phoneticPr fontId="2" type="noConversion"/>
  </si>
  <si>
    <t>A</t>
    <phoneticPr fontId="2" type="noConversion"/>
  </si>
  <si>
    <t>취득원가</t>
    <phoneticPr fontId="2" type="noConversion"/>
  </si>
  <si>
    <t>취득원가</t>
    <phoneticPr fontId="2" type="noConversion"/>
  </si>
  <si>
    <t>Y</t>
    <phoneticPr fontId="2" type="noConversion"/>
  </si>
  <si>
    <t>K</t>
  </si>
  <si>
    <t>V</t>
  </si>
  <si>
    <t>T</t>
  </si>
  <si>
    <t>승용일반</t>
    <phoneticPr fontId="2" type="noConversion"/>
  </si>
  <si>
    <t>P</t>
  </si>
  <si>
    <t>Q</t>
  </si>
  <si>
    <t>S</t>
  </si>
  <si>
    <t>W</t>
  </si>
  <si>
    <t>Y</t>
  </si>
  <si>
    <t>Z</t>
  </si>
  <si>
    <t>AB</t>
  </si>
  <si>
    <t>AC</t>
  </si>
  <si>
    <t>AD</t>
  </si>
  <si>
    <t>AE</t>
  </si>
  <si>
    <t>AF</t>
  </si>
  <si>
    <t>AG</t>
  </si>
  <si>
    <t>AH</t>
  </si>
  <si>
    <t>사용불가</t>
    <phoneticPr fontId="2" type="noConversion"/>
  </si>
  <si>
    <t>G</t>
    <phoneticPr fontId="2" type="noConversion"/>
  </si>
  <si>
    <t>A</t>
    <phoneticPr fontId="2" type="noConversion"/>
  </si>
  <si>
    <t>J</t>
    <phoneticPr fontId="2" type="noConversion"/>
  </si>
  <si>
    <t>H</t>
    <phoneticPr fontId="2" type="noConversion"/>
  </si>
  <si>
    <t>대표자면제</t>
    <phoneticPr fontId="2" type="noConversion"/>
  </si>
  <si>
    <t>면제</t>
    <phoneticPr fontId="2" type="noConversion"/>
  </si>
  <si>
    <t>승용일반</t>
    <phoneticPr fontId="2" type="noConversion"/>
  </si>
  <si>
    <t>하이브리드_승용</t>
    <phoneticPr fontId="2" type="noConversion"/>
  </si>
  <si>
    <t>승용SUV</t>
    <phoneticPr fontId="2" type="noConversion"/>
  </si>
  <si>
    <t>승용SUV</t>
    <phoneticPr fontId="2" type="noConversion"/>
  </si>
  <si>
    <t>승용경차</t>
    <phoneticPr fontId="2" type="noConversion"/>
  </si>
  <si>
    <t>승용경차</t>
    <phoneticPr fontId="2" type="noConversion"/>
  </si>
  <si>
    <t>승용SUV</t>
    <phoneticPr fontId="2" type="noConversion"/>
  </si>
  <si>
    <t>H</t>
    <phoneticPr fontId="2" type="noConversion"/>
  </si>
  <si>
    <t>I</t>
    <phoneticPr fontId="2" type="noConversion"/>
  </si>
  <si>
    <t>운용리스 견적서</t>
    <phoneticPr fontId="2" type="noConversion"/>
  </si>
  <si>
    <t>Q8 55 TFSI Quattro Premium</t>
    <phoneticPr fontId="2" type="noConversion"/>
  </si>
  <si>
    <t>Maserati</t>
    <phoneticPr fontId="2" type="noConversion"/>
  </si>
  <si>
    <t>Honda</t>
    <phoneticPr fontId="2" type="noConversion"/>
  </si>
  <si>
    <t>Peugeot</t>
    <phoneticPr fontId="2" type="noConversion"/>
  </si>
  <si>
    <t>Chrysler</t>
    <phoneticPr fontId="2" type="noConversion"/>
  </si>
  <si>
    <t>Fiat</t>
    <phoneticPr fontId="2" type="noConversion"/>
  </si>
  <si>
    <t>INDEX</t>
    <phoneticPr fontId="2" type="noConversion"/>
  </si>
  <si>
    <t>N</t>
    <phoneticPr fontId="2" type="noConversion"/>
  </si>
  <si>
    <t>Y</t>
    <phoneticPr fontId="2" type="noConversion"/>
  </si>
  <si>
    <t>Y</t>
    <phoneticPr fontId="2" type="noConversion"/>
  </si>
  <si>
    <t>Y</t>
    <phoneticPr fontId="2" type="noConversion"/>
  </si>
  <si>
    <t>Y</t>
    <phoneticPr fontId="2" type="noConversion"/>
  </si>
  <si>
    <t>N</t>
    <phoneticPr fontId="2" type="noConversion"/>
  </si>
  <si>
    <t>국산B</t>
    <phoneticPr fontId="2" type="noConversion"/>
  </si>
  <si>
    <t>N</t>
    <phoneticPr fontId="2" type="noConversion"/>
  </si>
  <si>
    <t>G</t>
    <phoneticPr fontId="2" type="noConversion"/>
  </si>
  <si>
    <t>G</t>
    <phoneticPr fontId="2" type="noConversion"/>
  </si>
  <si>
    <t>G</t>
    <phoneticPr fontId="2" type="noConversion"/>
  </si>
  <si>
    <t>F</t>
    <phoneticPr fontId="2" type="noConversion"/>
  </si>
  <si>
    <t>현대특판</t>
    <phoneticPr fontId="2" type="noConversion"/>
  </si>
  <si>
    <t>국산</t>
    <phoneticPr fontId="2" type="noConversion"/>
  </si>
  <si>
    <t>개소세(5%)</t>
    <phoneticPr fontId="2" type="noConversion"/>
  </si>
  <si>
    <t>개소세(5%) - 하이브리드 100</t>
    <phoneticPr fontId="2" type="noConversion"/>
  </si>
  <si>
    <t>개소세(3.5%) - 하이브리드 100</t>
    <phoneticPr fontId="2" type="noConversion"/>
  </si>
  <si>
    <t>특판 할인금액</t>
    <phoneticPr fontId="2" type="noConversion"/>
  </si>
  <si>
    <t>RV</t>
    <phoneticPr fontId="2" type="noConversion"/>
  </si>
  <si>
    <t>RV</t>
    <phoneticPr fontId="2" type="noConversion"/>
  </si>
  <si>
    <r>
      <t>MAX100 적용</t>
    </r>
    <r>
      <rPr>
        <b/>
        <sz val="8"/>
        <color theme="1"/>
        <rFont val="맑은 고딕"/>
        <family val="3"/>
        <charset val="129"/>
        <scheme val="major"/>
      </rPr>
      <t>(전기차 세제혜택적용)</t>
    </r>
    <phoneticPr fontId="2" type="noConversion"/>
  </si>
  <si>
    <t>현대특판</t>
    <phoneticPr fontId="2" type="noConversion"/>
  </si>
  <si>
    <t>현대자동차</t>
    <phoneticPr fontId="2" type="noConversion"/>
  </si>
  <si>
    <t>이용금액</t>
    <phoneticPr fontId="2" type="noConversion"/>
  </si>
  <si>
    <t>MSRP</t>
    <phoneticPr fontId="2" type="noConversion"/>
  </si>
  <si>
    <t>기타</t>
    <phoneticPr fontId="2" type="noConversion"/>
  </si>
  <si>
    <t xml:space="preserve">   </t>
    <phoneticPr fontId="2" type="noConversion"/>
  </si>
  <si>
    <t>차          종</t>
    <phoneticPr fontId="2" type="noConversion"/>
  </si>
  <si>
    <t>차         종</t>
    <phoneticPr fontId="2" type="noConversion"/>
  </si>
  <si>
    <t>옵         션</t>
    <phoneticPr fontId="2" type="noConversion"/>
  </si>
  <si>
    <t>고객 인도지</t>
    <phoneticPr fontId="2" type="noConversion"/>
  </si>
  <si>
    <t>기타 추가 용품</t>
    <phoneticPr fontId="2" type="noConversion"/>
  </si>
  <si>
    <t>비고</t>
    <phoneticPr fontId="2" type="noConversion"/>
  </si>
  <si>
    <r>
      <t xml:space="preserve">썬팅 :전   면 : </t>
    </r>
    <r>
      <rPr>
        <b/>
        <u/>
        <sz val="11"/>
        <rFont val="맑은 고딕"/>
        <family val="3"/>
        <charset val="129"/>
        <scheme val="minor"/>
      </rPr>
      <t xml:space="preserve">              %</t>
    </r>
    <r>
      <rPr>
        <b/>
        <sz val="11"/>
        <rFont val="맑은 고딕"/>
        <family val="3"/>
        <charset val="129"/>
        <scheme val="minor"/>
      </rPr>
      <t xml:space="preserve">
       측후면 : </t>
    </r>
    <r>
      <rPr>
        <b/>
        <u/>
        <sz val="11"/>
        <rFont val="맑은 고딕"/>
        <family val="3"/>
        <charset val="129"/>
        <scheme val="minor"/>
      </rPr>
      <t xml:space="preserve">              %</t>
    </r>
    <phoneticPr fontId="2" type="noConversion"/>
  </si>
  <si>
    <t>(단위 : VAT, 장착비 포함)</t>
    <phoneticPr fontId="2" type="noConversion"/>
  </si>
  <si>
    <t>항    목</t>
    <phoneticPr fontId="2" type="noConversion"/>
  </si>
  <si>
    <t>시공부위</t>
    <phoneticPr fontId="2" type="noConversion"/>
  </si>
  <si>
    <t>금 액</t>
    <phoneticPr fontId="2" type="noConversion"/>
  </si>
  <si>
    <t>제조사 및 모델명</t>
    <phoneticPr fontId="2" type="noConversion"/>
  </si>
  <si>
    <t>비 고</t>
    <phoneticPr fontId="2" type="noConversion"/>
  </si>
  <si>
    <t>썬    팅</t>
    <phoneticPr fontId="2" type="noConversion"/>
  </si>
  <si>
    <t>측,후면</t>
    <phoneticPr fontId="2" type="noConversion"/>
  </si>
  <si>
    <t>-</t>
    <phoneticPr fontId="2" type="noConversion"/>
  </si>
  <si>
    <t>쿠폰:루마,3M 中 택1</t>
    <phoneticPr fontId="2" type="noConversion"/>
  </si>
  <si>
    <t>전    면</t>
    <phoneticPr fontId="2" type="noConversion"/>
  </si>
  <si>
    <t>쿨맥스</t>
    <phoneticPr fontId="2" type="noConversion"/>
  </si>
  <si>
    <t xml:space="preserve">열차단필름 </t>
    <phoneticPr fontId="2" type="noConversion"/>
  </si>
  <si>
    <t>루마 PRO</t>
    <phoneticPr fontId="2" type="noConversion"/>
  </si>
  <si>
    <t>정품, 쿠폰 당사반납</t>
    <phoneticPr fontId="2" type="noConversion"/>
  </si>
  <si>
    <t>정품, 열차단 필름, 쿠폰 당사반납</t>
    <phoneticPr fontId="2" type="noConversion"/>
  </si>
  <si>
    <t>사  양</t>
    <phoneticPr fontId="2" type="noConversion"/>
  </si>
  <si>
    <t>특  징</t>
    <phoneticPr fontId="2" type="noConversion"/>
  </si>
  <si>
    <t>블 랙 박 스</t>
    <phoneticPr fontId="2" type="noConversion"/>
  </si>
  <si>
    <t>2채널</t>
    <phoneticPr fontId="2" type="noConversion"/>
  </si>
  <si>
    <t>2CH, 전방 FHD, 후방 HD</t>
    <phoneticPr fontId="2" type="noConversion"/>
  </si>
  <si>
    <r>
      <t>2CH, 3.5인치, 전</t>
    </r>
    <r>
      <rPr>
        <sz val="11"/>
        <color theme="1"/>
        <rFont val="맑은 고딕"/>
        <family val="3"/>
        <charset val="129"/>
      </rPr>
      <t>ㆍ후방</t>
    </r>
    <r>
      <rPr>
        <sz val="11"/>
        <color theme="1"/>
        <rFont val="맑은 고딕"/>
        <family val="2"/>
        <charset val="129"/>
      </rPr>
      <t xml:space="preserve"> </t>
    </r>
    <r>
      <rPr>
        <sz val="11"/>
        <color theme="1"/>
        <rFont val="맑은 고딕"/>
        <family val="2"/>
        <charset val="129"/>
        <scheme val="minor"/>
      </rPr>
      <t>슈퍼 HD</t>
    </r>
    <phoneticPr fontId="2" type="noConversion"/>
  </si>
  <si>
    <t>엠피온</t>
    <phoneticPr fontId="2" type="noConversion"/>
  </si>
  <si>
    <t>먼지털이개</t>
    <phoneticPr fontId="2" type="noConversion"/>
  </si>
  <si>
    <t>보조번호판</t>
    <phoneticPr fontId="2" type="noConversion"/>
  </si>
  <si>
    <t>□ 탁송비용_1차2차_단가표_vat별도</t>
    <phoneticPr fontId="2" type="noConversion"/>
  </si>
  <si>
    <t>□ 탁송비용_1차2차_단가표_vat별도</t>
    <phoneticPr fontId="2" type="noConversion"/>
  </si>
  <si>
    <t>출고지</t>
  </si>
  <si>
    <t>서울/경기/인천</t>
    <phoneticPr fontId="81" type="noConversion"/>
  </si>
  <si>
    <t>충남</t>
    <phoneticPr fontId="81" type="noConversion"/>
  </si>
  <si>
    <t>충북</t>
    <phoneticPr fontId="81" type="noConversion"/>
  </si>
  <si>
    <t>경북</t>
    <phoneticPr fontId="81" type="noConversion"/>
  </si>
  <si>
    <t>경남</t>
    <phoneticPr fontId="81" type="noConversion"/>
  </si>
  <si>
    <t>전북</t>
    <phoneticPr fontId="81" type="noConversion"/>
  </si>
  <si>
    <t>전남</t>
    <phoneticPr fontId="81" type="noConversion"/>
  </si>
  <si>
    <t>강원(영서)</t>
    <phoneticPr fontId="81" type="noConversion"/>
  </si>
  <si>
    <t>강원(영동)</t>
    <phoneticPr fontId="81" type="noConversion"/>
  </si>
  <si>
    <t>등록 및 부대비용</t>
    <phoneticPr fontId="81" type="noConversion"/>
  </si>
  <si>
    <t>부산</t>
  </si>
  <si>
    <t>항목</t>
    <phoneticPr fontId="81" type="noConversion"/>
  </si>
  <si>
    <t>비용</t>
    <phoneticPr fontId="81" type="noConversion"/>
  </si>
  <si>
    <t>비고</t>
    <phoneticPr fontId="81" type="noConversion"/>
  </si>
  <si>
    <t>울산</t>
  </si>
  <si>
    <t>등록대행수수료</t>
    <phoneticPr fontId="81" type="noConversion"/>
  </si>
  <si>
    <t>VAT 별도(서울,경기)</t>
    <phoneticPr fontId="81" type="noConversion"/>
  </si>
  <si>
    <t>아산</t>
  </si>
  <si>
    <t>세차</t>
    <phoneticPr fontId="81" type="noConversion"/>
  </si>
  <si>
    <t>VAT 별도(서울,경기)</t>
    <phoneticPr fontId="81" type="noConversion"/>
  </si>
  <si>
    <t>서산</t>
  </si>
  <si>
    <t>썬팅</t>
    <phoneticPr fontId="81" type="noConversion"/>
  </si>
  <si>
    <t>없음</t>
    <phoneticPr fontId="81" type="noConversion"/>
  </si>
  <si>
    <t>소하리</t>
  </si>
  <si>
    <t>선보루마</t>
    <phoneticPr fontId="81" type="noConversion"/>
  </si>
  <si>
    <t>VAT 별도</t>
    <phoneticPr fontId="81" type="noConversion"/>
  </si>
  <si>
    <t>화성</t>
  </si>
  <si>
    <t>선보OEM</t>
    <phoneticPr fontId="81" type="noConversion"/>
  </si>
  <si>
    <t>VAT 별도</t>
    <phoneticPr fontId="81" type="noConversion"/>
  </si>
  <si>
    <t>광주</t>
  </si>
  <si>
    <t>유림레이노</t>
    <phoneticPr fontId="81" type="noConversion"/>
  </si>
  <si>
    <t>창원</t>
  </si>
  <si>
    <t>유림루마</t>
    <phoneticPr fontId="81" type="noConversion"/>
  </si>
  <si>
    <t>송도</t>
  </si>
  <si>
    <t>번호판대</t>
    <phoneticPr fontId="81" type="noConversion"/>
  </si>
  <si>
    <t>군산</t>
  </si>
  <si>
    <t>보조번호판대</t>
    <phoneticPr fontId="81" type="noConversion"/>
  </si>
  <si>
    <t>VAT 포함</t>
    <phoneticPr fontId="81" type="noConversion"/>
  </si>
  <si>
    <t>평택</t>
  </si>
  <si>
    <t>인지대</t>
    <phoneticPr fontId="81" type="noConversion"/>
  </si>
  <si>
    <t>먼지 털이개</t>
    <phoneticPr fontId="81" type="noConversion"/>
  </si>
  <si>
    <t>VAT 포함</t>
    <phoneticPr fontId="81" type="noConversion"/>
  </si>
  <si>
    <t>합계</t>
    <phoneticPr fontId="81" type="noConversion"/>
  </si>
  <si>
    <t>딜러/AG선택시 비용합계</t>
    <phoneticPr fontId="81" type="noConversion"/>
  </si>
  <si>
    <t>출고지별 차종</t>
    <phoneticPr fontId="2" type="noConversion"/>
  </si>
  <si>
    <t>구분</t>
    <phoneticPr fontId="2" type="noConversion"/>
  </si>
  <si>
    <t>현대</t>
    <phoneticPr fontId="2" type="noConversion"/>
  </si>
  <si>
    <t>기아</t>
    <phoneticPr fontId="2" type="noConversion"/>
  </si>
  <si>
    <t>쉐보레</t>
    <phoneticPr fontId="2" type="noConversion"/>
  </si>
  <si>
    <t>쌍용</t>
    <phoneticPr fontId="2" type="noConversion"/>
  </si>
  <si>
    <t>울산</t>
    <phoneticPr fontId="2" type="noConversion"/>
  </si>
  <si>
    <t>아산</t>
    <phoneticPr fontId="2" type="noConversion"/>
  </si>
  <si>
    <r>
      <t>칠곡,</t>
    </r>
    <r>
      <rPr>
        <b/>
        <sz val="10"/>
        <color theme="1"/>
        <rFont val="맑은 고딕"/>
        <family val="3"/>
        <charset val="129"/>
      </rPr>
      <t>양산</t>
    </r>
    <phoneticPr fontId="2" type="noConversion"/>
  </si>
  <si>
    <t>성북</t>
    <phoneticPr fontId="2" type="noConversion"/>
  </si>
  <si>
    <t>시흥,신갈</t>
    <phoneticPr fontId="2" type="noConversion"/>
  </si>
  <si>
    <t>전주,옥천</t>
    <phoneticPr fontId="2" type="noConversion"/>
  </si>
  <si>
    <t>화성</t>
    <phoneticPr fontId="2" type="noConversion"/>
  </si>
  <si>
    <t>소하리</t>
    <phoneticPr fontId="2" type="noConversion"/>
  </si>
  <si>
    <t>서산,충주</t>
    <phoneticPr fontId="2" type="noConversion"/>
  </si>
  <si>
    <t>광주</t>
    <phoneticPr fontId="2" type="noConversion"/>
  </si>
  <si>
    <t>신태인</t>
    <phoneticPr fontId="2" type="noConversion"/>
  </si>
  <si>
    <t>덕평</t>
    <phoneticPr fontId="2" type="noConversion"/>
  </si>
  <si>
    <t>인천</t>
    <phoneticPr fontId="2" type="noConversion"/>
  </si>
  <si>
    <t>군산</t>
    <phoneticPr fontId="2" type="noConversion"/>
  </si>
  <si>
    <t>창원</t>
    <phoneticPr fontId="2" type="noConversion"/>
  </si>
  <si>
    <t>평택</t>
    <phoneticPr fontId="2" type="noConversion"/>
  </si>
  <si>
    <t>부산</t>
    <phoneticPr fontId="2" type="noConversion"/>
  </si>
  <si>
    <t>스타렉스</t>
    <phoneticPr fontId="2" type="noConversion"/>
  </si>
  <si>
    <t>그랜져</t>
    <phoneticPr fontId="2" type="noConversion"/>
  </si>
  <si>
    <t>싼타페 TM</t>
    <phoneticPr fontId="2" type="noConversion"/>
  </si>
  <si>
    <t>스타렉스(리)</t>
    <phoneticPr fontId="2" type="noConversion"/>
  </si>
  <si>
    <t>K3</t>
    <phoneticPr fontId="2" type="noConversion"/>
  </si>
  <si>
    <t>카니발</t>
    <phoneticPr fontId="2" type="noConversion"/>
  </si>
  <si>
    <t>레이</t>
    <phoneticPr fontId="2" type="noConversion"/>
  </si>
  <si>
    <t>스포티지</t>
    <phoneticPr fontId="2" type="noConversion"/>
  </si>
  <si>
    <t>카니발(리)</t>
    <phoneticPr fontId="2" type="noConversion"/>
  </si>
  <si>
    <t>말리부</t>
    <phoneticPr fontId="2" type="noConversion"/>
  </si>
  <si>
    <t>올란도</t>
    <phoneticPr fontId="2" type="noConversion"/>
  </si>
  <si>
    <t>스파크</t>
    <phoneticPr fontId="2" type="noConversion"/>
  </si>
  <si>
    <t>렉스턴</t>
    <phoneticPr fontId="2" type="noConversion"/>
  </si>
  <si>
    <t>SM3</t>
    <phoneticPr fontId="2" type="noConversion"/>
  </si>
  <si>
    <t>맥스크루즈</t>
    <phoneticPr fontId="2" type="noConversion"/>
  </si>
  <si>
    <t>쏘나타</t>
    <phoneticPr fontId="2" type="noConversion"/>
  </si>
  <si>
    <t>쏠라티</t>
    <phoneticPr fontId="2" type="noConversion"/>
  </si>
  <si>
    <t>K5</t>
    <phoneticPr fontId="2" type="noConversion"/>
  </si>
  <si>
    <t>프라이드</t>
    <phoneticPr fontId="2" type="noConversion"/>
  </si>
  <si>
    <t>모닝</t>
    <phoneticPr fontId="2" type="noConversion"/>
  </si>
  <si>
    <t>쏘울</t>
    <phoneticPr fontId="2" type="noConversion"/>
  </si>
  <si>
    <t>아베오</t>
    <phoneticPr fontId="2" type="noConversion"/>
  </si>
  <si>
    <t>크루즈</t>
    <phoneticPr fontId="2" type="noConversion"/>
  </si>
  <si>
    <t>다마스</t>
    <phoneticPr fontId="2" type="noConversion"/>
  </si>
  <si>
    <t>코란도</t>
    <phoneticPr fontId="2" type="noConversion"/>
  </si>
  <si>
    <t>SM5</t>
    <phoneticPr fontId="2" type="noConversion"/>
  </si>
  <si>
    <t>싼타페</t>
    <phoneticPr fontId="2" type="noConversion"/>
  </si>
  <si>
    <t>K7</t>
    <phoneticPr fontId="2" type="noConversion"/>
  </si>
  <si>
    <t>K9</t>
    <phoneticPr fontId="2" type="noConversion"/>
  </si>
  <si>
    <t>카렌스</t>
    <phoneticPr fontId="2" type="noConversion"/>
  </si>
  <si>
    <t>임팔라</t>
    <phoneticPr fontId="2" type="noConversion"/>
  </si>
  <si>
    <t>체어맨</t>
    <phoneticPr fontId="2" type="noConversion"/>
  </si>
  <si>
    <t>SM6</t>
    <phoneticPr fontId="2" type="noConversion"/>
  </si>
  <si>
    <t>투싼</t>
    <phoneticPr fontId="2" type="noConversion"/>
  </si>
  <si>
    <t>모하비</t>
    <phoneticPr fontId="2" type="noConversion"/>
  </si>
  <si>
    <t>스팅어</t>
    <phoneticPr fontId="2" type="noConversion"/>
  </si>
  <si>
    <t>셀토스</t>
    <phoneticPr fontId="2" type="noConversion"/>
  </si>
  <si>
    <t>캡티바</t>
    <phoneticPr fontId="2" type="noConversion"/>
  </si>
  <si>
    <t>티볼리</t>
    <phoneticPr fontId="2" type="noConversion"/>
  </si>
  <si>
    <t>SM7</t>
    <phoneticPr fontId="2" type="noConversion"/>
  </si>
  <si>
    <t>코나</t>
    <phoneticPr fontId="2" type="noConversion"/>
  </si>
  <si>
    <t>쏘렌토</t>
    <phoneticPr fontId="2" type="noConversion"/>
  </si>
  <si>
    <t>스토닉</t>
    <phoneticPr fontId="2" type="noConversion"/>
  </si>
  <si>
    <t>트랙스</t>
    <phoneticPr fontId="2" type="noConversion"/>
  </si>
  <si>
    <t>QM3</t>
    <phoneticPr fontId="2" type="noConversion"/>
  </si>
  <si>
    <t>엑센트</t>
    <phoneticPr fontId="2" type="noConversion"/>
  </si>
  <si>
    <t>트레일블레이저</t>
    <phoneticPr fontId="2" type="noConversion"/>
  </si>
  <si>
    <t>QM6</t>
    <phoneticPr fontId="2" type="noConversion"/>
  </si>
  <si>
    <t>전북</t>
    <phoneticPr fontId="81" type="noConversion"/>
  </si>
  <si>
    <t>강원(영동)</t>
    <phoneticPr fontId="81" type="noConversion"/>
  </si>
  <si>
    <t>아반떼</t>
    <phoneticPr fontId="2" type="noConversion"/>
  </si>
  <si>
    <t>트래버스</t>
    <phoneticPr fontId="2" type="noConversion"/>
  </si>
  <si>
    <t>XM3</t>
    <phoneticPr fontId="2" type="noConversion"/>
  </si>
  <si>
    <t>아이오닉</t>
    <phoneticPr fontId="2" type="noConversion"/>
  </si>
  <si>
    <t>G90, GV80</t>
    <phoneticPr fontId="2" type="noConversion"/>
  </si>
  <si>
    <t>신갈(출)</t>
    <phoneticPr fontId="2" type="noConversion"/>
  </si>
  <si>
    <t>G80</t>
    <phoneticPr fontId="2" type="noConversion"/>
  </si>
  <si>
    <t>칠곡(출)</t>
    <phoneticPr fontId="2" type="noConversion"/>
  </si>
  <si>
    <t>G70</t>
    <phoneticPr fontId="2" type="noConversion"/>
  </si>
  <si>
    <t>화성</t>
    <phoneticPr fontId="2" type="noConversion"/>
  </si>
  <si>
    <t>i30</t>
    <phoneticPr fontId="2" type="noConversion"/>
  </si>
  <si>
    <t>소하리</t>
    <phoneticPr fontId="2" type="noConversion"/>
  </si>
  <si>
    <t>i40</t>
    <phoneticPr fontId="2" type="noConversion"/>
  </si>
  <si>
    <t>덕평(출)</t>
    <phoneticPr fontId="2" type="noConversion"/>
  </si>
  <si>
    <t>베뉴</t>
    <phoneticPr fontId="2" type="noConversion"/>
  </si>
  <si>
    <t>서산</t>
    <phoneticPr fontId="2" type="noConversion"/>
  </si>
  <si>
    <t>충주(출)</t>
    <phoneticPr fontId="2" type="noConversion"/>
  </si>
  <si>
    <t>인천</t>
    <phoneticPr fontId="2" type="noConversion"/>
  </si>
  <si>
    <t>군산</t>
    <phoneticPr fontId="2" type="noConversion"/>
  </si>
  <si>
    <t>창원</t>
    <phoneticPr fontId="2" type="noConversion"/>
  </si>
  <si>
    <t>부산</t>
    <phoneticPr fontId="2" type="noConversion"/>
  </si>
  <si>
    <t>평택</t>
    <phoneticPr fontId="2" type="noConversion"/>
  </si>
  <si>
    <t>단, 제조사의뢰 탁송(1차탁송)으로 당사에 도착된 모든 차량의 탁송료는 아래의 요금표로 진행</t>
    <phoneticPr fontId="2" type="noConversion"/>
  </si>
  <si>
    <t>서울/경기/인천</t>
    <phoneticPr fontId="81" type="noConversion"/>
  </si>
  <si>
    <t>충남</t>
    <phoneticPr fontId="81" type="noConversion"/>
  </si>
  <si>
    <t>전북</t>
    <phoneticPr fontId="81" type="noConversion"/>
  </si>
  <si>
    <t>강원(영서)</t>
    <phoneticPr fontId="81" type="noConversion"/>
  </si>
  <si>
    <t>강원(영동)</t>
    <phoneticPr fontId="81" type="noConversion"/>
  </si>
  <si>
    <t>울산</t>
    <phoneticPr fontId="2" type="noConversion"/>
  </si>
  <si>
    <t>경남</t>
    <phoneticPr fontId="81" type="noConversion"/>
  </si>
  <si>
    <t>충북</t>
    <phoneticPr fontId="81" type="noConversion"/>
  </si>
  <si>
    <t>아산</t>
    <phoneticPr fontId="2" type="noConversion"/>
  </si>
  <si>
    <t>신갈(출)</t>
    <phoneticPr fontId="2" type="noConversion"/>
  </si>
  <si>
    <t>칠곡(출)</t>
    <phoneticPr fontId="2" type="noConversion"/>
  </si>
  <si>
    <t>화성</t>
    <phoneticPr fontId="2" type="noConversion"/>
  </si>
  <si>
    <t>소하리</t>
    <phoneticPr fontId="2" type="noConversion"/>
  </si>
  <si>
    <t>덕평(출)</t>
    <phoneticPr fontId="2" type="noConversion"/>
  </si>
  <si>
    <t>서산</t>
    <phoneticPr fontId="2" type="noConversion"/>
  </si>
  <si>
    <t>충주(출)</t>
    <phoneticPr fontId="2" type="noConversion"/>
  </si>
  <si>
    <t>광주</t>
    <phoneticPr fontId="2" type="noConversion"/>
  </si>
  <si>
    <t>인천</t>
    <phoneticPr fontId="2" type="noConversion"/>
  </si>
  <si>
    <t>창원</t>
    <phoneticPr fontId="2" type="noConversion"/>
  </si>
  <si>
    <t>신갈(출)</t>
  </si>
  <si>
    <t>칠곡(출)</t>
  </si>
  <si>
    <t>덕평(출)</t>
  </si>
  <si>
    <t>충주(출)</t>
  </si>
  <si>
    <t>차량
탁송
/
용품</t>
    <phoneticPr fontId="2" type="noConversion"/>
  </si>
  <si>
    <t>메이커 1차 탁송료</t>
    <phoneticPr fontId="2" type="noConversion"/>
  </si>
  <si>
    <t>2차 탁송</t>
    <phoneticPr fontId="2" type="noConversion"/>
  </si>
  <si>
    <t>ㆍ 유림</t>
    <phoneticPr fontId="2" type="noConversion"/>
  </si>
  <si>
    <r>
      <t>측</t>
    </r>
    <r>
      <rPr>
        <sz val="9"/>
        <rFont val="맑은 고딕"/>
        <family val="3"/>
        <charset val="129"/>
      </rPr>
      <t>·후면 썬팅</t>
    </r>
    <phoneticPr fontId="2" type="noConversion"/>
  </si>
  <si>
    <t>전면 썬팅</t>
    <phoneticPr fontId="2" type="noConversion"/>
  </si>
  <si>
    <t>없음</t>
    <phoneticPr fontId="2" type="noConversion"/>
  </si>
  <si>
    <t>□ 2차탁송구분</t>
    <phoneticPr fontId="2" type="noConversion"/>
  </si>
  <si>
    <t>제휴탁송사</t>
    <phoneticPr fontId="2" type="noConversion"/>
  </si>
  <si>
    <t>딜러/Agent</t>
    <phoneticPr fontId="2" type="noConversion"/>
  </si>
  <si>
    <t>2차탁송</t>
    <phoneticPr fontId="2" type="noConversion"/>
  </si>
  <si>
    <t>출고지</t>
    <phoneticPr fontId="2" type="noConversion"/>
  </si>
  <si>
    <t>□ 탁송 및 등록 부대비용_vat포함</t>
    <phoneticPr fontId="2" type="noConversion"/>
  </si>
  <si>
    <t>번호판만 배송</t>
    <phoneticPr fontId="2" type="noConversion"/>
  </si>
  <si>
    <t>총계</t>
    <phoneticPr fontId="2" type="noConversion"/>
  </si>
  <si>
    <t>탁송비용</t>
    <phoneticPr fontId="2" type="noConversion"/>
  </si>
  <si>
    <t>공급가액</t>
    <phoneticPr fontId="2" type="noConversion"/>
  </si>
  <si>
    <t>부가세</t>
    <phoneticPr fontId="2" type="noConversion"/>
  </si>
  <si>
    <t>세차비용</t>
    <phoneticPr fontId="2" type="noConversion"/>
  </si>
  <si>
    <t>인지대</t>
    <phoneticPr fontId="2" type="noConversion"/>
  </si>
  <si>
    <t>용품비용</t>
    <phoneticPr fontId="2" type="noConversion"/>
  </si>
  <si>
    <t>전면썬팅</t>
    <phoneticPr fontId="2" type="noConversion"/>
  </si>
  <si>
    <t>기타용품</t>
    <phoneticPr fontId="2" type="noConversion"/>
  </si>
  <si>
    <t>□ 2차탁송_지역_List</t>
    <phoneticPr fontId="2" type="noConversion"/>
  </si>
  <si>
    <t>전북</t>
    <phoneticPr fontId="81" type="noConversion"/>
  </si>
  <si>
    <t>□ 견적시트_전산입력용</t>
    <phoneticPr fontId="2" type="noConversion"/>
  </si>
  <si>
    <t>취득원가</t>
    <phoneticPr fontId="2" type="noConversion"/>
  </si>
  <si>
    <t>견적 ① (기간 / IRR)</t>
    <phoneticPr fontId="2" type="noConversion"/>
  </si>
  <si>
    <t>대여료</t>
    <phoneticPr fontId="2" type="noConversion"/>
  </si>
  <si>
    <t>비고</t>
    <phoneticPr fontId="2" type="noConversion"/>
  </si>
  <si>
    <t>공급가액</t>
    <phoneticPr fontId="2" type="noConversion"/>
  </si>
  <si>
    <t>차량분</t>
    <phoneticPr fontId="2" type="noConversion"/>
  </si>
  <si>
    <t>차세분</t>
    <phoneticPr fontId="2" type="noConversion"/>
  </si>
  <si>
    <t>부가세</t>
    <phoneticPr fontId="2" type="noConversion"/>
  </si>
  <si>
    <t>담보및 선수율</t>
    <phoneticPr fontId="2" type="noConversion"/>
  </si>
  <si>
    <t>보증금</t>
    <phoneticPr fontId="2" type="noConversion"/>
  </si>
  <si>
    <t>선수금</t>
    <phoneticPr fontId="2" type="noConversion"/>
  </si>
  <si>
    <t>수수료</t>
    <phoneticPr fontId="2" type="noConversion"/>
  </si>
  <si>
    <t>1. 차량</t>
    <phoneticPr fontId="2" type="noConversion"/>
  </si>
  <si>
    <t>차량 종 금액</t>
    <phoneticPr fontId="2" type="noConversion"/>
  </si>
  <si>
    <t>옵션가격</t>
    <phoneticPr fontId="2" type="noConversion"/>
  </si>
  <si>
    <t>현대_리워드</t>
    <phoneticPr fontId="2" type="noConversion"/>
  </si>
  <si>
    <t>대리점_1차탁송료</t>
    <phoneticPr fontId="2" type="noConversion"/>
  </si>
  <si>
    <t>출고가격(세금계산서)</t>
    <phoneticPr fontId="2" type="noConversion"/>
  </si>
  <si>
    <t>2. 등록 및 탁송</t>
    <phoneticPr fontId="2" type="noConversion"/>
  </si>
  <si>
    <t>등록 및 탁송사지급비용</t>
    <phoneticPr fontId="2" type="noConversion"/>
  </si>
  <si>
    <t>등록비용</t>
    <phoneticPr fontId="2" type="noConversion"/>
  </si>
  <si>
    <t>취등록세</t>
    <phoneticPr fontId="2" type="noConversion"/>
  </si>
  <si>
    <t>등록대행수수료(배송비포함)</t>
    <phoneticPr fontId="2" type="noConversion"/>
  </si>
  <si>
    <t>번호판대</t>
    <phoneticPr fontId="2" type="noConversion"/>
  </si>
  <si>
    <t>기타비용</t>
    <phoneticPr fontId="2" type="noConversion"/>
  </si>
  <si>
    <t>4. 잔가</t>
    <phoneticPr fontId="2" type="noConversion"/>
  </si>
  <si>
    <t>잔가 금액</t>
    <phoneticPr fontId="2" type="noConversion"/>
  </si>
  <si>
    <t>차량기본가격</t>
    <phoneticPr fontId="2" type="noConversion"/>
  </si>
  <si>
    <t>등록대행수수료</t>
    <phoneticPr fontId="2" type="noConversion"/>
  </si>
  <si>
    <t>보조번호판</t>
    <phoneticPr fontId="2" type="noConversion"/>
  </si>
  <si>
    <t>세차비용</t>
    <phoneticPr fontId="2" type="noConversion"/>
  </si>
  <si>
    <t>번호판비용(필름/일반)</t>
    <phoneticPr fontId="2" type="noConversion"/>
  </si>
  <si>
    <t>등록부대비용합계</t>
  </si>
  <si>
    <t>등록부대비용합계</t>
    <phoneticPr fontId="2" type="noConversion"/>
  </si>
  <si>
    <t>용품비용합계</t>
    <phoneticPr fontId="2" type="noConversion"/>
  </si>
  <si>
    <t>기타용품비용(썬팅+불박)</t>
    <phoneticPr fontId="2" type="noConversion"/>
  </si>
  <si>
    <t>← 리워드</t>
  </si>
  <si>
    <t>합계(등록부대비용)</t>
    <phoneticPr fontId="2" type="noConversion"/>
  </si>
  <si>
    <t>※번호판비용</t>
    <phoneticPr fontId="2" type="noConversion"/>
  </si>
  <si>
    <t>MAX100 적용</t>
    <phoneticPr fontId="2" type="noConversion"/>
  </si>
  <si>
    <t>개소세(5%) - 하이브리드 100</t>
    <phoneticPr fontId="2" type="noConversion"/>
  </si>
  <si>
    <t>개소세(3.5%) - 하이브리드 100</t>
    <phoneticPr fontId="2" type="noConversion"/>
  </si>
  <si>
    <t>개소세 할인금액(현대,기아"특판", 전기차"특판")</t>
    <phoneticPr fontId="2" type="noConversion"/>
  </si>
  <si>
    <t>1. 개소세 적용가</t>
    <phoneticPr fontId="2" type="noConversion"/>
  </si>
  <si>
    <t>개소세(3.5%) - 하이브리드 100</t>
    <phoneticPr fontId="2" type="noConversion"/>
  </si>
  <si>
    <r>
      <t>MAX100 적용</t>
    </r>
    <r>
      <rPr>
        <b/>
        <sz val="8"/>
        <color theme="1"/>
        <rFont val="맑은 고딕"/>
        <family val="3"/>
        <charset val="129"/>
        <scheme val="major"/>
      </rPr>
      <t>(전기차 세제혜택적용)</t>
    </r>
    <phoneticPr fontId="2" type="noConversion"/>
  </si>
  <si>
    <t>개소세 할인금액(현대,기아"특판", 전기차"특판")</t>
    <phoneticPr fontId="2" type="noConversion"/>
  </si>
  <si>
    <t>1. 개소세 적용가</t>
    <phoneticPr fontId="2" type="noConversion"/>
  </si>
  <si>
    <t>특판 할인금액</t>
    <phoneticPr fontId="2" type="noConversion"/>
  </si>
  <si>
    <t>개소세(5%)</t>
    <phoneticPr fontId="2" type="noConversion"/>
  </si>
  <si>
    <t>개소세(5%) - 하이브리드 100</t>
    <phoneticPr fontId="2" type="noConversion"/>
  </si>
  <si>
    <t>개소세(3.5%) - 하이브리드 100</t>
    <phoneticPr fontId="2" type="noConversion"/>
  </si>
  <si>
    <r>
      <t>MAX100 적용</t>
    </r>
    <r>
      <rPr>
        <b/>
        <sz val="8"/>
        <color theme="1"/>
        <rFont val="맑은 고딕"/>
        <family val="3"/>
        <charset val="129"/>
        <scheme val="major"/>
      </rPr>
      <t>(전기차 세제혜택적용)</t>
    </r>
    <phoneticPr fontId="2" type="noConversion"/>
  </si>
  <si>
    <t>개소세 할인금액(현대,기아"특판", 전기차"특판")</t>
    <phoneticPr fontId="2" type="noConversion"/>
  </si>
  <si>
    <t>1. 개소세 적용가</t>
    <phoneticPr fontId="2" type="noConversion"/>
  </si>
  <si>
    <t>특판 할인금액</t>
    <phoneticPr fontId="2" type="noConversion"/>
  </si>
  <si>
    <t>개소세 할인금액(현대,기아"특판", 전기차"특판")</t>
    <phoneticPr fontId="2" type="noConversion"/>
  </si>
  <si>
    <t>개소세(5%)</t>
    <phoneticPr fontId="2" type="noConversion"/>
  </si>
  <si>
    <t>개소세(5%) - 하이브리드 100</t>
    <phoneticPr fontId="2" type="noConversion"/>
  </si>
  <si>
    <t>딜러사1차+제휴2차</t>
    <phoneticPr fontId="2" type="noConversion"/>
  </si>
  <si>
    <t>딜러사1차+제휴2차</t>
    <phoneticPr fontId="2" type="noConversion"/>
  </si>
  <si>
    <t>■ 프로모션적용</t>
    <phoneticPr fontId="2" type="noConversion"/>
  </si>
  <si>
    <t>차종</t>
    <phoneticPr fontId="2" type="noConversion"/>
  </si>
  <si>
    <t>-</t>
    <phoneticPr fontId="2" type="noConversion"/>
  </si>
  <si>
    <t xml:space="preserve"> </t>
    <phoneticPr fontId="2" type="noConversion"/>
  </si>
  <si>
    <t>계산서수기조정</t>
    <phoneticPr fontId="2" type="noConversion"/>
  </si>
  <si>
    <t>리스료</t>
    <phoneticPr fontId="2" type="noConversion"/>
  </si>
  <si>
    <t>개소세할인</t>
    <phoneticPr fontId="2" type="noConversion"/>
  </si>
  <si>
    <t>특판할인</t>
    <phoneticPr fontId="2" type="noConversion"/>
  </si>
  <si>
    <t>딜러사할인</t>
    <phoneticPr fontId="2" type="noConversion"/>
  </si>
  <si>
    <t>특판할인율</t>
    <phoneticPr fontId="2" type="noConversion"/>
  </si>
  <si>
    <t>■ 고객정보</t>
    <phoneticPr fontId="2" type="noConversion"/>
  </si>
  <si>
    <t>계약자</t>
    <phoneticPr fontId="2" type="noConversion"/>
  </si>
  <si>
    <t>담당자 연락처</t>
    <phoneticPr fontId="2" type="noConversion"/>
  </si>
  <si>
    <t>연대보증인</t>
    <phoneticPr fontId="2" type="noConversion"/>
  </si>
  <si>
    <t>연락처</t>
    <phoneticPr fontId="2" type="noConversion"/>
  </si>
  <si>
    <t>차량 계약번호</t>
    <phoneticPr fontId="2" type="noConversion"/>
  </si>
  <si>
    <t>■ 차량정보</t>
    <phoneticPr fontId="2" type="noConversion"/>
  </si>
  <si>
    <t>차 종</t>
    <phoneticPr fontId="2" type="noConversion"/>
  </si>
  <si>
    <t>유 종</t>
    <phoneticPr fontId="2" type="noConversion"/>
  </si>
  <si>
    <t>구 분</t>
    <phoneticPr fontId="2" type="noConversion"/>
  </si>
  <si>
    <t>옵션 명</t>
    <phoneticPr fontId="2" type="noConversion"/>
  </si>
  <si>
    <t>외장색상</t>
    <phoneticPr fontId="2" type="noConversion"/>
  </si>
  <si>
    <t>옵 션</t>
    <phoneticPr fontId="2" type="noConversion"/>
  </si>
  <si>
    <t>내장색상</t>
    <phoneticPr fontId="2" type="noConversion"/>
  </si>
  <si>
    <t>판매사
탁송료</t>
    <phoneticPr fontId="2" type="noConversion"/>
  </si>
  <si>
    <t>차량가</t>
    <phoneticPr fontId="2" type="noConversion"/>
  </si>
  <si>
    <t>옵션가</t>
    <phoneticPr fontId="2" type="noConversion"/>
  </si>
  <si>
    <t>합 계</t>
    <phoneticPr fontId="2" type="noConversion"/>
  </si>
  <si>
    <t>■ 상품조건</t>
    <phoneticPr fontId="2" type="noConversion"/>
  </si>
  <si>
    <t>대여기간</t>
    <phoneticPr fontId="2" type="noConversion"/>
  </si>
  <si>
    <t>월임대료</t>
    <phoneticPr fontId="2" type="noConversion"/>
  </si>
  <si>
    <t>잔가보장사</t>
    <phoneticPr fontId="2" type="noConversion"/>
  </si>
  <si>
    <t>보증금</t>
    <phoneticPr fontId="2" type="noConversion"/>
  </si>
  <si>
    <t>잔가율</t>
    <phoneticPr fontId="2" type="noConversion"/>
  </si>
  <si>
    <t>주행거리</t>
    <phoneticPr fontId="2" type="noConversion"/>
  </si>
  <si>
    <t>선수금</t>
    <phoneticPr fontId="2" type="noConversion"/>
  </si>
  <si>
    <t>잔존가치</t>
    <phoneticPr fontId="2" type="noConversion"/>
  </si>
  <si>
    <t>IRR</t>
    <phoneticPr fontId="2" type="noConversion"/>
  </si>
  <si>
    <t>■ 보험조건</t>
    <phoneticPr fontId="2" type="noConversion"/>
  </si>
  <si>
    <t>법인특약</t>
    <phoneticPr fontId="2" type="noConversion"/>
  </si>
  <si>
    <t>운전자 연령</t>
    <phoneticPr fontId="2" type="noConversion"/>
  </si>
  <si>
    <t>대물</t>
    <phoneticPr fontId="2" type="noConversion"/>
  </si>
  <si>
    <t>■ 정비조건</t>
    <phoneticPr fontId="2" type="noConversion"/>
  </si>
  <si>
    <t>정비상품</t>
    <phoneticPr fontId="2" type="noConversion"/>
  </si>
  <si>
    <t>구분</t>
    <phoneticPr fontId="2" type="noConversion"/>
  </si>
  <si>
    <t>측/후면 썬팅 농도</t>
    <phoneticPr fontId="2" type="noConversion"/>
  </si>
  <si>
    <t>전면썬팅 농도</t>
    <phoneticPr fontId="2" type="noConversion"/>
  </si>
  <si>
    <t>블랙박스</t>
    <phoneticPr fontId="2" type="noConversion"/>
  </si>
  <si>
    <t>추가비용</t>
    <phoneticPr fontId="2" type="noConversion"/>
  </si>
  <si>
    <t>총 합계</t>
    <phoneticPr fontId="2" type="noConversion"/>
  </si>
  <si>
    <t>용품내용</t>
    <phoneticPr fontId="2" type="noConversion"/>
  </si>
  <si>
    <t>필름번호판</t>
  </si>
  <si>
    <t>용품비용</t>
    <phoneticPr fontId="2" type="noConversion"/>
  </si>
  <si>
    <t>■ 배송정보</t>
    <phoneticPr fontId="2" type="noConversion"/>
  </si>
  <si>
    <t>탁송방법</t>
    <phoneticPr fontId="2" type="noConversion"/>
  </si>
  <si>
    <t>탁송지</t>
    <phoneticPr fontId="2" type="noConversion"/>
  </si>
  <si>
    <t>인수자</t>
    <phoneticPr fontId="2" type="noConversion"/>
  </si>
  <si>
    <t>연락처(1)</t>
    <phoneticPr fontId="2" type="noConversion"/>
  </si>
  <si>
    <t>연락처(2)</t>
    <phoneticPr fontId="2" type="noConversion"/>
  </si>
  <si>
    <t>B74 : 현대자동차 도산대로지점</t>
    <phoneticPr fontId="2" type="noConversion"/>
  </si>
  <si>
    <t xml:space="preserve">B78 : 현대자동차 답십리대리점 국민은행 756490-14-127475 / T.02-2242-1581  F. 02-2243-1232 </t>
    <phoneticPr fontId="2" type="noConversion"/>
  </si>
  <si>
    <t>■ 여신담당</t>
    <phoneticPr fontId="2" type="noConversion"/>
  </si>
  <si>
    <t>X23 : 현대자동차 건국대리점  우리은행 278-979609-18-971 / T.02-454-9040</t>
    <phoneticPr fontId="2" type="noConversion"/>
  </si>
  <si>
    <t>구분</t>
    <phoneticPr fontId="2" type="noConversion"/>
  </si>
  <si>
    <t>여신담당</t>
    <phoneticPr fontId="2" type="noConversion"/>
  </si>
  <si>
    <t>CM</t>
    <phoneticPr fontId="2" type="noConversion"/>
  </si>
  <si>
    <t>AG</t>
    <phoneticPr fontId="2" type="noConversion"/>
  </si>
  <si>
    <t>AG연락처</t>
    <phoneticPr fontId="2" type="noConversion"/>
  </si>
  <si>
    <t>X72 : 현대자동차 목동중부지점 국민은행 756490 14 130440</t>
    <phoneticPr fontId="2" type="noConversion"/>
  </si>
  <si>
    <t>이름</t>
    <phoneticPr fontId="2" type="noConversion"/>
  </si>
  <si>
    <t xml:space="preserve">현대자동차 신강남대리점 국민은행 757190 14 550908 </t>
    <phoneticPr fontId="2" type="noConversion"/>
  </si>
  <si>
    <t>수수료율</t>
    <phoneticPr fontId="2" type="noConversion"/>
  </si>
  <si>
    <t>-</t>
    <phoneticPr fontId="2" type="noConversion"/>
  </si>
  <si>
    <t>현대자동차 이태원대리점 KEB하나은행 374-906388088-37</t>
    <phoneticPr fontId="2" type="noConversion"/>
  </si>
  <si>
    <t>실지급 수수료율</t>
    <phoneticPr fontId="2" type="noConversion"/>
  </si>
  <si>
    <t>■ 비 고</t>
    <phoneticPr fontId="2" type="noConversion"/>
  </si>
  <si>
    <t>특이사항</t>
    <phoneticPr fontId="2" type="noConversion"/>
  </si>
  <si>
    <t>← 반드시 작성!!</t>
    <phoneticPr fontId="2" type="noConversion"/>
  </si>
  <si>
    <t>■ 고객정보</t>
    <phoneticPr fontId="2" type="noConversion"/>
  </si>
  <si>
    <t>계약자</t>
    <phoneticPr fontId="2" type="noConversion"/>
  </si>
  <si>
    <t>계약자 연락처</t>
    <phoneticPr fontId="2" type="noConversion"/>
  </si>
  <si>
    <t>연대보증인 연락처</t>
    <phoneticPr fontId="2" type="noConversion"/>
  </si>
  <si>
    <t>차량 계약번호</t>
    <phoneticPr fontId="2" type="noConversion"/>
  </si>
  <si>
    <t>■ 차량정보</t>
    <phoneticPr fontId="2" type="noConversion"/>
  </si>
  <si>
    <t>차 종</t>
    <phoneticPr fontId="2" type="noConversion"/>
  </si>
  <si>
    <t>옵션 명</t>
    <phoneticPr fontId="2" type="noConversion"/>
  </si>
  <si>
    <t>외장색상</t>
    <phoneticPr fontId="2" type="noConversion"/>
  </si>
  <si>
    <t>옵 션</t>
    <phoneticPr fontId="2" type="noConversion"/>
  </si>
  <si>
    <t>내장색상</t>
    <phoneticPr fontId="2" type="noConversion"/>
  </si>
  <si>
    <t>차량가</t>
    <phoneticPr fontId="2" type="noConversion"/>
  </si>
  <si>
    <t>옵션가</t>
    <phoneticPr fontId="2" type="noConversion"/>
  </si>
  <si>
    <t>합 계</t>
    <phoneticPr fontId="2" type="noConversion"/>
  </si>
  <si>
    <t>■ 상품조건</t>
    <phoneticPr fontId="2" type="noConversion"/>
  </si>
  <si>
    <t>월대여료</t>
    <phoneticPr fontId="2" type="noConversion"/>
  </si>
  <si>
    <t>잔존가치</t>
    <phoneticPr fontId="2" type="noConversion"/>
  </si>
  <si>
    <t>선수금</t>
    <phoneticPr fontId="2" type="noConversion"/>
  </si>
  <si>
    <t>측/후면 썬팅 농도</t>
    <phoneticPr fontId="2" type="noConversion"/>
  </si>
  <si>
    <t>전면썬팅 농도</t>
    <phoneticPr fontId="2" type="noConversion"/>
  </si>
  <si>
    <t>블랙박스</t>
    <phoneticPr fontId="2" type="noConversion"/>
  </si>
  <si>
    <t>총 합계</t>
    <phoneticPr fontId="2" type="noConversion"/>
  </si>
  <si>
    <t>용품내용</t>
    <phoneticPr fontId="2" type="noConversion"/>
  </si>
  <si>
    <t>용품비용</t>
    <phoneticPr fontId="2" type="noConversion"/>
  </si>
  <si>
    <t>탁송방법</t>
    <phoneticPr fontId="2" type="noConversion"/>
  </si>
  <si>
    <t>인수자</t>
    <phoneticPr fontId="2" type="noConversion"/>
  </si>
  <si>
    <t>연락처(1)</t>
    <phoneticPr fontId="2" type="noConversion"/>
  </si>
  <si>
    <t>연락처(2)</t>
    <phoneticPr fontId="2" type="noConversion"/>
  </si>
  <si>
    <t>■ 여신담당</t>
    <phoneticPr fontId="2" type="noConversion"/>
  </si>
  <si>
    <t>구분</t>
    <phoneticPr fontId="2" type="noConversion"/>
  </si>
  <si>
    <t>여신담당</t>
    <phoneticPr fontId="2" type="noConversion"/>
  </si>
  <si>
    <t>CM</t>
    <phoneticPr fontId="2" type="noConversion"/>
  </si>
  <si>
    <t>AG</t>
    <phoneticPr fontId="2" type="noConversion"/>
  </si>
  <si>
    <t>AG연락처</t>
    <phoneticPr fontId="2" type="noConversion"/>
  </si>
  <si>
    <t>이름</t>
    <phoneticPr fontId="2" type="noConversion"/>
  </si>
  <si>
    <t>특이사항</t>
    <phoneticPr fontId="2" type="noConversion"/>
  </si>
  <si>
    <t xml:space="preserve">■ 기타 특이사항 </t>
    <phoneticPr fontId="2" type="noConversion"/>
  </si>
  <si>
    <t>계약금</t>
    <phoneticPr fontId="2" type="noConversion"/>
  </si>
  <si>
    <t>10만원</t>
    <phoneticPr fontId="2" type="noConversion"/>
  </si>
  <si>
    <t>BMW_일반</t>
    <phoneticPr fontId="2" type="noConversion"/>
  </si>
  <si>
    <t>N</t>
    <phoneticPr fontId="2" type="noConversion"/>
  </si>
  <si>
    <t>인지대</t>
    <phoneticPr fontId="2" type="noConversion"/>
  </si>
  <si>
    <t>※ 하이브리드 및 전기차
취득세 확인필수</t>
    <phoneticPr fontId="2" type="noConversion"/>
  </si>
  <si>
    <t>※ 하이브리드 및 전기차 취득세 확인필수</t>
    <phoneticPr fontId="2" type="noConversion"/>
  </si>
  <si>
    <t>N</t>
    <phoneticPr fontId="2" type="noConversion"/>
  </si>
  <si>
    <t xml:space="preserve">  ▶ 제휴탁송사 이용시 발주요청서 필수 작성</t>
    <phoneticPr fontId="2" type="noConversion"/>
  </si>
  <si>
    <t>GV80 3.5T (가솔린) 5인승</t>
    <phoneticPr fontId="2" type="noConversion"/>
  </si>
  <si>
    <t>N</t>
    <phoneticPr fontId="2" type="noConversion"/>
  </si>
  <si>
    <t>미가입</t>
  </si>
  <si>
    <t>Self</t>
  </si>
  <si>
    <t>만26세이상</t>
  </si>
  <si>
    <t>1억</t>
  </si>
  <si>
    <t>N</t>
    <phoneticPr fontId="2" type="noConversion"/>
  </si>
  <si>
    <t>N</t>
    <phoneticPr fontId="2" type="noConversion"/>
  </si>
  <si>
    <t>잔가보장보증금</t>
    <phoneticPr fontId="2" type="noConversion"/>
  </si>
  <si>
    <t>취득원가</t>
    <phoneticPr fontId="2" type="noConversion"/>
  </si>
  <si>
    <t>잔가보장보증금</t>
    <phoneticPr fontId="2" type="noConversion"/>
  </si>
  <si>
    <t>캐스퍼 1.0</t>
    <phoneticPr fontId="2" type="noConversion"/>
  </si>
  <si>
    <t>캐스퍼 1.0T</t>
    <phoneticPr fontId="2" type="noConversion"/>
  </si>
  <si>
    <t>한성자동차</t>
    <phoneticPr fontId="2" type="noConversion"/>
  </si>
  <si>
    <t>KCC오토</t>
    <phoneticPr fontId="2" type="noConversion"/>
  </si>
  <si>
    <t>모터원</t>
    <phoneticPr fontId="2" type="noConversion"/>
  </si>
  <si>
    <t>수수료상향</t>
    <phoneticPr fontId="2" type="noConversion"/>
  </si>
  <si>
    <t>YY</t>
    <phoneticPr fontId="2" type="noConversion"/>
  </si>
  <si>
    <t>YY</t>
    <phoneticPr fontId="2" type="noConversion"/>
  </si>
  <si>
    <t>YY</t>
    <phoneticPr fontId="2" type="noConversion"/>
  </si>
  <si>
    <t>YY</t>
    <phoneticPr fontId="2" type="noConversion"/>
  </si>
  <si>
    <t>제조사</t>
    <phoneticPr fontId="2" type="noConversion"/>
  </si>
  <si>
    <t>출고지</t>
    <phoneticPr fontId="2" type="noConversion"/>
  </si>
  <si>
    <t>현대</t>
    <phoneticPr fontId="2" type="noConversion"/>
  </si>
  <si>
    <t>울산</t>
    <phoneticPr fontId="2" type="noConversion"/>
  </si>
  <si>
    <t>아산</t>
    <phoneticPr fontId="2" type="noConversion"/>
  </si>
  <si>
    <t>기아</t>
    <phoneticPr fontId="2" type="noConversion"/>
  </si>
  <si>
    <t>서산</t>
    <phoneticPr fontId="2" type="noConversion"/>
  </si>
  <si>
    <t>소하리</t>
    <phoneticPr fontId="2" type="noConversion"/>
  </si>
  <si>
    <t>화성</t>
    <phoneticPr fontId="2" type="noConversion"/>
  </si>
  <si>
    <t>광주</t>
    <phoneticPr fontId="2" type="noConversion"/>
  </si>
  <si>
    <t>제조사</t>
    <phoneticPr fontId="2" type="noConversion"/>
  </si>
  <si>
    <t>기아</t>
    <phoneticPr fontId="2" type="noConversion"/>
  </si>
  <si>
    <t>화성</t>
    <phoneticPr fontId="2" type="noConversion"/>
  </si>
  <si>
    <t>(2) B2</t>
    <phoneticPr fontId="2" type="noConversion"/>
  </si>
  <si>
    <t>(1) B1</t>
    <phoneticPr fontId="2" type="noConversion"/>
  </si>
  <si>
    <t>업체명</t>
    <phoneticPr fontId="2" type="noConversion"/>
  </si>
  <si>
    <t>용품명</t>
    <phoneticPr fontId="2" type="noConversion"/>
  </si>
  <si>
    <t>전면</t>
    <phoneticPr fontId="2" type="noConversion"/>
  </si>
  <si>
    <r>
      <t xml:space="preserve">측후면
</t>
    </r>
    <r>
      <rPr>
        <sz val="10"/>
        <color rgb="FF000000"/>
        <rFont val="맑은 고딕"/>
        <family val="3"/>
        <charset val="129"/>
      </rPr>
      <t>(쿠폰 미포함)</t>
    </r>
    <phoneticPr fontId="2" type="noConversion"/>
  </si>
  <si>
    <r>
      <t xml:space="preserve">측후면
</t>
    </r>
    <r>
      <rPr>
        <sz val="10"/>
        <color rgb="FF000000"/>
        <rFont val="맑은 고딕"/>
        <family val="3"/>
        <charset val="129"/>
      </rPr>
      <t>(쿠폰 포함)</t>
    </r>
    <phoneticPr fontId="2" type="noConversion"/>
  </si>
  <si>
    <r>
      <t xml:space="preserve">썬루프
</t>
    </r>
    <r>
      <rPr>
        <sz val="10"/>
        <color rgb="FF000000"/>
        <rFont val="맑은 고딕"/>
        <family val="3"/>
        <charset val="129"/>
      </rPr>
      <t>(일반)</t>
    </r>
    <phoneticPr fontId="2" type="noConversion"/>
  </si>
  <si>
    <r>
      <t xml:space="preserve">썬루프
</t>
    </r>
    <r>
      <rPr>
        <sz val="10"/>
        <color rgb="FF000000"/>
        <rFont val="맑은 고딕"/>
        <family val="3"/>
        <charset val="129"/>
      </rPr>
      <t>(파노라마)</t>
    </r>
    <phoneticPr fontId="2" type="noConversion"/>
  </si>
  <si>
    <t>썬팅</t>
    <phoneticPr fontId="2" type="noConversion"/>
  </si>
  <si>
    <t>루마</t>
    <phoneticPr fontId="2" type="noConversion"/>
  </si>
  <si>
    <t>GG</t>
    <phoneticPr fontId="2" type="noConversion"/>
  </si>
  <si>
    <t>3M</t>
    <phoneticPr fontId="2" type="noConversion"/>
  </si>
  <si>
    <t>※ 작업비 포함</t>
    <phoneticPr fontId="2" type="noConversion"/>
  </si>
  <si>
    <t>공통</t>
    <phoneticPr fontId="2" type="noConversion"/>
  </si>
  <si>
    <t>전방</t>
    <phoneticPr fontId="2" type="noConversion"/>
  </si>
  <si>
    <t>후방</t>
    <phoneticPr fontId="2" type="noConversion"/>
  </si>
  <si>
    <t>메모리</t>
    <phoneticPr fontId="2" type="noConversion"/>
  </si>
  <si>
    <t>용품 단가</t>
    <phoneticPr fontId="2" type="noConversion"/>
  </si>
  <si>
    <t>2CH 3.5인치 LCD</t>
    <phoneticPr fontId="2" type="noConversion"/>
  </si>
  <si>
    <t>FHD</t>
    <phoneticPr fontId="2" type="noConversion"/>
  </si>
  <si>
    <t>HD</t>
    <phoneticPr fontId="2" type="noConversion"/>
  </si>
  <si>
    <t>16G</t>
    <phoneticPr fontId="2" type="noConversion"/>
  </si>
  <si>
    <t>FHD</t>
    <phoneticPr fontId="2" type="noConversion"/>
  </si>
  <si>
    <t>32G</t>
    <phoneticPr fontId="2" type="noConversion"/>
  </si>
  <si>
    <t>파인드라이브</t>
    <phoneticPr fontId="2" type="noConversion"/>
  </si>
  <si>
    <t>아이나비</t>
    <phoneticPr fontId="2" type="noConversion"/>
  </si>
  <si>
    <t>QXD5000</t>
    <phoneticPr fontId="2" type="noConversion"/>
  </si>
  <si>
    <t>※ 장착비 포함</t>
    <phoneticPr fontId="2" type="noConversion"/>
  </si>
  <si>
    <t>구분</t>
  </si>
  <si>
    <t>업체명</t>
  </si>
  <si>
    <t>용품명</t>
  </si>
  <si>
    <t>해상도</t>
  </si>
  <si>
    <t>스크린</t>
  </si>
  <si>
    <t>맵</t>
  </si>
  <si>
    <t>메모리</t>
  </si>
  <si>
    <t>용품 단가</t>
    <phoneticPr fontId="2" type="noConversion"/>
  </si>
  <si>
    <t>비고</t>
  </si>
  <si>
    <t>네비게이션</t>
    <phoneticPr fontId="2" type="noConversion"/>
  </si>
  <si>
    <t>파로스
SN830</t>
    <phoneticPr fontId="2" type="noConversion"/>
  </si>
  <si>
    <t>800*480</t>
    <phoneticPr fontId="2" type="noConversion"/>
  </si>
  <si>
    <t>8인치 터치</t>
    <phoneticPr fontId="2" type="noConversion"/>
  </si>
  <si>
    <t>아이나비3D 맵</t>
    <phoneticPr fontId="2" type="noConversion"/>
  </si>
  <si>
    <t>몬스터 8</t>
    <phoneticPr fontId="2" type="noConversion"/>
  </si>
  <si>
    <t>HD DMB
1280*720</t>
    <phoneticPr fontId="2" type="noConversion"/>
  </si>
  <si>
    <t>아틀란 맵</t>
    <phoneticPr fontId="2" type="noConversion"/>
  </si>
  <si>
    <t>※ 미설치 차량내 BOX 동봉</t>
    <phoneticPr fontId="2" type="noConversion"/>
  </si>
  <si>
    <t>방식</t>
    <phoneticPr fontId="2" type="noConversion"/>
  </si>
  <si>
    <t>개통</t>
    <phoneticPr fontId="2" type="noConversion"/>
  </si>
  <si>
    <t>거치대</t>
    <phoneticPr fontId="2" type="noConversion"/>
  </si>
  <si>
    <t>하이패스</t>
    <phoneticPr fontId="2" type="noConversion"/>
  </si>
  <si>
    <t>SET-550</t>
    <phoneticPr fontId="2" type="noConversion"/>
  </si>
  <si>
    <t>충전식</t>
    <phoneticPr fontId="2" type="noConversion"/>
  </si>
  <si>
    <t>포함</t>
    <phoneticPr fontId="2" type="noConversion"/>
  </si>
  <si>
    <t>태양열 거치대</t>
    <phoneticPr fontId="2" type="noConversion"/>
  </si>
  <si>
    <t>유림  추 가 용 품 단 가 표</t>
    <phoneticPr fontId="2" type="noConversion"/>
  </si>
  <si>
    <t>유림/선보</t>
    <phoneticPr fontId="2" type="noConversion"/>
  </si>
  <si>
    <t>특별승인</t>
    <phoneticPr fontId="2" type="noConversion"/>
  </si>
  <si>
    <t>외장</t>
    <phoneticPr fontId="2" type="noConversion"/>
  </si>
  <si>
    <t>내장</t>
    <phoneticPr fontId="2" type="noConversion"/>
  </si>
  <si>
    <t>GX3</t>
    <phoneticPr fontId="2" type="noConversion"/>
  </si>
  <si>
    <t>선보  추 가 용 품 단 가 표</t>
    <phoneticPr fontId="2" type="noConversion"/>
  </si>
  <si>
    <t>(단위 : VAT, 장착비 포함)</t>
    <phoneticPr fontId="2" type="noConversion"/>
  </si>
  <si>
    <t>R</t>
    <phoneticPr fontId="2" type="noConversion"/>
  </si>
  <si>
    <t>GV80 2.5T (가솔린) 6인승</t>
    <phoneticPr fontId="2" type="noConversion"/>
  </si>
  <si>
    <t>탁송료</t>
    <phoneticPr fontId="2" type="noConversion"/>
  </si>
  <si>
    <t>부대비용</t>
    <phoneticPr fontId="2" type="noConversion"/>
  </si>
  <si>
    <t>아이나비</t>
    <phoneticPr fontId="2" type="noConversion"/>
  </si>
  <si>
    <t>-</t>
    <phoneticPr fontId="2" type="noConversion"/>
  </si>
  <si>
    <t>지넷시스템 M3</t>
    <phoneticPr fontId="2" type="noConversion"/>
  </si>
  <si>
    <t>N</t>
    <phoneticPr fontId="2" type="noConversion"/>
  </si>
  <si>
    <t>※번호판비용</t>
    <phoneticPr fontId="2" type="noConversion"/>
  </si>
  <si>
    <t>선보</t>
    <phoneticPr fontId="2" type="noConversion"/>
  </si>
  <si>
    <t>딜러/Agent</t>
    <phoneticPr fontId="2" type="noConversion"/>
  </si>
  <si>
    <t>유림로지스</t>
    <phoneticPr fontId="2" type="noConversion"/>
  </si>
  <si>
    <t>측·후면 썬팅</t>
    <phoneticPr fontId="2" type="noConversion"/>
  </si>
  <si>
    <t>전면썬팅+측후면썬팅</t>
    <phoneticPr fontId="2" type="noConversion"/>
  </si>
  <si>
    <t>블랙박스+기타</t>
    <phoneticPr fontId="2" type="noConversion"/>
  </si>
  <si>
    <r>
      <rPr>
        <b/>
        <sz val="12"/>
        <color rgb="FFFF0000"/>
        <rFont val="맑은 고딕"/>
        <family val="3"/>
        <charset val="129"/>
        <scheme val="minor"/>
      </rPr>
      <t>2차 탁송및 탁송사 필수확인</t>
    </r>
    <r>
      <rPr>
        <b/>
        <sz val="12"/>
        <color theme="1"/>
        <rFont val="맑은 고딕"/>
        <family val="3"/>
        <charset val="129"/>
        <scheme val="minor"/>
      </rPr>
      <t xml:space="preserve">
※현대특판 출고시 제휴탁송사 1차+2차
※지점/대리점 출고로 제휴탁송사 이용시 딜러사1차+제휴2차
※지점/대리점 출고로 고객직접 인도시 딜러/Agent
▶ 제휴탁송사 이용시 발주요청서 필수 작성
▶ 1차 탁송료 취득원가 불포함 불가</t>
    </r>
    <phoneticPr fontId="2" type="noConversion"/>
  </si>
  <si>
    <t xml:space="preserve">  ▶ 기아자동차 소하리 출고건 제외 탁송사 "선보"이용</t>
    <phoneticPr fontId="2" type="noConversion"/>
  </si>
  <si>
    <t>수수료 제한</t>
    <phoneticPr fontId="2" type="noConversion"/>
  </si>
  <si>
    <t>수수료제한</t>
    <phoneticPr fontId="2" type="noConversion"/>
  </si>
  <si>
    <t>ㆍ추가용품 비용은 수기로 입력</t>
    <phoneticPr fontId="2" type="noConversion"/>
  </si>
  <si>
    <t>아산</t>
    <phoneticPr fontId="2" type="noConversion"/>
  </si>
  <si>
    <t>운용리스 필수 확인사항 확인 必</t>
    <phoneticPr fontId="2" type="noConversion"/>
  </si>
  <si>
    <t>V</t>
    <phoneticPr fontId="2" type="noConversion"/>
  </si>
  <si>
    <t>G90</t>
    <phoneticPr fontId="2" type="noConversion"/>
  </si>
  <si>
    <t xml:space="preserve">    </t>
    <phoneticPr fontId="2" type="noConversion"/>
  </si>
  <si>
    <t>수수료상향</t>
    <phoneticPr fontId="2" type="noConversion"/>
  </si>
  <si>
    <t>D1</t>
    <phoneticPr fontId="2" type="noConversion"/>
  </si>
  <si>
    <t>D2</t>
    <phoneticPr fontId="2" type="noConversion"/>
  </si>
  <si>
    <t>9인승, 경차 RV표기</t>
    <phoneticPr fontId="2" type="noConversion"/>
  </si>
  <si>
    <t xml:space="preserve">  ▶ 국산리스 대리점 출고 &gt; 제휴탁송 이용건 운용리스_단일 견적시트 필수 사용 必</t>
    <phoneticPr fontId="2" type="noConversion"/>
  </si>
  <si>
    <t>1월24일시행 할인율</t>
    <phoneticPr fontId="2" type="noConversion"/>
  </si>
  <si>
    <t>N</t>
    <phoneticPr fontId="2" type="noConversion"/>
  </si>
  <si>
    <t>0121 특판 할인금액</t>
    <phoneticPr fontId="2" type="noConversion"/>
  </si>
  <si>
    <t>0124 특판 할인금액</t>
    <phoneticPr fontId="2" type="noConversion"/>
  </si>
  <si>
    <t>0124 이전특발발주</t>
    <phoneticPr fontId="2" type="noConversion"/>
  </si>
  <si>
    <t>특판 할인금액체크</t>
    <phoneticPr fontId="2" type="noConversion"/>
  </si>
  <si>
    <t>그 외 비용</t>
  </si>
  <si>
    <t>전기차보조금</t>
    <phoneticPr fontId="2" type="noConversion"/>
  </si>
  <si>
    <t>전기차 보조금</t>
    <phoneticPr fontId="2" type="noConversion"/>
  </si>
  <si>
    <t>전기차 보조금 적용</t>
    <phoneticPr fontId="2" type="noConversion"/>
  </si>
  <si>
    <t>전기차 60개월</t>
    <phoneticPr fontId="2" type="noConversion"/>
  </si>
  <si>
    <t>예외승인</t>
    <phoneticPr fontId="2" type="noConversion"/>
  </si>
  <si>
    <t>전기차유무</t>
    <phoneticPr fontId="2" type="noConversion"/>
  </si>
  <si>
    <t>전기차상승</t>
    <phoneticPr fontId="2" type="noConversion"/>
  </si>
  <si>
    <r>
      <t xml:space="preserve">  ▶ </t>
    </r>
    <r>
      <rPr>
        <sz val="16"/>
        <color rgb="FFFF0000"/>
        <rFont val="맑은 고딕"/>
        <family val="3"/>
        <charset val="129"/>
        <scheme val="minor"/>
      </rPr>
      <t>전기차</t>
    </r>
    <r>
      <rPr>
        <sz val="16"/>
        <color theme="0"/>
        <rFont val="맑은 고딕"/>
        <family val="3"/>
        <charset val="129"/>
        <scheme val="minor"/>
      </rPr>
      <t xml:space="preserve"> 견적 산출시 운용리스_단일만 사용가능</t>
    </r>
    <phoneticPr fontId="2" type="noConversion"/>
  </si>
  <si>
    <t>■ PMT 전기차</t>
    <phoneticPr fontId="2" type="noConversion"/>
  </si>
  <si>
    <t>차랑등록지역</t>
    <phoneticPr fontId="2" type="noConversion"/>
  </si>
  <si>
    <t>국비</t>
  </si>
  <si>
    <t>내수/수입</t>
    <phoneticPr fontId="2" type="noConversion"/>
  </si>
  <si>
    <t>제조사</t>
  </si>
  <si>
    <t>전기차</t>
    <phoneticPr fontId="2" type="noConversion"/>
  </si>
  <si>
    <t>순번</t>
    <phoneticPr fontId="2" type="noConversion"/>
  </si>
  <si>
    <t>서울특별시</t>
    <phoneticPr fontId="2" type="noConversion"/>
  </si>
  <si>
    <t>부산광역시</t>
    <phoneticPr fontId="2" type="noConversion"/>
  </si>
  <si>
    <t>대구광역시</t>
    <phoneticPr fontId="2" type="noConversion"/>
  </si>
  <si>
    <t>인천광역시</t>
    <phoneticPr fontId="2" type="noConversion"/>
  </si>
  <si>
    <t>광주광역시</t>
    <phoneticPr fontId="2" type="noConversion"/>
  </si>
  <si>
    <t>대전광역시</t>
    <phoneticPr fontId="2" type="noConversion"/>
  </si>
  <si>
    <t>천안시</t>
    <phoneticPr fontId="2" type="noConversion"/>
  </si>
  <si>
    <t>수원시</t>
    <phoneticPr fontId="2" type="noConversion"/>
  </si>
  <si>
    <t>성남시</t>
    <phoneticPr fontId="2" type="noConversion"/>
  </si>
  <si>
    <t>안양시</t>
    <phoneticPr fontId="2" type="noConversion"/>
  </si>
  <si>
    <t>부천시</t>
    <phoneticPr fontId="2" type="noConversion"/>
  </si>
  <si>
    <t>고양시</t>
    <phoneticPr fontId="2" type="noConversion"/>
  </si>
  <si>
    <t>청주시</t>
    <phoneticPr fontId="2" type="noConversion"/>
  </si>
  <si>
    <t>포항시</t>
    <phoneticPr fontId="2" type="noConversion"/>
  </si>
  <si>
    <t>창원시</t>
    <phoneticPr fontId="2" type="noConversion"/>
  </si>
  <si>
    <t>MAX</t>
    <phoneticPr fontId="2" type="noConversion"/>
  </si>
  <si>
    <t>볼트 EV</t>
    <phoneticPr fontId="2" type="noConversion"/>
  </si>
  <si>
    <t>볼트EUV</t>
  </si>
  <si>
    <t>봉고3 EV 1톤</t>
    <phoneticPr fontId="2" type="noConversion"/>
  </si>
  <si>
    <t>포터2 EV 1톤</t>
    <phoneticPr fontId="2" type="noConversion"/>
  </si>
  <si>
    <t>수입</t>
    <phoneticPr fontId="2" type="noConversion"/>
  </si>
  <si>
    <t>BMW</t>
    <phoneticPr fontId="2" type="noConversion"/>
  </si>
  <si>
    <t>수입</t>
    <phoneticPr fontId="2" type="noConversion"/>
  </si>
  <si>
    <t>벤츠</t>
    <phoneticPr fontId="2" type="noConversion"/>
  </si>
  <si>
    <t>차량가격 : 4,695~5,755만원</t>
    <phoneticPr fontId="2" type="noConversion"/>
  </si>
  <si>
    <t>모델</t>
    <phoneticPr fontId="2" type="noConversion"/>
  </si>
  <si>
    <t>모델구분</t>
    <phoneticPr fontId="2" type="noConversion"/>
  </si>
  <si>
    <t>세부트림</t>
    <phoneticPr fontId="2" type="noConversion"/>
  </si>
  <si>
    <t>2WD/4WD</t>
    <phoneticPr fontId="2" type="noConversion"/>
  </si>
  <si>
    <t>차량가격</t>
    <phoneticPr fontId="2" type="noConversion"/>
  </si>
  <si>
    <t>휠 SIZE</t>
    <phoneticPr fontId="2" type="noConversion"/>
  </si>
  <si>
    <t>아이오닉5</t>
    <phoneticPr fontId="2" type="noConversion"/>
  </si>
  <si>
    <t>롱레인지</t>
    <phoneticPr fontId="2" type="noConversion"/>
  </si>
  <si>
    <t>익스클루시브</t>
    <phoneticPr fontId="2" type="noConversion"/>
  </si>
  <si>
    <t>AWD</t>
    <phoneticPr fontId="2" type="noConversion"/>
  </si>
  <si>
    <t>19/20인치</t>
    <phoneticPr fontId="2" type="noConversion"/>
  </si>
  <si>
    <t>아이오닉5</t>
    <phoneticPr fontId="2" type="noConversion"/>
  </si>
  <si>
    <t>롱레인지</t>
    <phoneticPr fontId="2" type="noConversion"/>
  </si>
  <si>
    <t>익스클루시브</t>
    <phoneticPr fontId="2" type="noConversion"/>
  </si>
  <si>
    <t>19/20인치</t>
    <phoneticPr fontId="2" type="noConversion"/>
  </si>
  <si>
    <t>프레스티지</t>
    <phoneticPr fontId="2" type="noConversion"/>
  </si>
  <si>
    <t>프레스티지</t>
    <phoneticPr fontId="2" type="noConversion"/>
  </si>
  <si>
    <t>아이오닉5</t>
    <phoneticPr fontId="2" type="noConversion"/>
  </si>
  <si>
    <t>스탠다드</t>
    <phoneticPr fontId="2" type="noConversion"/>
  </si>
  <si>
    <t>스탠다드</t>
    <phoneticPr fontId="2" type="noConversion"/>
  </si>
  <si>
    <t>AWD</t>
    <phoneticPr fontId="2" type="noConversion"/>
  </si>
  <si>
    <t>19인치</t>
    <phoneticPr fontId="2" type="noConversion"/>
  </si>
  <si>
    <t>익스클루시브</t>
    <phoneticPr fontId="2" type="noConversion"/>
  </si>
  <si>
    <t>스탠다드</t>
    <phoneticPr fontId="2" type="noConversion"/>
  </si>
  <si>
    <t>19인치</t>
    <phoneticPr fontId="2" type="noConversion"/>
  </si>
  <si>
    <t>프레스티지</t>
    <phoneticPr fontId="2" type="noConversion"/>
  </si>
  <si>
    <t>차량가격 : 4,630~5,980만원 (GT제외)</t>
    <phoneticPr fontId="2" type="noConversion"/>
  </si>
  <si>
    <t>모델</t>
    <phoneticPr fontId="2" type="noConversion"/>
  </si>
  <si>
    <t>모델구분</t>
    <phoneticPr fontId="2" type="noConversion"/>
  </si>
  <si>
    <t>세부트림</t>
    <phoneticPr fontId="2" type="noConversion"/>
  </si>
  <si>
    <t>휠 SIZE (보조금영향없음)</t>
    <phoneticPr fontId="2" type="noConversion"/>
  </si>
  <si>
    <t>EV6</t>
    <phoneticPr fontId="2" type="noConversion"/>
  </si>
  <si>
    <t>EV6</t>
    <phoneticPr fontId="2" type="noConversion"/>
  </si>
  <si>
    <t>라이트</t>
    <phoneticPr fontId="2" type="noConversion"/>
  </si>
  <si>
    <t>4WD</t>
    <phoneticPr fontId="2" type="noConversion"/>
  </si>
  <si>
    <t>EV6</t>
    <phoneticPr fontId="2" type="noConversion"/>
  </si>
  <si>
    <t>어스</t>
    <phoneticPr fontId="2" type="noConversion"/>
  </si>
  <si>
    <t>4WD</t>
    <phoneticPr fontId="2" type="noConversion"/>
  </si>
  <si>
    <t>어스</t>
    <phoneticPr fontId="2" type="noConversion"/>
  </si>
  <si>
    <t>19인치</t>
    <phoneticPr fontId="2" type="noConversion"/>
  </si>
  <si>
    <t>에어</t>
    <phoneticPr fontId="2" type="noConversion"/>
  </si>
  <si>
    <t>EV6</t>
    <phoneticPr fontId="2" type="noConversion"/>
  </si>
  <si>
    <t>에어</t>
    <phoneticPr fontId="2" type="noConversion"/>
  </si>
  <si>
    <t>GT-라인</t>
    <phoneticPr fontId="2" type="noConversion"/>
  </si>
  <si>
    <t>라이트</t>
    <phoneticPr fontId="2" type="noConversion"/>
  </si>
  <si>
    <t>4WD</t>
    <phoneticPr fontId="2" type="noConversion"/>
  </si>
  <si>
    <t>19/20인치</t>
    <phoneticPr fontId="2" type="noConversion"/>
  </si>
  <si>
    <t>GT</t>
    <phoneticPr fontId="2" type="noConversion"/>
  </si>
  <si>
    <t>20인치</t>
    <phoneticPr fontId="2" type="noConversion"/>
  </si>
  <si>
    <t>IONIQ5_ 2WD 롱레인지 (EV)</t>
    <phoneticPr fontId="2" type="noConversion"/>
  </si>
  <si>
    <t>IONIQ5_ AWD 롱레인지 20인치 (EV)</t>
    <phoneticPr fontId="2" type="noConversion"/>
  </si>
  <si>
    <t>IONIQ5_ AWD 롱레인지 19인치 (EV)</t>
    <phoneticPr fontId="2" type="noConversion"/>
  </si>
  <si>
    <t>IONIQ5_ AWD 스탠다드 19인치 (EV)</t>
    <phoneticPr fontId="2" type="noConversion"/>
  </si>
  <si>
    <t>IONIQ5_ 2WD 스탠다드 (EV)</t>
    <phoneticPr fontId="2" type="noConversion"/>
  </si>
  <si>
    <t>GV60_2WD 스탠다드 19인치 (EV)</t>
    <phoneticPr fontId="2" type="noConversion"/>
  </si>
  <si>
    <t>GV60_AWD 스탠다드 19인치 (EV)</t>
    <phoneticPr fontId="2" type="noConversion"/>
  </si>
  <si>
    <t>GV60_AWD 스탠다드 20인치 (EV)</t>
    <phoneticPr fontId="2" type="noConversion"/>
  </si>
  <si>
    <t>GV60_AWD 퍼포먼스 (EV)</t>
    <phoneticPr fontId="2" type="noConversion"/>
  </si>
  <si>
    <t>EV6_2WD 스탠다드 (EV)</t>
    <phoneticPr fontId="2" type="noConversion"/>
  </si>
  <si>
    <t>EV6_2WD 롱레인지 (EV)</t>
    <phoneticPr fontId="2" type="noConversion"/>
  </si>
  <si>
    <t>EV6_AWD 스탠다드 (EV)</t>
    <phoneticPr fontId="2" type="noConversion"/>
  </si>
  <si>
    <t>EV6_AWD 롱레인지 (EV)</t>
    <phoneticPr fontId="2" type="noConversion"/>
  </si>
  <si>
    <t>G80 ELECTRIFIED (EV)</t>
    <phoneticPr fontId="2" type="noConversion"/>
  </si>
  <si>
    <t>i3 LUX (EV)</t>
    <phoneticPr fontId="2" type="noConversion"/>
  </si>
  <si>
    <t>i3 SOL+ (EV)</t>
    <phoneticPr fontId="2" type="noConversion"/>
  </si>
  <si>
    <t>iX3 M Sport Pakage (EV)</t>
    <phoneticPr fontId="2" type="noConversion"/>
  </si>
  <si>
    <t>EQA 250 (EV)</t>
    <phoneticPr fontId="2" type="noConversion"/>
  </si>
  <si>
    <t>22년 추가기준 : 승용차 限 법인(리스/렌터카)은 지방비의 50%를 지급한다.</t>
    <phoneticPr fontId="2" type="noConversion"/>
  </si>
  <si>
    <t xml:space="preserve"> </t>
    <phoneticPr fontId="2" type="noConversion"/>
  </si>
  <si>
    <t>옵           션</t>
    <phoneticPr fontId="2" type="noConversion"/>
  </si>
  <si>
    <t>잔가군</t>
    <phoneticPr fontId="2" type="noConversion"/>
  </si>
  <si>
    <t>A 200d Sedan</t>
    <phoneticPr fontId="2" type="noConversion"/>
  </si>
  <si>
    <t>E 350 4M AMG Line</t>
    <phoneticPr fontId="2" type="noConversion"/>
  </si>
  <si>
    <t>E 450 4M EX</t>
    <phoneticPr fontId="2" type="noConversion"/>
  </si>
  <si>
    <t>GLE 450 4M</t>
    <phoneticPr fontId="2" type="noConversion"/>
  </si>
  <si>
    <t>GLS 580 4M</t>
    <phoneticPr fontId="2" type="noConversion"/>
  </si>
  <si>
    <t>EQA 250</t>
    <phoneticPr fontId="2" type="noConversion"/>
  </si>
  <si>
    <t>S4 TFSI</t>
    <phoneticPr fontId="2" type="noConversion"/>
  </si>
  <si>
    <t>A6 40 TDI premium</t>
    <phoneticPr fontId="2" type="noConversion"/>
  </si>
  <si>
    <t>Q8 45 TDI Quattro Premium</t>
    <phoneticPr fontId="2" type="noConversion"/>
  </si>
  <si>
    <t>911 Carrera GTS Coupe</t>
    <phoneticPr fontId="2" type="noConversion"/>
  </si>
  <si>
    <t>911 Carrera 4 GTS Cabriolet</t>
    <phoneticPr fontId="2" type="noConversion"/>
  </si>
  <si>
    <t>911 GT3</t>
    <phoneticPr fontId="2" type="noConversion"/>
  </si>
  <si>
    <t>Cayenne</t>
    <phoneticPr fontId="2" type="noConversion"/>
  </si>
  <si>
    <t>Macan S</t>
    <phoneticPr fontId="2" type="noConversion"/>
  </si>
  <si>
    <t>Panamera 4</t>
    <phoneticPr fontId="2" type="noConversion"/>
  </si>
  <si>
    <t>Panamera 4 E-Hybrid</t>
    <phoneticPr fontId="2" type="noConversion"/>
  </si>
  <si>
    <t>Taycan Base</t>
    <phoneticPr fontId="2" type="noConversion"/>
  </si>
  <si>
    <t>Taycan CrossTurismo 4</t>
    <phoneticPr fontId="2" type="noConversion"/>
  </si>
  <si>
    <t>Discovery Sport P250 S</t>
    <phoneticPr fontId="2" type="noConversion"/>
  </si>
  <si>
    <t>Discovery Sport P250 SE</t>
    <phoneticPr fontId="2" type="noConversion"/>
  </si>
  <si>
    <t>C40 Recharge Twin Ultimate</t>
    <phoneticPr fontId="2" type="noConversion"/>
  </si>
  <si>
    <t>Explorer 3.0 Platinum</t>
    <phoneticPr fontId="2" type="noConversion"/>
  </si>
  <si>
    <t>Mustang 2.3 Convertible EcoBoost Premium</t>
    <phoneticPr fontId="2" type="noConversion"/>
  </si>
  <si>
    <t>Mustang 2.3 Coupe EcoBoost Premium</t>
    <phoneticPr fontId="2" type="noConversion"/>
  </si>
  <si>
    <t>Mustang Mach-E 스탠다드 Select RWD</t>
    <phoneticPr fontId="2" type="noConversion"/>
  </si>
  <si>
    <t>Mustang Mach-E 스탠다드 Select AWD</t>
    <phoneticPr fontId="2" type="noConversion"/>
  </si>
  <si>
    <t>Mustang Mach-E 익스텐디드 GT</t>
    <phoneticPr fontId="2" type="noConversion"/>
  </si>
  <si>
    <t>Grand Cherokee 3.6 Limited</t>
    <phoneticPr fontId="2" type="noConversion"/>
  </si>
  <si>
    <t>Wrangler Hybrid Overland 4xe</t>
    <phoneticPr fontId="2" type="noConversion"/>
  </si>
  <si>
    <t>Wrangler Hybrid Overland Power Top 4xe</t>
    <phoneticPr fontId="2" type="noConversion"/>
  </si>
  <si>
    <t>Wrangler Rubicon Power Top (4door)</t>
    <phoneticPr fontId="2" type="noConversion"/>
  </si>
  <si>
    <t>Wrangler Overland Power Top (4door)</t>
    <phoneticPr fontId="2" type="noConversion"/>
  </si>
  <si>
    <t>MINI Hatch Cooper S 2.0 Classic (5door)</t>
    <phoneticPr fontId="2" type="noConversion"/>
  </si>
  <si>
    <t>MINI Countryman Cooper S ALL4 2.0 Classic</t>
    <phoneticPr fontId="2" type="noConversion"/>
  </si>
  <si>
    <t>LS 500 Luxury AWD</t>
    <phoneticPr fontId="2" type="noConversion"/>
  </si>
  <si>
    <t>LC 500 Sport+</t>
    <phoneticPr fontId="2" type="noConversion"/>
  </si>
  <si>
    <t>CT5 Premium Luxury</t>
    <phoneticPr fontId="2" type="noConversion"/>
  </si>
  <si>
    <t>2008 1.5 GT Line</t>
    <phoneticPr fontId="2" type="noConversion"/>
  </si>
  <si>
    <t xml:space="preserve">5008 1.5 GT </t>
    <phoneticPr fontId="2" type="noConversion"/>
  </si>
  <si>
    <t>508 1.5 Allure</t>
    <phoneticPr fontId="2" type="noConversion"/>
  </si>
  <si>
    <t>e-2008 allure</t>
    <phoneticPr fontId="2" type="noConversion"/>
  </si>
  <si>
    <t>300C 3.6 Base</t>
    <phoneticPr fontId="2" type="noConversion"/>
  </si>
  <si>
    <t>Nautilus 2.7 202A</t>
    <phoneticPr fontId="2" type="noConversion"/>
  </si>
  <si>
    <t>500 Color</t>
    <phoneticPr fontId="2" type="noConversion"/>
  </si>
  <si>
    <t>500C 1.4 Convertible</t>
    <phoneticPr fontId="2" type="noConversion"/>
  </si>
  <si>
    <t>500X Cross 2.0</t>
    <phoneticPr fontId="2" type="noConversion"/>
  </si>
  <si>
    <t>500X Cross Plus 2.0</t>
    <phoneticPr fontId="2" type="noConversion"/>
  </si>
  <si>
    <t>500X Pop Star 2.4</t>
    <phoneticPr fontId="2" type="noConversion"/>
  </si>
  <si>
    <t>Phantom -  Standard Wheel Base</t>
    <phoneticPr fontId="2" type="noConversion"/>
  </si>
  <si>
    <t>Cullinan V12</t>
    <phoneticPr fontId="2" type="noConversion"/>
  </si>
  <si>
    <t>Bentayga V8</t>
    <phoneticPr fontId="2" type="noConversion"/>
  </si>
  <si>
    <t xml:space="preserve">Portofino 3.9 Convertible GT </t>
    <phoneticPr fontId="2" type="noConversion"/>
  </si>
  <si>
    <t>488 GTB V8</t>
    <phoneticPr fontId="2" type="noConversion"/>
  </si>
  <si>
    <t>812 Superfast 6.5 V12</t>
    <phoneticPr fontId="2" type="noConversion"/>
  </si>
  <si>
    <t>Huracan EVO LP640-4 Spyder</t>
    <phoneticPr fontId="2" type="noConversion"/>
  </si>
  <si>
    <t>Model 3 Long Range</t>
    <phoneticPr fontId="2" type="noConversion"/>
  </si>
  <si>
    <t>McLaren</t>
    <phoneticPr fontId="2" type="noConversion"/>
  </si>
  <si>
    <t>NO</t>
    <phoneticPr fontId="2" type="noConversion"/>
  </si>
  <si>
    <t>수입/국산</t>
    <phoneticPr fontId="2" type="noConversion"/>
  </si>
  <si>
    <t>잔가상향</t>
    <phoneticPr fontId="2" type="noConversion"/>
  </si>
  <si>
    <t>모델별IRR</t>
    <phoneticPr fontId="2" type="noConversion"/>
  </si>
  <si>
    <t>모델별수수료</t>
    <phoneticPr fontId="2" type="noConversion"/>
  </si>
  <si>
    <t>일반제휴</t>
    <phoneticPr fontId="2" type="noConversion"/>
  </si>
  <si>
    <t>KCC</t>
    <phoneticPr fontId="2" type="noConversion"/>
  </si>
  <si>
    <t>한독</t>
    <phoneticPr fontId="2" type="noConversion"/>
  </si>
  <si>
    <t>프로모션</t>
    <phoneticPr fontId="2" type="noConversion"/>
  </si>
  <si>
    <t>718 Boxster GTS</t>
    <phoneticPr fontId="2" type="noConversion"/>
  </si>
  <si>
    <t>Taycan CrossTurismo 4S</t>
    <phoneticPr fontId="2" type="noConversion"/>
  </si>
  <si>
    <t>V60 CrossCountry B5 AWD</t>
    <phoneticPr fontId="2" type="noConversion"/>
  </si>
  <si>
    <t>Mustang GT 5.0 Coupe Premium</t>
    <phoneticPr fontId="2" type="noConversion"/>
  </si>
  <si>
    <t xml:space="preserve">Touareg 3.0 TDI Premium </t>
    <phoneticPr fontId="2" type="noConversion"/>
  </si>
  <si>
    <t>MINI Clubman John Cooper Works ALL4 2.0</t>
    <phoneticPr fontId="2" type="noConversion"/>
  </si>
  <si>
    <t xml:space="preserve">GR SUPRA </t>
    <phoneticPr fontId="2" type="noConversion"/>
  </si>
  <si>
    <t>Mercedes-AMG CLS 53 4M</t>
    <phoneticPr fontId="2" type="noConversion"/>
  </si>
  <si>
    <t>120i Sport</t>
    <phoneticPr fontId="2" type="noConversion"/>
  </si>
  <si>
    <t>530i Luxury Line</t>
    <phoneticPr fontId="2" type="noConversion"/>
  </si>
  <si>
    <t>620d GT Luxury Line</t>
    <phoneticPr fontId="2" type="noConversion"/>
  </si>
  <si>
    <t>620d GT M Sport Pack</t>
    <phoneticPr fontId="2" type="noConversion"/>
  </si>
  <si>
    <t>620d GT xDrive M Sport Pack</t>
    <phoneticPr fontId="2" type="noConversion"/>
  </si>
  <si>
    <t>740i sDrive Design Pure Excellence</t>
    <phoneticPr fontId="2" type="noConversion"/>
  </si>
  <si>
    <t>M3 Competition M xDrive</t>
    <phoneticPr fontId="2" type="noConversion"/>
  </si>
  <si>
    <t>Mustang Mach-E 익스텐디드 GT performance</t>
    <phoneticPr fontId="2" type="noConversion"/>
  </si>
  <si>
    <t>The Golf 8 TDI prestige</t>
    <phoneticPr fontId="2" type="noConversion"/>
  </si>
  <si>
    <t>Grand Cherokee 3.6 Overland</t>
    <phoneticPr fontId="2" type="noConversion"/>
  </si>
  <si>
    <t>연식  잔가  수정</t>
    <phoneticPr fontId="2" type="noConversion"/>
  </si>
  <si>
    <t>경남자동차</t>
    <phoneticPr fontId="2" type="noConversion"/>
  </si>
  <si>
    <t>버텍스300</t>
    <phoneticPr fontId="2" type="noConversion"/>
  </si>
  <si>
    <t>9(잔가)</t>
    <phoneticPr fontId="2" type="noConversion"/>
  </si>
  <si>
    <t>M240i xDrive Coupe</t>
    <phoneticPr fontId="2" type="noConversion"/>
  </si>
  <si>
    <t>EV6_AWD 롱레인지 20인치 (EV)</t>
    <phoneticPr fontId="2" type="noConversion"/>
  </si>
  <si>
    <t>IONIQ5_ AWD 롱레인지 20인치 (EV)</t>
    <phoneticPr fontId="2" type="noConversion"/>
  </si>
  <si>
    <t>IONIQ5_ AWD 롱레인지 19인치 (EV)</t>
    <phoneticPr fontId="2" type="noConversion"/>
  </si>
  <si>
    <t>IONIQ5_ AWD 스탠다드 19인치 (EV)</t>
    <phoneticPr fontId="2" type="noConversion"/>
  </si>
  <si>
    <t>GV60_2WD 스탠다드 19인치 (EV)</t>
    <phoneticPr fontId="2" type="noConversion"/>
  </si>
  <si>
    <t>GV60_AWD 스탠다드 19인치 (EV)</t>
    <phoneticPr fontId="2" type="noConversion"/>
  </si>
  <si>
    <t>GV60_AWD 스탠다드 20인치 (EV)</t>
    <phoneticPr fontId="2" type="noConversion"/>
  </si>
  <si>
    <t>GV60_AWD 퍼포먼스 21인치 (EV)</t>
    <phoneticPr fontId="2" type="noConversion"/>
  </si>
  <si>
    <t>GV70_(EV)</t>
    <phoneticPr fontId="2" type="noConversion"/>
  </si>
  <si>
    <t>니로_(EV)</t>
    <phoneticPr fontId="2" type="noConversion"/>
  </si>
  <si>
    <t>EV6_2WD 스탠다드 19인치 (EV)</t>
    <phoneticPr fontId="2" type="noConversion"/>
  </si>
  <si>
    <t>EV6_2WD 롱레인지 19인치 (EV)</t>
    <phoneticPr fontId="2" type="noConversion"/>
  </si>
  <si>
    <t>EV6_2WD 롱레인지 20인치 (EV)</t>
    <phoneticPr fontId="2" type="noConversion"/>
  </si>
  <si>
    <t>EV6_AWD 스탠다드 19인치 (EV)</t>
    <phoneticPr fontId="2" type="noConversion"/>
  </si>
  <si>
    <t>EV6_AWD 롱레인지 19인치 (EV)</t>
    <phoneticPr fontId="2" type="noConversion"/>
  </si>
  <si>
    <t>보조금</t>
    <phoneticPr fontId="2" type="noConversion"/>
  </si>
  <si>
    <t>E 300d 4M Coupe</t>
    <phoneticPr fontId="2" type="noConversion"/>
  </si>
  <si>
    <t>도이치모터스</t>
    <phoneticPr fontId="2" type="noConversion"/>
  </si>
  <si>
    <t>IONIQ5_ 2WD 롱레인지 19인치 (EV)</t>
    <phoneticPr fontId="2" type="noConversion"/>
  </si>
  <si>
    <t>IONIQ5_ 2WD 롱레인지 20인치 (EV)</t>
    <phoneticPr fontId="2" type="noConversion"/>
  </si>
  <si>
    <t>IONIQ5_ 2WD 롱레인지 19인치 빌트인 캠 미적용 (EV)</t>
    <phoneticPr fontId="2" type="noConversion"/>
  </si>
  <si>
    <t>IONIQ5_ 2WD 스탠다드 19인치 (EV)</t>
    <phoneticPr fontId="2" type="noConversion"/>
  </si>
  <si>
    <t>취득원가</t>
    <phoneticPr fontId="2" type="noConversion"/>
  </si>
  <si>
    <t>Taycan CrossTurismo Turbo</t>
    <phoneticPr fontId="2" type="noConversion"/>
  </si>
  <si>
    <t>친환경 자동차(EV) 자동차리스 특약사항</t>
  </si>
  <si>
    <t>[차량 인도 및 하자]</t>
  </si>
  <si>
    <t>[의무운행기간 준수]</t>
  </si>
  <si>
    <t>&lt;운행기간별 보조금 환수율&gt;</t>
    <phoneticPr fontId="2" type="noConversion"/>
  </si>
  <si>
    <t>전기차
운행기간</t>
    <phoneticPr fontId="2" type="noConversion"/>
  </si>
  <si>
    <t>3개월
미만</t>
    <phoneticPr fontId="2" type="noConversion"/>
  </si>
  <si>
    <t>3개월 이상
6개월 미만</t>
    <phoneticPr fontId="2" type="noConversion"/>
  </si>
  <si>
    <t>6개월 이상
9개월 미만</t>
    <phoneticPr fontId="2" type="noConversion"/>
  </si>
  <si>
    <t>9개월 이상
12개월 미만</t>
    <phoneticPr fontId="2" type="noConversion"/>
  </si>
  <si>
    <t>12개월 이상
15개월 미만</t>
    <phoneticPr fontId="2" type="noConversion"/>
  </si>
  <si>
    <t>15개월 이상
18개월 미만</t>
    <phoneticPr fontId="2" type="noConversion"/>
  </si>
  <si>
    <t>18개월 이상
21개월 미만</t>
    <phoneticPr fontId="2" type="noConversion"/>
  </si>
  <si>
    <t>21개월 이상
24개월 미만</t>
    <phoneticPr fontId="2" type="noConversion"/>
  </si>
  <si>
    <t>환수율</t>
    <phoneticPr fontId="2" type="noConversion"/>
  </si>
  <si>
    <t xml:space="preserve">본인은 본 특약사항에 대해 충분한 설명을 듣고 이해하였으며, 본인 의사에 따라 본 계약을 체결하였고
계약내용을 성실히 이행할 것을 확약합니다.
</t>
    <phoneticPr fontId="2" type="noConversion"/>
  </si>
  <si>
    <t>20    년     월     일</t>
    <phoneticPr fontId="2" type="noConversion"/>
  </si>
  <si>
    <t xml:space="preserve">본인은 자동차리스 약관 제8조(차량의 인수 및 등록) 및 제9조(차량의 인도지연 또는 하자)에도 불구하고 차량의 단차, 도장불량 등 차량의 제조사에서 인정하지 않는 교환사유로 인해 차량인수를 거부 또는 교환이 불가함을 확약합니다.
또한 차량의 제조사가 인정하지 않는 배터리, 전자적 장치 등에 대한 교체 또한 불가하며 이를 
사유로 해당 계약에 대해 중도해지할 수 없음을 확약합니다.
</t>
    <phoneticPr fontId="2" type="noConversion"/>
  </si>
  <si>
    <t xml:space="preserve">본 계약의 월납입금액은 차량가격에 (    대구   )시의 전기차 보조금 지원금액을 반영하여 산정 되었습니다.
「대기환경보전법」 제58조 제4항 및 제10항, 동법 시행규칙 제79조의4 제1항에 따른 2년간의 의무운행 기간을 준수하여야 하며, 이를 충족하지 못할 경우 해당 보조금에 대하여 아래의 ‘운행기간별 보조금 환수율’에서 정한 내용에 따른 환수조치가 진행됩니다. 따라서 계약기간 중 본 계약을 중도해지 하는 경우 차량의 매입/반환에 따른 손해배상금과 아래의 ‘운행기간별 보조금 환수율’에 따른 보조금 환수금액 전액을 부담할 것을 확약합니다.
(1) 차량 매입시
   - 자동차리스 약관 제23조(규정손해배상금)에 따른 규정손해배상금 + 보조금 환수금액
(2) 차량 반환시
   - 자동차리스 약관 제24조(중도해지손해배상금)에 따른 중도해지손해배상금 + 보조금 환수금액
</t>
    <phoneticPr fontId="2" type="noConversion"/>
  </si>
  <si>
    <r>
      <t xml:space="preserve">연대보증인  </t>
    </r>
    <r>
      <rPr>
        <u/>
        <sz val="22"/>
        <color theme="1"/>
        <rFont val="맑은 고딕"/>
        <family val="3"/>
        <charset val="129"/>
        <scheme val="minor"/>
      </rPr>
      <t xml:space="preserve">                             (인)</t>
    </r>
    <r>
      <rPr>
        <sz val="22"/>
        <color theme="1"/>
        <rFont val="맑은 고딕"/>
        <family val="3"/>
        <charset val="129"/>
        <scheme val="minor"/>
      </rPr>
      <t xml:space="preserve"> </t>
    </r>
    <phoneticPr fontId="2" type="noConversion"/>
  </si>
  <si>
    <r>
      <t xml:space="preserve">신청인(본인)  </t>
    </r>
    <r>
      <rPr>
        <u/>
        <sz val="22"/>
        <color theme="1"/>
        <rFont val="맑은 고딕"/>
        <family val="3"/>
        <charset val="129"/>
        <scheme val="minor"/>
      </rPr>
      <t xml:space="preserve">                             (인)</t>
    </r>
    <phoneticPr fontId="2" type="noConversion"/>
  </si>
  <si>
    <t>F-TYPE P300 Coupe</t>
    <phoneticPr fontId="2" type="noConversion"/>
  </si>
  <si>
    <t>Ghibli Modena S Q4</t>
    <phoneticPr fontId="2" type="noConversion"/>
  </si>
  <si>
    <t>308 1.5 Allure</t>
    <phoneticPr fontId="2" type="noConversion"/>
  </si>
  <si>
    <t>■ 운용리스 실행(발주) 요청서 ■</t>
    <phoneticPr fontId="2" type="noConversion"/>
  </si>
  <si>
    <t>J</t>
    <phoneticPr fontId="2" type="noConversion"/>
  </si>
  <si>
    <t>버텍스 500</t>
    <phoneticPr fontId="2" type="noConversion"/>
  </si>
  <si>
    <t>제휴탁송사</t>
    <phoneticPr fontId="2" type="noConversion"/>
  </si>
  <si>
    <t>금액</t>
    <phoneticPr fontId="2" type="noConversion"/>
  </si>
  <si>
    <t>용품미선택</t>
    <phoneticPr fontId="2" type="noConversion"/>
  </si>
  <si>
    <t>파인드라이브 GX3</t>
  </si>
  <si>
    <t>미선택</t>
    <phoneticPr fontId="2" type="noConversion"/>
  </si>
  <si>
    <t>쿨맥스</t>
  </si>
  <si>
    <t>GG</t>
  </si>
  <si>
    <t>측후면썬팅</t>
    <phoneticPr fontId="2" type="noConversion"/>
  </si>
  <si>
    <t>쿠폰</t>
    <phoneticPr fontId="2" type="noConversion"/>
  </si>
  <si>
    <t>루마 PRO</t>
  </si>
  <si>
    <t>탁송사</t>
    <phoneticPr fontId="2" type="noConversion"/>
  </si>
  <si>
    <t>번호판배송</t>
    <phoneticPr fontId="2" type="noConversion"/>
  </si>
  <si>
    <t>번호판만배송</t>
    <phoneticPr fontId="2" type="noConversion"/>
  </si>
  <si>
    <t>유림</t>
    <phoneticPr fontId="2" type="noConversion"/>
  </si>
  <si>
    <t>금액</t>
    <phoneticPr fontId="2" type="noConversion"/>
  </si>
  <si>
    <t>선보</t>
    <phoneticPr fontId="2" type="noConversion"/>
  </si>
  <si>
    <t>블랙박스</t>
    <phoneticPr fontId="2" type="noConversion"/>
  </si>
  <si>
    <t>용품미선택</t>
    <phoneticPr fontId="2" type="noConversion"/>
  </si>
  <si>
    <t>-</t>
    <phoneticPr fontId="2" type="noConversion"/>
  </si>
  <si>
    <t>-</t>
    <phoneticPr fontId="2" type="noConversion"/>
  </si>
  <si>
    <t>전면썬팅</t>
    <phoneticPr fontId="2" type="noConversion"/>
  </si>
  <si>
    <t>버텍스300</t>
    <phoneticPr fontId="2" type="noConversion"/>
  </si>
  <si>
    <t>-</t>
    <phoneticPr fontId="2" type="noConversion"/>
  </si>
  <si>
    <t>쿠폰</t>
    <phoneticPr fontId="2" type="noConversion"/>
  </si>
  <si>
    <t>버텍스300</t>
    <phoneticPr fontId="2" type="noConversion"/>
  </si>
  <si>
    <t>미선택</t>
  </si>
  <si>
    <t>출고지</t>
    <phoneticPr fontId="2" type="noConversion"/>
  </si>
  <si>
    <t>대전/충남</t>
    <phoneticPr fontId="81" type="noConversion"/>
  </si>
  <si>
    <t>대구/경북</t>
    <phoneticPr fontId="81" type="noConversion"/>
  </si>
  <si>
    <t>부산/경남/울산</t>
    <phoneticPr fontId="81" type="noConversion"/>
  </si>
  <si>
    <t>광주/전남</t>
    <phoneticPr fontId="81" type="noConversion"/>
  </si>
  <si>
    <t>부산/경남/울산</t>
    <phoneticPr fontId="81" type="noConversion"/>
  </si>
  <si>
    <t>대구/경북</t>
    <phoneticPr fontId="81" type="noConversion"/>
  </si>
  <si>
    <t>대구/경북</t>
    <phoneticPr fontId="81" type="noConversion"/>
  </si>
  <si>
    <t>대전/충남</t>
    <phoneticPr fontId="81" type="noConversion"/>
  </si>
  <si>
    <t>광주/전남</t>
    <phoneticPr fontId="81" type="noConversion"/>
  </si>
  <si>
    <t>가솔린</t>
    <phoneticPr fontId="2" type="noConversion"/>
  </si>
  <si>
    <t>E</t>
    <phoneticPr fontId="2" type="noConversion"/>
  </si>
  <si>
    <t>용품없음</t>
    <phoneticPr fontId="2" type="noConversion"/>
  </si>
  <si>
    <t>버텍스 500</t>
    <phoneticPr fontId="2" type="noConversion"/>
  </si>
  <si>
    <t>2022년도 전기자동차 대구광역시 모델별 보조금</t>
  </si>
  <si>
    <t>차종</t>
  </si>
  <si>
    <t>모델명</t>
  </si>
  <si>
    <t>국비
(만원)</t>
  </si>
  <si>
    <t>지방비
(만원)</t>
  </si>
  <si>
    <t>보조금
(만원)</t>
  </si>
  <si>
    <t>아이오닉 5
2WD</t>
    <phoneticPr fontId="148" type="noConversion"/>
  </si>
  <si>
    <t>아이오닉5 2WD 롱레인지 20인치</t>
    <phoneticPr fontId="148" type="noConversion"/>
  </si>
  <si>
    <t>아이오닉5 2WD 롱레인지 19인치</t>
    <phoneticPr fontId="148" type="noConversion"/>
  </si>
  <si>
    <t>아이오닉5 2WD 롱레인지 19인치 빌트인 캠 미적용</t>
    <phoneticPr fontId="148" type="noConversion"/>
  </si>
  <si>
    <t>아이오닉5 2WD 스탠다드 19인치</t>
    <phoneticPr fontId="148" type="noConversion"/>
  </si>
  <si>
    <t>아이오닉 5
4WD</t>
    <phoneticPr fontId="148" type="noConversion"/>
  </si>
  <si>
    <t>아이오닉5 AWD 롱레인지 20인치</t>
    <phoneticPr fontId="148" type="noConversion"/>
  </si>
  <si>
    <t>아이오닉5 AWD 롱레인지 19인치</t>
    <phoneticPr fontId="148" type="noConversion"/>
  </si>
  <si>
    <t>아이오닉5 AWD 스탠다드 19인치</t>
    <phoneticPr fontId="148" type="noConversion"/>
  </si>
  <si>
    <t>아이오닉 6
2WD</t>
    <phoneticPr fontId="148" type="noConversion"/>
  </si>
  <si>
    <t>아이오닉 6 스탠다드 2WD 18인치</t>
    <phoneticPr fontId="2" type="noConversion"/>
  </si>
  <si>
    <t>아이오닉 6 롱레인지 2WD 18인치</t>
    <phoneticPr fontId="2" type="noConversion"/>
  </si>
  <si>
    <t>아이오닉 6 롱레인지 2WD 20인치</t>
    <phoneticPr fontId="2" type="noConversion"/>
  </si>
  <si>
    <t>아이오닉 6
4WD</t>
    <phoneticPr fontId="148" type="noConversion"/>
  </si>
  <si>
    <t>아이오닉 6 롱레인지 AWD 18인치</t>
    <phoneticPr fontId="2" type="noConversion"/>
  </si>
  <si>
    <t>아이오닉 6 롱레인지 AWD 20인치</t>
    <phoneticPr fontId="2" type="noConversion"/>
  </si>
  <si>
    <t>GV60
2WD</t>
    <phoneticPr fontId="148" type="noConversion"/>
  </si>
  <si>
    <t>GV60 스탠다드 2WD 19인치</t>
    <phoneticPr fontId="148" type="noConversion"/>
  </si>
  <si>
    <t>GV60
4WD</t>
    <phoneticPr fontId="148" type="noConversion"/>
  </si>
  <si>
    <t>GV60 스탠다드 AWD 19인치</t>
    <phoneticPr fontId="148" type="noConversion"/>
  </si>
  <si>
    <t>GV60 스탠다드 AWD 20인치</t>
    <phoneticPr fontId="148" type="noConversion"/>
  </si>
  <si>
    <t>GV60 퍼포먼스 AWD 21인치</t>
    <phoneticPr fontId="148" type="noConversion"/>
  </si>
  <si>
    <t>니로 EV</t>
    <phoneticPr fontId="148" type="noConversion"/>
  </si>
  <si>
    <t>니로 EV(HP)</t>
    <phoneticPr fontId="148" type="noConversion"/>
  </si>
  <si>
    <t>EV6
2WD</t>
    <phoneticPr fontId="148" type="noConversion"/>
  </si>
  <si>
    <t>EV6 스탠다드 2WD 19인치</t>
    <phoneticPr fontId="148" type="noConversion"/>
  </si>
  <si>
    <t>EV6 롱레인지 2WD 20인치</t>
    <phoneticPr fontId="148" type="noConversion"/>
  </si>
  <si>
    <t>EV6 롱레인지 2WD 19인치</t>
    <phoneticPr fontId="148" type="noConversion"/>
  </si>
  <si>
    <t>EV6
4WD</t>
    <phoneticPr fontId="148" type="noConversion"/>
  </si>
  <si>
    <t>EV6 롱레인지 4WD 20인치</t>
    <phoneticPr fontId="148" type="noConversion"/>
  </si>
  <si>
    <t>EV6 롱레인지 4WD 19인치</t>
    <phoneticPr fontId="148" type="noConversion"/>
  </si>
  <si>
    <t>EV6 스탠다드 4WD 19인치</t>
    <phoneticPr fontId="148" type="noConversion"/>
  </si>
  <si>
    <t>국비</t>
    <phoneticPr fontId="2" type="noConversion"/>
  </si>
  <si>
    <t>지방비</t>
    <phoneticPr fontId="2" type="noConversion"/>
  </si>
  <si>
    <t>서울/경기/인천</t>
  </si>
  <si>
    <t>XC40 B4 Plus Bright AWD</t>
    <phoneticPr fontId="2" type="noConversion"/>
  </si>
  <si>
    <t>XC90 B6 AWD Plus Bright</t>
    <phoneticPr fontId="2" type="noConversion"/>
  </si>
  <si>
    <t>AG명</t>
    <phoneticPr fontId="2" type="noConversion"/>
  </si>
  <si>
    <t>접수일자</t>
    <phoneticPr fontId="2" type="noConversion"/>
  </si>
  <si>
    <t>2022 년      월       일</t>
    <phoneticPr fontId="2" type="noConversion"/>
  </si>
  <si>
    <t>금융 상품</t>
    <phoneticPr fontId="2" type="noConversion"/>
  </si>
  <si>
    <t xml:space="preserve"> 운용리스         금융리스      </t>
    <phoneticPr fontId="2" type="noConversion"/>
  </si>
  <si>
    <t>고객명 / E-mail</t>
    <phoneticPr fontId="2" type="noConversion"/>
  </si>
  <si>
    <t>/</t>
    <phoneticPr fontId="2" type="noConversion"/>
  </si>
  <si>
    <t>고객연락처</t>
    <phoneticPr fontId="2" type="noConversion"/>
  </si>
  <si>
    <t xml:space="preserve">    DGB 입금             상계처리</t>
    <phoneticPr fontId="2" type="noConversion"/>
  </si>
  <si>
    <t xml:space="preserve">   DGB 입금             상계처리</t>
    <phoneticPr fontId="2" type="noConversion"/>
  </si>
  <si>
    <t>송금여부</t>
    <phoneticPr fontId="2" type="noConversion"/>
  </si>
  <si>
    <t xml:space="preserve">DGB 명의 송금       계약자 명의 송금      계약자+ DGB 명의 송금 </t>
    <phoneticPr fontId="2" type="noConversion"/>
  </si>
  <si>
    <t>차  종</t>
    <phoneticPr fontId="2" type="noConversion"/>
  </si>
  <si>
    <t>개월수</t>
    <phoneticPr fontId="2" type="noConversion"/>
  </si>
  <si>
    <t>차량가 / 취득원가</t>
    <phoneticPr fontId="2" type="noConversion"/>
  </si>
  <si>
    <t>펀딩 계좌</t>
    <phoneticPr fontId="2" type="noConversion"/>
  </si>
  <si>
    <t>은행명:
계좌번호:</t>
    <phoneticPr fontId="2" type="noConversion"/>
  </si>
  <si>
    <t>판매사원</t>
    <phoneticPr fontId="2" type="noConversion"/>
  </si>
  <si>
    <t>성명:                      
생년월일 또는 연락처:</t>
    <phoneticPr fontId="2" type="noConversion"/>
  </si>
  <si>
    <t>수수료
%</t>
    <phoneticPr fontId="2" type="noConversion"/>
  </si>
  <si>
    <t>AG / 모집인명</t>
    <phoneticPr fontId="2" type="noConversion"/>
  </si>
  <si>
    <t>기  타 
(특이사항/요청사항)</t>
    <phoneticPr fontId="2" type="noConversion"/>
  </si>
  <si>
    <t>자금실행일</t>
    <phoneticPr fontId="2" type="noConversion"/>
  </si>
  <si>
    <t>2022 년       월       일</t>
    <phoneticPr fontId="2" type="noConversion"/>
  </si>
  <si>
    <t>승인서, 약정서 받을 
팩스번호</t>
    <phoneticPr fontId="2" type="noConversion"/>
  </si>
  <si>
    <t>컷오프 확인</t>
    <phoneticPr fontId="2" type="noConversion"/>
  </si>
  <si>
    <t xml:space="preserve"> 2차 컷오프  </t>
    <phoneticPr fontId="2" type="noConversion"/>
  </si>
  <si>
    <t>확  인  서</t>
    <phoneticPr fontId="2" type="noConversion"/>
  </si>
  <si>
    <t xml:space="preserve"> 귀사와 아래 고객간에 20    년     월    일자로 체결한 자동차 리스계약</t>
    <phoneticPr fontId="2" type="noConversion"/>
  </si>
  <si>
    <t xml:space="preserve"> (계약번호 :                            ) 에 의거, 자동차 등록 시 발생한 아래의 </t>
    <phoneticPr fontId="2" type="noConversion"/>
  </si>
  <si>
    <t xml:space="preserve"> 공채할인금 차액( 당초 예상할인금액 - 등록시 공채 할인금액)분 을 </t>
  </si>
  <si>
    <t xml:space="preserve"> 공지 및 고객에게 양도하였음을 확인합니다.</t>
  </si>
  <si>
    <t>당초 예상 공채할인금액</t>
    <phoneticPr fontId="2" type="noConversion"/>
  </si>
  <si>
    <t>등록시 공채할인금액</t>
    <phoneticPr fontId="2" type="noConversion"/>
  </si>
  <si>
    <t xml:space="preserve">고 객 명 : </t>
    <phoneticPr fontId="2" type="noConversion"/>
  </si>
  <si>
    <t xml:space="preserve">서  명 : </t>
    <phoneticPr fontId="2" type="noConversion"/>
  </si>
  <si>
    <t xml:space="preserve">             20       년          월          일</t>
    <phoneticPr fontId="2" type="noConversion"/>
  </si>
  <si>
    <t xml:space="preserve">판 매 담 당 자 : </t>
    <phoneticPr fontId="2" type="noConversion"/>
  </si>
  <si>
    <t>서           명 :</t>
    <phoneticPr fontId="2" type="noConversion"/>
  </si>
  <si>
    <t>제주</t>
    <phoneticPr fontId="81" type="noConversion"/>
  </si>
  <si>
    <t>탁송사</t>
    <phoneticPr fontId="2" type="noConversion"/>
  </si>
  <si>
    <t>유림</t>
    <phoneticPr fontId="2" type="noConversion"/>
  </si>
  <si>
    <t>선보</t>
    <phoneticPr fontId="2" type="noConversion"/>
  </si>
  <si>
    <t>유</t>
    <phoneticPr fontId="2" type="noConversion"/>
  </si>
  <si>
    <t>EV6</t>
    <phoneticPr fontId="2" type="noConversion"/>
  </si>
  <si>
    <t>선</t>
    <phoneticPr fontId="2" type="noConversion"/>
  </si>
  <si>
    <t xml:space="preserve">← 탁송료 </t>
    <phoneticPr fontId="2" type="noConversion"/>
  </si>
  <si>
    <t>Z900</t>
    <phoneticPr fontId="2" type="noConversion"/>
  </si>
  <si>
    <t>아이나비(A700)</t>
    <phoneticPr fontId="2" type="noConversion"/>
  </si>
  <si>
    <t>E</t>
    <phoneticPr fontId="2" type="noConversion"/>
  </si>
  <si>
    <t>M</t>
    <phoneticPr fontId="2" type="noConversion"/>
  </si>
  <si>
    <t>G</t>
    <phoneticPr fontId="2" type="noConversion"/>
  </si>
  <si>
    <t>C 300 4M AMG Line</t>
    <phoneticPr fontId="2" type="noConversion"/>
  </si>
  <si>
    <t>E 350 4M EX</t>
    <phoneticPr fontId="2" type="noConversion"/>
  </si>
  <si>
    <t>EQB 300 4M AMG Line</t>
    <phoneticPr fontId="2" type="noConversion"/>
  </si>
  <si>
    <r>
      <t xml:space="preserve">  ▶ </t>
    </r>
    <r>
      <rPr>
        <sz val="16"/>
        <color rgb="FFFF0000"/>
        <rFont val="맑은 고딕"/>
        <family val="3"/>
        <charset val="129"/>
        <scheme val="minor"/>
      </rPr>
      <t>전기차</t>
    </r>
    <r>
      <rPr>
        <sz val="16"/>
        <color theme="0"/>
        <rFont val="맑은 고딕"/>
        <family val="3"/>
        <charset val="129"/>
        <scheme val="minor"/>
      </rPr>
      <t xml:space="preserve"> 진행시 취등록세 필수 확인 </t>
    </r>
    <phoneticPr fontId="2" type="noConversion"/>
  </si>
  <si>
    <t xml:space="preserve">  ▶ 특판 발주시 발주요청서 필수 작성 &amp; 자동차 내차만들기 출력하여 필수 첨부 </t>
    <phoneticPr fontId="2" type="noConversion"/>
  </si>
  <si>
    <t>계약번호</t>
    <phoneticPr fontId="2" type="noConversion"/>
  </si>
  <si>
    <t>판 매 사 원</t>
    <phoneticPr fontId="2" type="noConversion"/>
  </si>
  <si>
    <t>연 락 처</t>
    <phoneticPr fontId="2" type="noConversion"/>
  </si>
  <si>
    <t>연  락  처</t>
    <phoneticPr fontId="2" type="noConversion"/>
  </si>
  <si>
    <t xml:space="preserve">연   락   처 </t>
    <phoneticPr fontId="2" type="noConversion"/>
  </si>
  <si>
    <t>Grecale Trofeo</t>
    <phoneticPr fontId="2" type="noConversion"/>
  </si>
  <si>
    <t>Grand Cherokee 2.0 Hybrid Limited 4xe</t>
    <phoneticPr fontId="2" type="noConversion"/>
  </si>
  <si>
    <t>썬루프선팅/ 기타</t>
  </si>
  <si>
    <t>Y</t>
    <phoneticPr fontId="2" type="noConversion"/>
  </si>
  <si>
    <t>종료일</t>
    <phoneticPr fontId="2" type="noConversion"/>
  </si>
  <si>
    <t>TODAY</t>
    <phoneticPr fontId="2" type="noConversion"/>
  </si>
  <si>
    <t>← 기타 용품 비용 수기 입력</t>
    <phoneticPr fontId="2" type="noConversion"/>
  </si>
  <si>
    <t>60개월</t>
    <phoneticPr fontId="2" type="noConversion"/>
  </si>
  <si>
    <t>60개월 인상</t>
    <phoneticPr fontId="2" type="noConversion"/>
  </si>
  <si>
    <t>N</t>
    <phoneticPr fontId="2" type="noConversion"/>
  </si>
  <si>
    <t>◀용품 드랍다운 필수선택</t>
    <phoneticPr fontId="2" type="noConversion"/>
  </si>
  <si>
    <t>용품미선택</t>
  </si>
  <si>
    <t>현대즉출(016683)</t>
    <phoneticPr fontId="2" type="noConversion"/>
  </si>
  <si>
    <t>직접등록</t>
    <phoneticPr fontId="2" type="noConversion"/>
  </si>
  <si>
    <t>조건1</t>
    <phoneticPr fontId="81" type="noConversion"/>
  </si>
  <si>
    <r>
      <t xml:space="preserve">루마  </t>
    </r>
    <r>
      <rPr>
        <b/>
        <sz val="11"/>
        <color theme="1"/>
        <rFont val="맑은 고딕"/>
        <family val="3"/>
        <charset val="129"/>
        <scheme val="minor"/>
      </rPr>
      <t>GG</t>
    </r>
    <phoneticPr fontId="2" type="noConversion"/>
  </si>
  <si>
    <r>
      <t>루마</t>
    </r>
    <r>
      <rPr>
        <sz val="11"/>
        <color theme="1"/>
        <rFont val="맑은 고딕"/>
        <family val="3"/>
        <charset val="129"/>
        <scheme val="minor"/>
      </rPr>
      <t xml:space="preserve"> </t>
    </r>
    <r>
      <rPr>
        <sz val="11"/>
        <color theme="1"/>
        <rFont val="맑은 고딕"/>
        <family val="2"/>
        <charset val="129"/>
        <scheme val="minor"/>
      </rPr>
      <t>버텍스 '</t>
    </r>
    <r>
      <rPr>
        <b/>
        <sz val="11"/>
        <color theme="1"/>
        <rFont val="맑은 고딕"/>
        <family val="3"/>
        <charset val="129"/>
        <scheme val="minor"/>
      </rPr>
      <t>300'</t>
    </r>
    <phoneticPr fontId="2" type="noConversion"/>
  </si>
  <si>
    <r>
      <t>루마</t>
    </r>
    <r>
      <rPr>
        <sz val="11"/>
        <color theme="1"/>
        <rFont val="맑은 고딕"/>
        <family val="3"/>
        <charset val="129"/>
        <scheme val="minor"/>
      </rPr>
      <t xml:space="preserve"> </t>
    </r>
    <r>
      <rPr>
        <sz val="11"/>
        <color theme="1"/>
        <rFont val="맑은 고딕"/>
        <family val="2"/>
        <charset val="129"/>
        <scheme val="minor"/>
      </rPr>
      <t>버텍스 '</t>
    </r>
    <r>
      <rPr>
        <b/>
        <sz val="11"/>
        <color theme="1"/>
        <rFont val="맑은 고딕"/>
        <family val="3"/>
        <charset val="129"/>
        <scheme val="minor"/>
      </rPr>
      <t>700'</t>
    </r>
    <phoneticPr fontId="2" type="noConversion"/>
  </si>
  <si>
    <t>60(의무사용36)</t>
  </si>
  <si>
    <t>주행거리</t>
  </si>
  <si>
    <t>20,000KM(고정)</t>
    <phoneticPr fontId="2" type="noConversion"/>
  </si>
  <si>
    <r>
      <t>스타시그니처 '</t>
    </r>
    <r>
      <rPr>
        <b/>
        <sz val="11"/>
        <color theme="1"/>
        <rFont val="맑은 고딕"/>
        <family val="3"/>
        <charset val="129"/>
        <scheme val="minor"/>
      </rPr>
      <t>헤르메스'</t>
    </r>
    <phoneticPr fontId="2" type="noConversion"/>
  </si>
  <si>
    <r>
      <t xml:space="preserve">티나인 </t>
    </r>
    <r>
      <rPr>
        <b/>
        <sz val="11"/>
        <color theme="1"/>
        <rFont val="맑은 고딕"/>
        <family val="3"/>
        <charset val="129"/>
        <scheme val="minor"/>
      </rPr>
      <t>'HT'</t>
    </r>
    <phoneticPr fontId="2" type="noConversion"/>
  </si>
  <si>
    <r>
      <t xml:space="preserve">레인보우 </t>
    </r>
    <r>
      <rPr>
        <b/>
        <sz val="11"/>
        <color theme="1"/>
        <rFont val="맑은 고딕"/>
        <family val="3"/>
        <charset val="129"/>
        <scheme val="minor"/>
      </rPr>
      <t>'V90'</t>
    </r>
    <phoneticPr fontId="2" type="noConversion"/>
  </si>
  <si>
    <r>
      <t>스미스클럽 '</t>
    </r>
    <r>
      <rPr>
        <b/>
        <sz val="11"/>
        <color theme="1"/>
        <rFont val="맑은 고딕"/>
        <family val="3"/>
        <charset val="129"/>
        <scheme val="minor"/>
      </rPr>
      <t>베가'</t>
    </r>
    <phoneticPr fontId="2" type="noConversion"/>
  </si>
  <si>
    <t>■ 용품신청</t>
    <phoneticPr fontId="2" type="noConversion"/>
  </si>
  <si>
    <t>※드롭다운 누르시면 선택가능하오니 용품선택 必</t>
    <phoneticPr fontId="2" type="noConversion"/>
  </si>
  <si>
    <t>카버스탁송</t>
    <phoneticPr fontId="2" type="noConversion"/>
  </si>
  <si>
    <t>용품 등급선택</t>
    <phoneticPr fontId="2" type="noConversion"/>
  </si>
  <si>
    <t>해당없음</t>
  </si>
  <si>
    <t>등급 확인요청</t>
    <phoneticPr fontId="2" type="noConversion"/>
  </si>
  <si>
    <t>■카버스(리스) 실행 요청서 ■</t>
    <phoneticPr fontId="2" type="noConversion"/>
  </si>
  <si>
    <t>■ 계약금 입금계좌번호 및 요청사항</t>
    <phoneticPr fontId="2" type="noConversion"/>
  </si>
  <si>
    <r>
      <t xml:space="preserve">블랙박스 </t>
    </r>
    <r>
      <rPr>
        <b/>
        <sz val="14"/>
        <color rgb="FFFF0000"/>
        <rFont val="맑은 고딕"/>
        <family val="3"/>
        <charset val="129"/>
        <scheme val="minor"/>
      </rPr>
      <t>QXD</t>
    </r>
    <r>
      <rPr>
        <b/>
        <sz val="14"/>
        <color theme="0"/>
        <rFont val="맑은 고딕"/>
        <family val="3"/>
        <charset val="129"/>
        <scheme val="minor"/>
      </rPr>
      <t xml:space="preserve"> 변경  고급, </t>
    </r>
    <r>
      <rPr>
        <b/>
        <sz val="14"/>
        <color rgb="FFFF0000"/>
        <rFont val="맑은 고딕"/>
        <family val="3"/>
        <charset val="129"/>
        <scheme val="minor"/>
      </rPr>
      <t>프리미엄</t>
    </r>
    <r>
      <rPr>
        <b/>
        <sz val="14"/>
        <color theme="0"/>
        <rFont val="맑은 고딕"/>
        <family val="3"/>
        <charset val="129"/>
        <scheme val="minor"/>
      </rPr>
      <t xml:space="preserve"> 썬팅 변경시 추가 비용발생</t>
    </r>
    <phoneticPr fontId="2" type="noConversion"/>
  </si>
  <si>
    <t xml:space="preserve">CAR VERSE 신차패키지 [기본] </t>
    <phoneticPr fontId="2" type="noConversion"/>
  </si>
  <si>
    <t xml:space="preserve">CAR VERSE 신차패키지 [고급] </t>
    <phoneticPr fontId="2" type="noConversion"/>
  </si>
  <si>
    <t xml:space="preserve">CAR VERSE 신차패키지 [프리미엄] </t>
    <phoneticPr fontId="2" type="noConversion"/>
  </si>
  <si>
    <t>브랜드명</t>
    <phoneticPr fontId="2" type="noConversion"/>
  </si>
  <si>
    <t>전면/측후면 
Full 시공</t>
    <phoneticPr fontId="2" type="noConversion"/>
  </si>
  <si>
    <t>고급형
썬팅</t>
    <phoneticPr fontId="2" type="noConversion"/>
  </si>
  <si>
    <t>프리미엄
썬팅</t>
    <phoneticPr fontId="2" type="noConversion"/>
  </si>
  <si>
    <t>전면/측후면 
Full 시공</t>
  </si>
  <si>
    <r>
      <t xml:space="preserve"> 아이나비 V1000  FHD/FHD 32G
[QXD8000 업그레이드 선택시 </t>
    </r>
    <r>
      <rPr>
        <b/>
        <sz val="11"/>
        <color theme="1" tint="0.14999847407452621"/>
        <rFont val="맑은 고딕"/>
        <family val="3"/>
        <charset val="129"/>
        <scheme val="minor"/>
      </rPr>
      <t>+ 20만원</t>
    </r>
    <r>
      <rPr>
        <sz val="11"/>
        <color theme="1" tint="0.14999847407452621"/>
        <rFont val="맑은 고딕"/>
        <family val="3"/>
        <charset val="129"/>
        <scheme val="minor"/>
      </rPr>
      <t>]</t>
    </r>
    <phoneticPr fontId="2" type="noConversion"/>
  </si>
  <si>
    <t>PPF 
3종 시공</t>
    <phoneticPr fontId="2" type="noConversion"/>
  </si>
  <si>
    <t>도어컵</t>
    <phoneticPr fontId="2" type="noConversion"/>
  </si>
  <si>
    <t>도어엣지</t>
    <phoneticPr fontId="2" type="noConversion"/>
  </si>
  <si>
    <t>가   격</t>
    <phoneticPr fontId="2" type="noConversion"/>
  </si>
  <si>
    <t>트렁크리드 또는 주유구</t>
    <phoneticPr fontId="2" type="noConversion"/>
  </si>
  <si>
    <t>Up Grade</t>
    <phoneticPr fontId="2" type="noConversion"/>
  </si>
  <si>
    <r>
      <t>스타시그니처 'ZERO</t>
    </r>
    <r>
      <rPr>
        <b/>
        <sz val="11"/>
        <color theme="1"/>
        <rFont val="맑은 고딕"/>
        <family val="3"/>
        <charset val="129"/>
        <scheme val="minor"/>
      </rPr>
      <t>'</t>
    </r>
    <phoneticPr fontId="2" type="noConversion"/>
  </si>
  <si>
    <t>업그레이드 품목
[+ 10만원 ]</t>
    <phoneticPr fontId="2" type="noConversion"/>
  </si>
  <si>
    <t>버텍스 900/700</t>
    <phoneticPr fontId="2" type="noConversion"/>
  </si>
  <si>
    <t>Y</t>
    <phoneticPr fontId="2" type="noConversion"/>
  </si>
  <si>
    <t>지점/대리점출고</t>
  </si>
  <si>
    <t>제휴탁송사</t>
  </si>
  <si>
    <t>220i Gran Coupe M Sport</t>
    <phoneticPr fontId="2" type="noConversion"/>
  </si>
  <si>
    <t>320d Touring</t>
    <phoneticPr fontId="2" type="noConversion"/>
  </si>
  <si>
    <t>S3 TFSI</t>
    <phoneticPr fontId="2" type="noConversion"/>
  </si>
  <si>
    <t>NX 350h Luxury</t>
    <phoneticPr fontId="2" type="noConversion"/>
  </si>
  <si>
    <t>NX 350h Premium</t>
    <phoneticPr fontId="2" type="noConversion"/>
  </si>
  <si>
    <t>NX 450h+ Premium</t>
    <phoneticPr fontId="2" type="noConversion"/>
  </si>
  <si>
    <t>국산</t>
    <phoneticPr fontId="2" type="noConversion"/>
  </si>
  <si>
    <t>KG모빌리티</t>
    <phoneticPr fontId="2" type="noConversion"/>
  </si>
  <si>
    <t>TORRES 1.5T</t>
    <phoneticPr fontId="2" type="noConversion"/>
  </si>
  <si>
    <t>승용SUV</t>
    <phoneticPr fontId="2" type="noConversion"/>
  </si>
  <si>
    <t>10만원</t>
    <phoneticPr fontId="2" type="noConversion"/>
  </si>
  <si>
    <t>EQE 300</t>
    <phoneticPr fontId="2" type="noConversion"/>
  </si>
  <si>
    <t>EQS 350 4M</t>
    <phoneticPr fontId="2" type="noConversion"/>
  </si>
  <si>
    <t>(SUV) EQS450 4M</t>
    <phoneticPr fontId="2" type="noConversion"/>
  </si>
  <si>
    <t>(SUV) EQS580 4M</t>
    <phoneticPr fontId="2" type="noConversion"/>
  </si>
  <si>
    <t>S 580e 4M Long</t>
    <phoneticPr fontId="2" type="noConversion"/>
  </si>
  <si>
    <t>Mercedes-AMG G 63 MANUFAKTUR</t>
    <phoneticPr fontId="2" type="noConversion"/>
  </si>
  <si>
    <t>Mercedes-AMG SL 63 4M+</t>
    <phoneticPr fontId="2" type="noConversion"/>
  </si>
  <si>
    <t>Mercedes-AMG EQE 53 4M+</t>
    <phoneticPr fontId="2" type="noConversion"/>
  </si>
  <si>
    <t>220i Active Tourer Luxury</t>
    <phoneticPr fontId="2" type="noConversion"/>
  </si>
  <si>
    <t>220i Active Tourer M Sport</t>
    <phoneticPr fontId="2" type="noConversion"/>
  </si>
  <si>
    <t>G 63</t>
    <phoneticPr fontId="2" type="noConversion"/>
  </si>
  <si>
    <t>A 220 Sedan</t>
  </si>
  <si>
    <t>RV</t>
    <phoneticPr fontId="2" type="noConversion"/>
  </si>
  <si>
    <t>카버스직접등록</t>
  </si>
  <si>
    <t>카버스직접등록</t>
    <phoneticPr fontId="2" type="noConversion"/>
  </si>
  <si>
    <t>카버스직접등록</t>
    <phoneticPr fontId="2" type="noConversion"/>
  </si>
  <si>
    <t>카버스직접등록</t>
    <phoneticPr fontId="2" type="noConversion"/>
  </si>
  <si>
    <t>카버스직접등록</t>
    <phoneticPr fontId="2" type="noConversion"/>
  </si>
  <si>
    <t>AI</t>
    <phoneticPr fontId="2" type="noConversion"/>
  </si>
  <si>
    <t>■ 대부업 중개수수료 상한제</t>
    <phoneticPr fontId="164" type="noConversion"/>
  </si>
  <si>
    <t>■ 대부업 중개수수료 기준</t>
    <phoneticPr fontId="164" type="noConversion"/>
  </si>
  <si>
    <t>기준금액</t>
    <phoneticPr fontId="2" type="noConversion"/>
  </si>
  <si>
    <t>500초과 차액</t>
    <phoneticPr fontId="2" type="noConversion"/>
  </si>
  <si>
    <t>상한제 금액</t>
    <phoneticPr fontId="2" type="noConversion"/>
  </si>
  <si>
    <t>상한수수료율</t>
    <phoneticPr fontId="2" type="noConversion"/>
  </si>
  <si>
    <t>5백만원 이하</t>
    <phoneticPr fontId="2" type="noConversion"/>
  </si>
  <si>
    <t>5백만원 초과</t>
    <phoneticPr fontId="2" type="noConversion"/>
  </si>
  <si>
    <t xml:space="preserve">최소 이용금액 3,000만원 </t>
    <phoneticPr fontId="2" type="noConversion"/>
  </si>
  <si>
    <t>RX 450h+</t>
    <phoneticPr fontId="2" type="noConversion"/>
  </si>
  <si>
    <t>이중 탁송료 면제</t>
    <phoneticPr fontId="2" type="noConversion"/>
  </si>
  <si>
    <t>분류</t>
  </si>
  <si>
    <t>차종
코드</t>
    <phoneticPr fontId="2" type="noConversion"/>
  </si>
  <si>
    <t>특판
할인율</t>
    <phoneticPr fontId="2" type="noConversion"/>
  </si>
  <si>
    <t>승용</t>
  </si>
  <si>
    <t>벨로스터</t>
    <phoneticPr fontId="169" type="noConversion"/>
  </si>
  <si>
    <t>아반떼</t>
    <phoneticPr fontId="169" type="noConversion"/>
  </si>
  <si>
    <t>CN</t>
    <phoneticPr fontId="2" type="noConversion"/>
  </si>
  <si>
    <t>쏘나타</t>
    <phoneticPr fontId="169" type="noConversion"/>
  </si>
  <si>
    <t>DN</t>
    <phoneticPr fontId="2" type="noConversion"/>
  </si>
  <si>
    <t>그랜저</t>
    <phoneticPr fontId="169" type="noConversion"/>
  </si>
  <si>
    <t>GN</t>
    <phoneticPr fontId="2" type="noConversion"/>
  </si>
  <si>
    <t>SUV</t>
    <phoneticPr fontId="169" type="noConversion"/>
  </si>
  <si>
    <t>베뉴</t>
    <phoneticPr fontId="2" type="noConversion"/>
  </si>
  <si>
    <t>QX</t>
    <phoneticPr fontId="2" type="noConversion"/>
  </si>
  <si>
    <t>코나</t>
    <phoneticPr fontId="169" type="noConversion"/>
  </si>
  <si>
    <t>SX</t>
    <phoneticPr fontId="2" type="noConversion"/>
  </si>
  <si>
    <t>NX</t>
    <phoneticPr fontId="2" type="noConversion"/>
  </si>
  <si>
    <t>싼타페</t>
    <phoneticPr fontId="169" type="noConversion"/>
  </si>
  <si>
    <t>팰리세이드</t>
    <phoneticPr fontId="169" type="noConversion"/>
  </si>
  <si>
    <t>LX</t>
    <phoneticPr fontId="2" type="noConversion"/>
  </si>
  <si>
    <t>넥쏘</t>
    <phoneticPr fontId="2" type="noConversion"/>
  </si>
  <si>
    <t>FE</t>
    <phoneticPr fontId="2" type="noConversion"/>
  </si>
  <si>
    <t>아이오닉5</t>
    <phoneticPr fontId="169" type="noConversion"/>
  </si>
  <si>
    <t>NE</t>
    <phoneticPr fontId="2" type="noConversion"/>
  </si>
  <si>
    <t>캐스퍼</t>
    <phoneticPr fontId="2" type="noConversion"/>
  </si>
  <si>
    <t>AX</t>
    <phoneticPr fontId="2" type="noConversion"/>
  </si>
  <si>
    <t>제네시스</t>
    <phoneticPr fontId="169" type="noConversion"/>
  </si>
  <si>
    <t>G70</t>
    <phoneticPr fontId="169" type="noConversion"/>
  </si>
  <si>
    <t>JU</t>
    <phoneticPr fontId="2" type="noConversion"/>
  </si>
  <si>
    <t>G80</t>
    <phoneticPr fontId="169" type="noConversion"/>
  </si>
  <si>
    <t>JJ</t>
    <phoneticPr fontId="2" type="noConversion"/>
  </si>
  <si>
    <t>eG80</t>
    <phoneticPr fontId="2" type="noConversion"/>
  </si>
  <si>
    <t>JI</t>
    <phoneticPr fontId="2" type="noConversion"/>
  </si>
  <si>
    <t>JP</t>
    <phoneticPr fontId="2" type="noConversion"/>
  </si>
  <si>
    <t>GV60</t>
    <phoneticPr fontId="2" type="noConversion"/>
  </si>
  <si>
    <t>JW</t>
    <phoneticPr fontId="2" type="noConversion"/>
  </si>
  <si>
    <t>GV70</t>
    <phoneticPr fontId="2" type="noConversion"/>
  </si>
  <si>
    <t>JK</t>
    <phoneticPr fontId="2" type="noConversion"/>
  </si>
  <si>
    <t>GV80</t>
    <phoneticPr fontId="2" type="noConversion"/>
  </si>
  <si>
    <t>JX</t>
    <phoneticPr fontId="2" type="noConversion"/>
  </si>
  <si>
    <t>소상</t>
  </si>
  <si>
    <t>포터</t>
    <phoneticPr fontId="169" type="noConversion"/>
  </si>
  <si>
    <t>M5</t>
    <phoneticPr fontId="2" type="noConversion"/>
  </si>
  <si>
    <t>포터 EV</t>
    <phoneticPr fontId="2" type="noConversion"/>
  </si>
  <si>
    <t>M5 EV</t>
    <phoneticPr fontId="2" type="noConversion"/>
  </si>
  <si>
    <t>스타리아 투어러/카고</t>
    <phoneticPr fontId="2" type="noConversion"/>
  </si>
  <si>
    <t>US</t>
    <phoneticPr fontId="2" type="noConversion"/>
  </si>
  <si>
    <t>아이오닉 6</t>
    <phoneticPr fontId="2" type="noConversion"/>
  </si>
  <si>
    <t>CE</t>
    <phoneticPr fontId="2" type="noConversion"/>
  </si>
  <si>
    <t>차량코드</t>
    <phoneticPr fontId="2" type="noConversion"/>
  </si>
  <si>
    <t>AX</t>
    <phoneticPr fontId="2" type="noConversion"/>
  </si>
  <si>
    <t>AX</t>
    <phoneticPr fontId="2" type="noConversion"/>
  </si>
  <si>
    <t>CM입력수수료</t>
    <phoneticPr fontId="2" type="noConversion"/>
  </si>
  <si>
    <t>AG입력수수료</t>
    <phoneticPr fontId="2" type="noConversion"/>
  </si>
  <si>
    <t>AG고정수수료</t>
    <phoneticPr fontId="2" type="noConversion"/>
  </si>
  <si>
    <t>할인지원금</t>
    <phoneticPr fontId="2" type="noConversion"/>
  </si>
  <si>
    <t>제휴수수료1</t>
    <phoneticPr fontId="2" type="noConversion"/>
  </si>
  <si>
    <t>제휴수수료2</t>
    <phoneticPr fontId="2" type="noConversion"/>
  </si>
  <si>
    <t>제휴수수료3</t>
    <phoneticPr fontId="2" type="noConversion"/>
  </si>
  <si>
    <t>제휴수수료4</t>
    <phoneticPr fontId="2" type="noConversion"/>
  </si>
  <si>
    <t>잔가보장수수료</t>
    <phoneticPr fontId="2" type="noConversion"/>
  </si>
  <si>
    <t>합계</t>
    <phoneticPr fontId="2" type="noConversion"/>
  </si>
  <si>
    <t xml:space="preserve"> </t>
    <phoneticPr fontId="2" type="noConversion"/>
  </si>
  <si>
    <t>CM입력수수료</t>
    <phoneticPr fontId="2" type="noConversion"/>
  </si>
  <si>
    <t>IRR</t>
    <phoneticPr fontId="2" type="noConversion"/>
  </si>
  <si>
    <t>개소세할인</t>
    <phoneticPr fontId="2" type="noConversion"/>
  </si>
  <si>
    <t>AG입력수수료</t>
    <phoneticPr fontId="2" type="noConversion"/>
  </si>
  <si>
    <t>자동차세</t>
    <phoneticPr fontId="2" type="noConversion"/>
  </si>
  <si>
    <t>계약금</t>
    <phoneticPr fontId="2" type="noConversion"/>
  </si>
  <si>
    <t>월</t>
    <phoneticPr fontId="2" type="noConversion"/>
  </si>
  <si>
    <t>화</t>
    <phoneticPr fontId="2" type="noConversion"/>
  </si>
  <si>
    <t>수</t>
    <phoneticPr fontId="2" type="noConversion"/>
  </si>
  <si>
    <t>목</t>
    <phoneticPr fontId="2" type="noConversion"/>
  </si>
  <si>
    <t>금</t>
    <phoneticPr fontId="2" type="noConversion"/>
  </si>
  <si>
    <t>AG고정수수료</t>
    <phoneticPr fontId="2" type="noConversion"/>
  </si>
  <si>
    <t>딜러사</t>
    <phoneticPr fontId="2" type="noConversion"/>
  </si>
  <si>
    <t>카드결제</t>
    <phoneticPr fontId="2" type="noConversion"/>
  </si>
  <si>
    <t>할인지원금</t>
    <phoneticPr fontId="2" type="noConversion"/>
  </si>
  <si>
    <t>약정운행거리</t>
    <phoneticPr fontId="2" type="noConversion"/>
  </si>
  <si>
    <t>제휴수수료1</t>
    <phoneticPr fontId="2" type="noConversion"/>
  </si>
  <si>
    <t>금리</t>
    <phoneticPr fontId="2" type="noConversion"/>
  </si>
  <si>
    <t>태안모터스</t>
    <phoneticPr fontId="2" type="noConversion"/>
  </si>
  <si>
    <t>황상훈본부장 0.2% 일괄지급</t>
    <phoneticPr fontId="2" type="noConversion"/>
  </si>
  <si>
    <t>제휴수수료2</t>
    <phoneticPr fontId="2" type="noConversion"/>
  </si>
  <si>
    <t>월 리스료</t>
    <phoneticPr fontId="2" type="noConversion"/>
  </si>
  <si>
    <t>메모</t>
    <phoneticPr fontId="2" type="noConversion"/>
  </si>
  <si>
    <t>제휴수수료3</t>
    <phoneticPr fontId="2" type="noConversion"/>
  </si>
  <si>
    <t>고잔가율</t>
    <phoneticPr fontId="2" type="noConversion"/>
  </si>
  <si>
    <t>제휴수수료4</t>
    <phoneticPr fontId="2" type="noConversion"/>
  </si>
  <si>
    <t>잔가군</t>
    <phoneticPr fontId="2" type="noConversion"/>
  </si>
  <si>
    <t>잔가보장수수료</t>
    <phoneticPr fontId="2" type="noConversion"/>
  </si>
  <si>
    <t>합계</t>
    <phoneticPr fontId="2" type="noConversion"/>
  </si>
  <si>
    <t>IRR수정</t>
    <phoneticPr fontId="2" type="noConversion"/>
  </si>
  <si>
    <t>JS</t>
    <phoneticPr fontId="2" type="noConversion"/>
  </si>
  <si>
    <t>M-Benz</t>
    <phoneticPr fontId="2" type="noConversion"/>
  </si>
  <si>
    <t>A 220 Sedan</t>
    <phoneticPr fontId="2" type="noConversion"/>
  </si>
  <si>
    <t>E 450 4M Cabriolet</t>
    <phoneticPr fontId="2" type="noConversion"/>
  </si>
  <si>
    <t>G 400d</t>
    <phoneticPr fontId="2" type="noConversion"/>
  </si>
  <si>
    <t>GLA 250 4M</t>
    <phoneticPr fontId="2" type="noConversion"/>
  </si>
  <si>
    <t>GLS 400d 4M</t>
    <phoneticPr fontId="2" type="noConversion"/>
  </si>
  <si>
    <t>EQS450+</t>
    <phoneticPr fontId="2" type="noConversion"/>
  </si>
  <si>
    <t>Mercedes-AMG GLA 45 4M</t>
    <phoneticPr fontId="2" type="noConversion"/>
  </si>
  <si>
    <t>Mercedes-AMG GLC 43 4M Coupe</t>
    <phoneticPr fontId="2" type="noConversion"/>
  </si>
  <si>
    <t>Mercedes-AMG GLC 63S 4M Coupe</t>
    <phoneticPr fontId="2" type="noConversion"/>
  </si>
  <si>
    <t>Mercedes-AMG GLE 53 4M Coupe</t>
    <phoneticPr fontId="2" type="noConversion"/>
  </si>
  <si>
    <t>수입</t>
    <phoneticPr fontId="2" type="noConversion"/>
  </si>
  <si>
    <t>CLS 450 4M</t>
    <phoneticPr fontId="2" type="noConversion"/>
  </si>
  <si>
    <t>승용일반</t>
    <phoneticPr fontId="2" type="noConversion"/>
  </si>
  <si>
    <t>승용SUV</t>
    <phoneticPr fontId="2" type="noConversion"/>
  </si>
  <si>
    <t>N</t>
    <phoneticPr fontId="2" type="noConversion"/>
  </si>
  <si>
    <t>EQC 400 4M</t>
    <phoneticPr fontId="2" type="noConversion"/>
  </si>
  <si>
    <t>승용일반</t>
    <phoneticPr fontId="2" type="noConversion"/>
  </si>
  <si>
    <t>승용일반</t>
    <phoneticPr fontId="2" type="noConversion"/>
  </si>
  <si>
    <t>Mercedes-AMG E 53 4M Coupe</t>
    <phoneticPr fontId="2" type="noConversion"/>
  </si>
  <si>
    <t>승용SUV</t>
    <phoneticPr fontId="2" type="noConversion"/>
  </si>
  <si>
    <t>CLS 300d 4M</t>
    <phoneticPr fontId="2" type="noConversion"/>
  </si>
  <si>
    <t>E 450 4M Coupe</t>
    <phoneticPr fontId="2" type="noConversion"/>
  </si>
  <si>
    <t>EQE 350+</t>
    <phoneticPr fontId="2" type="noConversion"/>
  </si>
  <si>
    <t>EQS450+AMG Line</t>
    <phoneticPr fontId="2" type="noConversion"/>
  </si>
  <si>
    <t>S 580 4Matic L</t>
    <phoneticPr fontId="2" type="noConversion"/>
  </si>
  <si>
    <t>Mercedes-AMG A 35 4M Sedan</t>
    <phoneticPr fontId="2" type="noConversion"/>
  </si>
  <si>
    <t>Mercedes-AMG C 43 4M Coupe</t>
    <phoneticPr fontId="2" type="noConversion"/>
  </si>
  <si>
    <t>Mercedes-AMG GLB 35 4M</t>
    <phoneticPr fontId="2" type="noConversion"/>
  </si>
  <si>
    <t>Mercedes-AMG GLE 63 S 4M Coupe</t>
    <phoneticPr fontId="2" type="noConversion"/>
  </si>
  <si>
    <t>Mercedes-AMG GT 63 S 4M (4door)</t>
    <phoneticPr fontId="2" type="noConversion"/>
  </si>
  <si>
    <t>GLB 200d</t>
    <phoneticPr fontId="2" type="noConversion"/>
  </si>
  <si>
    <t>GLC 220d 4M Coupe</t>
    <phoneticPr fontId="2" type="noConversion"/>
  </si>
  <si>
    <t>BMW</t>
    <phoneticPr fontId="2" type="noConversion"/>
  </si>
  <si>
    <t>120i M Sport Pack</t>
    <phoneticPr fontId="2" type="noConversion"/>
  </si>
  <si>
    <t>승용일반</t>
    <phoneticPr fontId="2" type="noConversion"/>
  </si>
  <si>
    <t>320i Touring M Sport Pack</t>
    <phoneticPr fontId="2" type="noConversion"/>
  </si>
  <si>
    <t>M8 Gran Coupe Competition</t>
    <phoneticPr fontId="2" type="noConversion"/>
  </si>
  <si>
    <t>승용SUV</t>
    <phoneticPr fontId="2" type="noConversion"/>
  </si>
  <si>
    <t>X3 xDrive 30e M Sport Pack</t>
    <phoneticPr fontId="2" type="noConversion"/>
  </si>
  <si>
    <t>X3 M Competition</t>
    <phoneticPr fontId="2" type="noConversion"/>
  </si>
  <si>
    <t>X4 xDrive 20i xLine</t>
    <phoneticPr fontId="2" type="noConversion"/>
  </si>
  <si>
    <t>X4 xDrive 20d xLine</t>
    <phoneticPr fontId="2" type="noConversion"/>
  </si>
  <si>
    <t>X4 M Competition</t>
    <phoneticPr fontId="2" type="noConversion"/>
  </si>
  <si>
    <t>X5 xDrive 30d xLine (7인승)</t>
    <phoneticPr fontId="2" type="noConversion"/>
  </si>
  <si>
    <t>X5 xDrive 30d M Sport Pack(7인승)</t>
    <phoneticPr fontId="2" type="noConversion"/>
  </si>
  <si>
    <t>X5 xDrive 45e M Sport Package</t>
    <phoneticPr fontId="2" type="noConversion"/>
  </si>
  <si>
    <t>X5 xDrive 50e M Sport Pro</t>
    <phoneticPr fontId="2" type="noConversion"/>
  </si>
  <si>
    <t>X5 M Competition</t>
    <phoneticPr fontId="2" type="noConversion"/>
  </si>
  <si>
    <t>X6 M50i</t>
    <phoneticPr fontId="2" type="noConversion"/>
  </si>
  <si>
    <t>X6 M60i</t>
    <phoneticPr fontId="2" type="noConversion"/>
  </si>
  <si>
    <t>승용SUV</t>
    <phoneticPr fontId="2" type="noConversion"/>
  </si>
  <si>
    <t>X7 xDrive 40i M Sport Pack</t>
    <phoneticPr fontId="2" type="noConversion"/>
  </si>
  <si>
    <t>X7 xDrive 40d Design Pure Excellence (7인승)</t>
    <phoneticPr fontId="2" type="noConversion"/>
  </si>
  <si>
    <t>M135i xDrive</t>
    <phoneticPr fontId="2" type="noConversion"/>
  </si>
  <si>
    <t>220i Active Tourer Advantage</t>
    <phoneticPr fontId="2" type="noConversion"/>
  </si>
  <si>
    <t>320d</t>
    <phoneticPr fontId="2" type="noConversion"/>
  </si>
  <si>
    <t>320d M Sport Pack</t>
    <phoneticPr fontId="2" type="noConversion"/>
  </si>
  <si>
    <t>320i</t>
    <phoneticPr fontId="2" type="noConversion"/>
  </si>
  <si>
    <t>320i M Sport Pack</t>
    <phoneticPr fontId="2" type="noConversion"/>
  </si>
  <si>
    <t>320i Touring</t>
    <phoneticPr fontId="2" type="noConversion"/>
  </si>
  <si>
    <t>320d Touring M Sport Pack</t>
    <phoneticPr fontId="2" type="noConversion"/>
  </si>
  <si>
    <t>523d Luxury Line</t>
    <phoneticPr fontId="2" type="noConversion"/>
  </si>
  <si>
    <t>523d xDrive M Sport Pack</t>
    <phoneticPr fontId="2" type="noConversion"/>
  </si>
  <si>
    <t>620d GT xDrive Luxury Line</t>
    <phoneticPr fontId="2" type="noConversion"/>
  </si>
  <si>
    <t>640i GT xDrive Luxury Line</t>
    <phoneticPr fontId="2" type="noConversion"/>
  </si>
  <si>
    <t>750e xDrive M Sport Executive</t>
    <phoneticPr fontId="2" type="noConversion"/>
  </si>
  <si>
    <t>M2 Coupe</t>
    <phoneticPr fontId="2" type="noConversion"/>
  </si>
  <si>
    <t>M4 Coupe Competition M xDrive Coupe</t>
    <phoneticPr fontId="2" type="noConversion"/>
  </si>
  <si>
    <t>M4 Competition M xDrive Convertible</t>
    <phoneticPr fontId="2" type="noConversion"/>
  </si>
  <si>
    <t>M5 Competition</t>
    <phoneticPr fontId="2" type="noConversion"/>
  </si>
  <si>
    <t>X1 sDrive 20i xLine</t>
    <phoneticPr fontId="2" type="noConversion"/>
  </si>
  <si>
    <t>X1 sDrive 20i M Sport Pack</t>
    <phoneticPr fontId="2" type="noConversion"/>
  </si>
  <si>
    <t>X3 xDrive 20i M Sport Pack</t>
    <phoneticPr fontId="2" type="noConversion"/>
  </si>
  <si>
    <t>X3 xDrive 30e xLine</t>
    <phoneticPr fontId="2" type="noConversion"/>
  </si>
  <si>
    <t>X4 xDrive 20i M Sport</t>
    <phoneticPr fontId="2" type="noConversion"/>
  </si>
  <si>
    <t>X4 xDrive 20i M Sport Pro</t>
    <phoneticPr fontId="2" type="noConversion"/>
  </si>
  <si>
    <t>X4 xDrive 20d M Sport Pro</t>
    <phoneticPr fontId="2" type="noConversion"/>
  </si>
  <si>
    <t>X5 xDrive 30d M Sport Pack</t>
    <phoneticPr fontId="2" type="noConversion"/>
  </si>
  <si>
    <t>X5 xDrive 40i M Sport (7인승)</t>
    <phoneticPr fontId="2" type="noConversion"/>
  </si>
  <si>
    <t>X5 xDrive 45e xLine</t>
    <phoneticPr fontId="2" type="noConversion"/>
  </si>
  <si>
    <t>X6 xDrive 30d M Sport Pack</t>
    <phoneticPr fontId="2" type="noConversion"/>
  </si>
  <si>
    <t>X7 xDrive 40i Design Pure Excellence (7인승)</t>
    <phoneticPr fontId="2" type="noConversion"/>
  </si>
  <si>
    <t>X7 xDrive 40i Design Pure Excellence (6인승)</t>
    <phoneticPr fontId="2" type="noConversion"/>
  </si>
  <si>
    <t>X7 M60i</t>
    <phoneticPr fontId="2" type="noConversion"/>
  </si>
  <si>
    <t>X7 M60i xDrive M Sport Pro</t>
    <phoneticPr fontId="2" type="noConversion"/>
  </si>
  <si>
    <t>Z4 sDrive 20i M Sport</t>
    <phoneticPr fontId="2" type="noConversion"/>
  </si>
  <si>
    <t>Z4 M40i</t>
    <phoneticPr fontId="2" type="noConversion"/>
  </si>
  <si>
    <t>i3 LUX (EV)</t>
    <phoneticPr fontId="2" type="noConversion"/>
  </si>
  <si>
    <t>i4 eDrive40 Gran Coupe M Sport</t>
    <phoneticPr fontId="2" type="noConversion"/>
  </si>
  <si>
    <t>i4 eDrive40 M Sport Pro</t>
    <phoneticPr fontId="2" type="noConversion"/>
  </si>
  <si>
    <t>i4 M50 Gran Coupe</t>
    <phoneticPr fontId="2" type="noConversion"/>
  </si>
  <si>
    <t>i4 M50 Gran Coupe Pro</t>
    <phoneticPr fontId="2" type="noConversion"/>
  </si>
  <si>
    <t>i7 xDrive60 DPE Executive</t>
    <phoneticPr fontId="2" type="noConversion"/>
  </si>
  <si>
    <t>i7 xDrive60 M Sport Executive</t>
    <phoneticPr fontId="2" type="noConversion"/>
  </si>
  <si>
    <t>iX1 xDrive 30 xLine</t>
    <phoneticPr fontId="2" type="noConversion"/>
  </si>
  <si>
    <t>iX1 xDrive 30 M Sport</t>
    <phoneticPr fontId="2" type="noConversion"/>
  </si>
  <si>
    <t>iX3 M Sport Pakage</t>
    <phoneticPr fontId="2" type="noConversion"/>
  </si>
  <si>
    <t>iX xDrive40</t>
    <phoneticPr fontId="2" type="noConversion"/>
  </si>
  <si>
    <t>iX xDrive50</t>
    <phoneticPr fontId="2" type="noConversion"/>
  </si>
  <si>
    <t>XM</t>
    <phoneticPr fontId="2" type="noConversion"/>
  </si>
  <si>
    <t>A4 40 TFSI premium</t>
    <phoneticPr fontId="2" type="noConversion"/>
  </si>
  <si>
    <t>A5 SportsBack 40 TFSI Quattro premium</t>
    <phoneticPr fontId="2" type="noConversion"/>
  </si>
  <si>
    <t>A6 45 TFSI Quattro premium</t>
    <phoneticPr fontId="2" type="noConversion"/>
  </si>
  <si>
    <t>A7 55 TFSI Quattro Premium</t>
    <phoneticPr fontId="2" type="noConversion"/>
  </si>
  <si>
    <t>RS7 4.0 TFSI</t>
    <phoneticPr fontId="2" type="noConversion"/>
  </si>
  <si>
    <t>Q5 40 TDI Quattro</t>
    <phoneticPr fontId="2" type="noConversion"/>
  </si>
  <si>
    <t>Q5 40 TDI Sportback Quattro Premium</t>
    <phoneticPr fontId="2" type="noConversion"/>
  </si>
  <si>
    <t>Q5 45 TFSI Sportback Quattro Premium</t>
    <phoneticPr fontId="2" type="noConversion"/>
  </si>
  <si>
    <t>Q8 50 TDI Quattro Premium</t>
    <phoneticPr fontId="2" type="noConversion"/>
  </si>
  <si>
    <t>RS Q8</t>
    <phoneticPr fontId="2" type="noConversion"/>
  </si>
  <si>
    <t>R8 V10 Performance</t>
    <phoneticPr fontId="2" type="noConversion"/>
  </si>
  <si>
    <t>A5 SportsBack 45 TFSI Quattro premium</t>
    <phoneticPr fontId="2" type="noConversion"/>
  </si>
  <si>
    <t>A5 45 TFSI Quattro Premium Cabriolet</t>
    <phoneticPr fontId="2" type="noConversion"/>
  </si>
  <si>
    <t>S5 Sportback TFSI</t>
    <phoneticPr fontId="2" type="noConversion"/>
  </si>
  <si>
    <t>RS5 2.9 TFSI Sportback</t>
    <phoneticPr fontId="2" type="noConversion"/>
  </si>
  <si>
    <t xml:space="preserve">A6 40 TDI </t>
    <phoneticPr fontId="2" type="noConversion"/>
  </si>
  <si>
    <t xml:space="preserve">A6 45 TFSI </t>
    <phoneticPr fontId="2" type="noConversion"/>
  </si>
  <si>
    <t>RS6 Avant 4.0 TFSI</t>
    <phoneticPr fontId="2" type="noConversion"/>
  </si>
  <si>
    <t>A7 45 TDI Quattro premium</t>
    <phoneticPr fontId="2" type="noConversion"/>
  </si>
  <si>
    <t>A7 50 TDI Quattro premium</t>
    <phoneticPr fontId="2" type="noConversion"/>
  </si>
  <si>
    <t>S7 3.0 TDI</t>
    <phoneticPr fontId="2" type="noConversion"/>
  </si>
  <si>
    <t>A8 L60 TFSI Quattro (5인승)</t>
    <phoneticPr fontId="2" type="noConversion"/>
  </si>
  <si>
    <t>A8 L60 TFSI Quattro (4인승)</t>
    <phoneticPr fontId="2" type="noConversion"/>
  </si>
  <si>
    <t>Q2 35 TDI</t>
    <phoneticPr fontId="2" type="noConversion"/>
  </si>
  <si>
    <t>Q2 35 TDI Premium</t>
    <phoneticPr fontId="2" type="noConversion"/>
  </si>
  <si>
    <t>Q3 35 TDI</t>
    <phoneticPr fontId="2" type="noConversion"/>
  </si>
  <si>
    <t>Q3 35 TDI Premium</t>
    <phoneticPr fontId="2" type="noConversion"/>
  </si>
  <si>
    <t>Q3 35 TDI Quattro Premium</t>
    <phoneticPr fontId="2" type="noConversion"/>
  </si>
  <si>
    <t>Q3 35 TDI Sportback Premium</t>
    <phoneticPr fontId="2" type="noConversion"/>
  </si>
  <si>
    <t>Q3 35 TDI Sportback Quattro Premium</t>
    <phoneticPr fontId="2" type="noConversion"/>
  </si>
  <si>
    <t>Q3 40 TFSI Quattro</t>
    <phoneticPr fontId="2" type="noConversion"/>
  </si>
  <si>
    <t>Q3 40 TFSI Quattro Premium</t>
    <phoneticPr fontId="2" type="noConversion"/>
  </si>
  <si>
    <t>Q5 45 TFSI Sportback Quattro</t>
    <phoneticPr fontId="2" type="noConversion"/>
  </si>
  <si>
    <t>Q5 45 TFSI Quattro Premium</t>
    <phoneticPr fontId="2" type="noConversion"/>
  </si>
  <si>
    <t>SQ5 Sportback 3.0 TFSI</t>
    <phoneticPr fontId="2" type="noConversion"/>
  </si>
  <si>
    <t>Q7 45 TDI Quattro</t>
    <phoneticPr fontId="2" type="noConversion"/>
  </si>
  <si>
    <t>Q7 45 TDI Quattro Premium</t>
    <phoneticPr fontId="2" type="noConversion"/>
  </si>
  <si>
    <t>Q7 50 TDI Quattro Premium</t>
    <phoneticPr fontId="2" type="noConversion"/>
  </si>
  <si>
    <t>Q7 55 TFSI Quattro Premium</t>
    <phoneticPr fontId="2" type="noConversion"/>
  </si>
  <si>
    <t>Q8 45 TDI Quattro</t>
    <phoneticPr fontId="2" type="noConversion"/>
  </si>
  <si>
    <t>Q4 E-tron 40</t>
    <phoneticPr fontId="2" type="noConversion"/>
  </si>
  <si>
    <t>E-tron SportsBack 50 Quattro</t>
    <phoneticPr fontId="2" type="noConversion"/>
  </si>
  <si>
    <t>E-tron S SportBack</t>
    <phoneticPr fontId="2" type="noConversion"/>
  </si>
  <si>
    <t>E-tron GT Quattro Premium</t>
    <phoneticPr fontId="2" type="noConversion"/>
  </si>
  <si>
    <t>Jaguar_Landrover</t>
    <phoneticPr fontId="2" type="noConversion"/>
  </si>
  <si>
    <t>F-TYPE P300 Convertible</t>
    <phoneticPr fontId="2" type="noConversion"/>
  </si>
  <si>
    <t>Volvo</t>
    <phoneticPr fontId="2" type="noConversion"/>
  </si>
  <si>
    <t>S90 B5 Plus Bright</t>
    <phoneticPr fontId="2" type="noConversion"/>
  </si>
  <si>
    <t>S90 T8 AWD Ultimate Bright</t>
    <phoneticPr fontId="2" type="noConversion"/>
  </si>
  <si>
    <t>V60 CrossCountry B5 AWD Ultimate</t>
    <phoneticPr fontId="2" type="noConversion"/>
  </si>
  <si>
    <t>XC40 B4 Ultimate Bright AWD</t>
    <phoneticPr fontId="2" type="noConversion"/>
  </si>
  <si>
    <t>XC90 T8 AWD Ultimate Bright</t>
    <phoneticPr fontId="2" type="noConversion"/>
  </si>
  <si>
    <t>승용일반</t>
    <phoneticPr fontId="2" type="noConversion"/>
  </si>
  <si>
    <t>승용일반</t>
    <phoneticPr fontId="2" type="noConversion"/>
  </si>
  <si>
    <t>승용SUV</t>
    <phoneticPr fontId="2" type="noConversion"/>
  </si>
  <si>
    <t>Ghibli Trofeo</t>
    <phoneticPr fontId="2" type="noConversion"/>
  </si>
  <si>
    <t>Ghibli GT</t>
    <phoneticPr fontId="2" type="noConversion"/>
  </si>
  <si>
    <t>Ghibli Modena</t>
    <phoneticPr fontId="2" type="noConversion"/>
  </si>
  <si>
    <t>Levante Trofeo</t>
    <phoneticPr fontId="2" type="noConversion"/>
  </si>
  <si>
    <t>Levante Modena S</t>
    <phoneticPr fontId="2" type="noConversion"/>
  </si>
  <si>
    <t>Levante GT</t>
    <phoneticPr fontId="2" type="noConversion"/>
  </si>
  <si>
    <t>Quattroporte Trofeo</t>
    <phoneticPr fontId="2" type="noConversion"/>
  </si>
  <si>
    <t>Quattroporte Modena Q4</t>
    <phoneticPr fontId="2" type="noConversion"/>
  </si>
  <si>
    <t>Grecale Modena</t>
    <phoneticPr fontId="2" type="noConversion"/>
  </si>
  <si>
    <t>MC20 V6</t>
    <phoneticPr fontId="2" type="noConversion"/>
  </si>
  <si>
    <t>F-PACE P250 SE</t>
    <phoneticPr fontId="2" type="noConversion"/>
  </si>
  <si>
    <t>Discovery D250 S</t>
    <phoneticPr fontId="2" type="noConversion"/>
  </si>
  <si>
    <t>Discovery D250 SE</t>
    <phoneticPr fontId="2" type="noConversion"/>
  </si>
  <si>
    <t>Range Rover Defender 90 D250 XS (2door)</t>
    <phoneticPr fontId="2" type="noConversion"/>
  </si>
  <si>
    <t>Range Rover Defender 130 D300 X-Dynamic HSE (4door)</t>
    <phoneticPr fontId="2" type="noConversion"/>
  </si>
  <si>
    <t>The new Range Rover P530 HSE SWB</t>
    <phoneticPr fontId="2" type="noConversion"/>
  </si>
  <si>
    <t>The new Range Rover P530 HSE LWB</t>
    <phoneticPr fontId="2" type="noConversion"/>
  </si>
  <si>
    <t>The new Range Rover P530 Autobiography SWB</t>
    <phoneticPr fontId="2" type="noConversion"/>
  </si>
  <si>
    <t>The new Range Rover P530 Autobiography LWB (7인승)</t>
    <phoneticPr fontId="2" type="noConversion"/>
  </si>
  <si>
    <t>The new Range Rover D350 Autobiography LWB</t>
    <phoneticPr fontId="2" type="noConversion"/>
  </si>
  <si>
    <t>Ford</t>
    <phoneticPr fontId="2" type="noConversion"/>
  </si>
  <si>
    <t>전기</t>
    <phoneticPr fontId="2" type="noConversion"/>
  </si>
  <si>
    <t>전기</t>
    <phoneticPr fontId="2" type="noConversion"/>
  </si>
  <si>
    <t>승용SUV</t>
    <phoneticPr fontId="2" type="noConversion"/>
  </si>
  <si>
    <t>전기</t>
    <phoneticPr fontId="2" type="noConversion"/>
  </si>
  <si>
    <t>MINI Hatch Cooper 1.5 Classic (5door)</t>
    <phoneticPr fontId="2" type="noConversion"/>
  </si>
  <si>
    <t>MINI Clubman Cooper 1.5 Classic</t>
    <phoneticPr fontId="2" type="noConversion"/>
  </si>
  <si>
    <t>MINI Countryman John Cooper Works ALL4 2.0</t>
    <phoneticPr fontId="2" type="noConversion"/>
  </si>
  <si>
    <t>MINI Convertible John Cooper Works 2.0</t>
    <phoneticPr fontId="2" type="noConversion"/>
  </si>
  <si>
    <t>MINI Electric Classic</t>
    <phoneticPr fontId="2" type="noConversion"/>
  </si>
  <si>
    <t>LS 500h Luxury AWD</t>
    <phoneticPr fontId="2" type="noConversion"/>
  </si>
  <si>
    <t>ES 300h Luxury Plus</t>
    <phoneticPr fontId="2" type="noConversion"/>
  </si>
  <si>
    <t>LC 500h Sport+</t>
    <phoneticPr fontId="2" type="noConversion"/>
  </si>
  <si>
    <t>전기</t>
    <phoneticPr fontId="2" type="noConversion"/>
  </si>
  <si>
    <t>RZ 450e Luxury</t>
    <phoneticPr fontId="2" type="noConversion"/>
  </si>
  <si>
    <t>승용일반</t>
    <phoneticPr fontId="2" type="noConversion"/>
  </si>
  <si>
    <t>하이브리드_승용</t>
    <phoneticPr fontId="2" type="noConversion"/>
  </si>
  <si>
    <t>LS 500h Platinum AWD</t>
    <phoneticPr fontId="2" type="noConversion"/>
  </si>
  <si>
    <t>하이브리드_승용</t>
    <phoneticPr fontId="2" type="noConversion"/>
  </si>
  <si>
    <t>UX 250h AWD</t>
    <phoneticPr fontId="2" type="noConversion"/>
  </si>
  <si>
    <t>하이브리드_SUV</t>
    <phoneticPr fontId="2" type="noConversion"/>
  </si>
  <si>
    <t>승용SUV</t>
    <phoneticPr fontId="2" type="noConversion"/>
  </si>
  <si>
    <t>RX 350h</t>
    <phoneticPr fontId="2" type="noConversion"/>
  </si>
  <si>
    <t>Lexus</t>
    <phoneticPr fontId="2" type="noConversion"/>
  </si>
  <si>
    <t>RZ 450e Supreme</t>
    <phoneticPr fontId="2" type="noConversion"/>
  </si>
  <si>
    <t>CT4 Sport</t>
    <phoneticPr fontId="2" type="noConversion"/>
  </si>
  <si>
    <t>CT5-V 블랙윙</t>
    <phoneticPr fontId="2" type="noConversion"/>
  </si>
  <si>
    <t>XT6 Sport(7인승)</t>
    <phoneticPr fontId="2" type="noConversion"/>
  </si>
  <si>
    <t>Highlander Platinum</t>
    <phoneticPr fontId="2" type="noConversion"/>
  </si>
  <si>
    <t>Sienna Hybrid (2WD)</t>
    <phoneticPr fontId="2" type="noConversion"/>
  </si>
  <si>
    <t>Sienna Hybrid (E-four) (4WD)</t>
    <phoneticPr fontId="2" type="noConversion"/>
  </si>
  <si>
    <t>GR 86 Standard</t>
    <phoneticPr fontId="2" type="noConversion"/>
  </si>
  <si>
    <t>Crown 2.4 HEV Dual Boost</t>
    <phoneticPr fontId="2" type="noConversion"/>
  </si>
  <si>
    <t>하이브리드_승용</t>
    <phoneticPr fontId="2" type="noConversion"/>
  </si>
  <si>
    <t>Highlander Limited</t>
    <phoneticPr fontId="2" type="noConversion"/>
  </si>
  <si>
    <t xml:space="preserve">CR-V 2WD </t>
    <phoneticPr fontId="2" type="noConversion"/>
  </si>
  <si>
    <t>Odyssey 3.5 Elite</t>
    <phoneticPr fontId="2" type="noConversion"/>
  </si>
  <si>
    <t>-</t>
    <phoneticPr fontId="2" type="noConversion"/>
  </si>
  <si>
    <t>2008 1.5 Allure</t>
    <phoneticPr fontId="2" type="noConversion"/>
  </si>
  <si>
    <t>3008 1.5 Allure</t>
    <phoneticPr fontId="2" type="noConversion"/>
  </si>
  <si>
    <t>5008 1.2 Allure</t>
    <phoneticPr fontId="2" type="noConversion"/>
  </si>
  <si>
    <t>5008 1.2 GT</t>
    <phoneticPr fontId="2" type="noConversion"/>
  </si>
  <si>
    <t>5008 1.5 Allure</t>
    <phoneticPr fontId="2" type="noConversion"/>
  </si>
  <si>
    <t>Lincoln</t>
    <phoneticPr fontId="2" type="noConversion"/>
  </si>
  <si>
    <t>Navigator Black Label</t>
    <phoneticPr fontId="2" type="noConversion"/>
  </si>
  <si>
    <t>승용SUV</t>
    <phoneticPr fontId="2" type="noConversion"/>
  </si>
  <si>
    <t>Corsair Reserve 201A Standard</t>
    <phoneticPr fontId="2" type="noConversion"/>
  </si>
  <si>
    <t>Aviator 3.0 Reserve</t>
    <phoneticPr fontId="2" type="noConversion"/>
  </si>
  <si>
    <t>Aviator 3.0 Black Lavel</t>
    <phoneticPr fontId="2" type="noConversion"/>
  </si>
  <si>
    <t>Citroen</t>
    <phoneticPr fontId="2" type="noConversion"/>
  </si>
  <si>
    <t>C5 Aircross 1.5 Shine Pack</t>
    <phoneticPr fontId="2" type="noConversion"/>
  </si>
  <si>
    <t>C4 Cactus 1.5 Shine</t>
    <phoneticPr fontId="2" type="noConversion"/>
  </si>
  <si>
    <t>ROLLS-ROYCE</t>
    <phoneticPr fontId="2" type="noConversion"/>
  </si>
  <si>
    <t>승용일반</t>
    <phoneticPr fontId="2" type="noConversion"/>
  </si>
  <si>
    <t>Phantom -  Extended Wheel Base</t>
    <phoneticPr fontId="2" type="noConversion"/>
  </si>
  <si>
    <t>Spectre (2door)</t>
    <phoneticPr fontId="2" type="noConversion"/>
  </si>
  <si>
    <t>Dawn - V12 Black Badge</t>
    <phoneticPr fontId="2" type="noConversion"/>
  </si>
  <si>
    <t>New Ghost Series - Standard Wheel Base</t>
    <phoneticPr fontId="2" type="noConversion"/>
  </si>
  <si>
    <t>Wraith V12</t>
    <phoneticPr fontId="2" type="noConversion"/>
  </si>
  <si>
    <t>New Ghost Series - Extended Wheel Base</t>
    <phoneticPr fontId="2" type="noConversion"/>
  </si>
  <si>
    <t>New Ghost Series - Black Badge</t>
    <phoneticPr fontId="2" type="noConversion"/>
  </si>
  <si>
    <t>Flying Spur V8 S</t>
    <phoneticPr fontId="2" type="noConversion"/>
  </si>
  <si>
    <t>승용일반</t>
    <phoneticPr fontId="2" type="noConversion"/>
  </si>
  <si>
    <t>BENTLEY</t>
    <phoneticPr fontId="2" type="noConversion"/>
  </si>
  <si>
    <t>승용일반</t>
    <phoneticPr fontId="2" type="noConversion"/>
  </si>
  <si>
    <t>Continental GT V8</t>
    <phoneticPr fontId="2" type="noConversion"/>
  </si>
  <si>
    <t>MULSANNE</t>
    <phoneticPr fontId="2" type="noConversion"/>
  </si>
  <si>
    <t>승용일반</t>
    <phoneticPr fontId="2" type="noConversion"/>
  </si>
  <si>
    <t>296 GTB V6 (하이브리드)</t>
    <phoneticPr fontId="2" type="noConversion"/>
  </si>
  <si>
    <t>승용일반</t>
    <phoneticPr fontId="2" type="noConversion"/>
  </si>
  <si>
    <t>F12 Berlinetta V12</t>
    <phoneticPr fontId="2" type="noConversion"/>
  </si>
  <si>
    <t>승용일반</t>
    <phoneticPr fontId="2" type="noConversion"/>
  </si>
  <si>
    <t>GTC4 Lusso 6.3 V12</t>
    <phoneticPr fontId="2" type="noConversion"/>
  </si>
  <si>
    <t>ROMA</t>
    <phoneticPr fontId="2" type="noConversion"/>
  </si>
  <si>
    <t>F8 Tributo 3.9 V8</t>
    <phoneticPr fontId="2" type="noConversion"/>
  </si>
  <si>
    <t>488 Pista 3.9</t>
    <phoneticPr fontId="2" type="noConversion"/>
  </si>
  <si>
    <t>Aventador LP770-4 SVJ Roadster</t>
    <phoneticPr fontId="2" type="noConversion"/>
  </si>
  <si>
    <t>Huracan EVO LP640-2 Tecnica</t>
    <phoneticPr fontId="2" type="noConversion"/>
  </si>
  <si>
    <t>Urus V8</t>
    <phoneticPr fontId="2" type="noConversion"/>
  </si>
  <si>
    <t>Urus S V8</t>
    <phoneticPr fontId="2" type="noConversion"/>
  </si>
  <si>
    <t>Aventador LP770-4 SVJ</t>
    <phoneticPr fontId="2" type="noConversion"/>
  </si>
  <si>
    <t>Aventador LP740-4 S Roadster</t>
    <phoneticPr fontId="2" type="noConversion"/>
  </si>
  <si>
    <t>Aventador LP740-4 S</t>
    <phoneticPr fontId="2" type="noConversion"/>
  </si>
  <si>
    <t>Huracan EVO LP610-2 Spyder</t>
    <phoneticPr fontId="2" type="noConversion"/>
  </si>
  <si>
    <t>전기</t>
    <phoneticPr fontId="2" type="noConversion"/>
  </si>
  <si>
    <t>Model S AWD</t>
    <phoneticPr fontId="2" type="noConversion"/>
  </si>
  <si>
    <t>Model S Plaid</t>
    <phoneticPr fontId="2" type="noConversion"/>
  </si>
  <si>
    <t>Model Y Performance</t>
    <phoneticPr fontId="2" type="noConversion"/>
  </si>
  <si>
    <t>Model Y RDW</t>
    <phoneticPr fontId="2" type="noConversion"/>
  </si>
  <si>
    <t>승용일반</t>
    <phoneticPr fontId="2" type="noConversion"/>
  </si>
  <si>
    <t>승용일반</t>
    <phoneticPr fontId="2" type="noConversion"/>
  </si>
  <si>
    <t>720S</t>
    <phoneticPr fontId="2" type="noConversion"/>
  </si>
  <si>
    <t>720S Spider</t>
    <phoneticPr fontId="2" type="noConversion"/>
  </si>
  <si>
    <t>Artura 3.0 V6 (하이브리드)</t>
    <phoneticPr fontId="2" type="noConversion"/>
  </si>
  <si>
    <t>600LT</t>
    <phoneticPr fontId="2" type="noConversion"/>
  </si>
  <si>
    <t>600LT Spider</t>
    <phoneticPr fontId="2" type="noConversion"/>
  </si>
  <si>
    <t>765LT V8 Coupe</t>
    <phoneticPr fontId="2" type="noConversion"/>
  </si>
  <si>
    <t>911 Carrera 4S Cabriolet</t>
    <phoneticPr fontId="2" type="noConversion"/>
  </si>
  <si>
    <t>911 Carrera S Cabriolet</t>
    <phoneticPr fontId="2" type="noConversion"/>
  </si>
  <si>
    <t>911 Carrera S Coupe</t>
    <phoneticPr fontId="2" type="noConversion"/>
  </si>
  <si>
    <t>911 Targa 4</t>
    <phoneticPr fontId="2" type="noConversion"/>
  </si>
  <si>
    <t>Cayenne Coupe</t>
    <phoneticPr fontId="2" type="noConversion"/>
  </si>
  <si>
    <t>Cayenne E-Hybrid Coupe</t>
    <phoneticPr fontId="2" type="noConversion"/>
  </si>
  <si>
    <t>Panamera GTS</t>
    <phoneticPr fontId="2" type="noConversion"/>
  </si>
  <si>
    <t>Panamera Turbo S</t>
    <phoneticPr fontId="2" type="noConversion"/>
  </si>
  <si>
    <t>Taycan Turbo S</t>
    <phoneticPr fontId="2" type="noConversion"/>
  </si>
  <si>
    <t>승용일반</t>
    <phoneticPr fontId="2" type="noConversion"/>
  </si>
  <si>
    <t>전기</t>
    <phoneticPr fontId="2" type="noConversion"/>
  </si>
  <si>
    <t>A6 50 TDI Quattro premium</t>
    <phoneticPr fontId="2" type="noConversion"/>
  </si>
  <si>
    <t>A7 55 TFSI e Quattro Premium</t>
    <phoneticPr fontId="2" type="noConversion"/>
  </si>
  <si>
    <t>N</t>
    <phoneticPr fontId="2" type="noConversion"/>
  </si>
  <si>
    <t>N</t>
    <phoneticPr fontId="2" type="noConversion"/>
  </si>
  <si>
    <t>Y</t>
    <phoneticPr fontId="2" type="noConversion"/>
  </si>
  <si>
    <t>Y</t>
    <phoneticPr fontId="2" type="noConversion"/>
  </si>
  <si>
    <t>Y</t>
    <phoneticPr fontId="2" type="noConversion"/>
  </si>
  <si>
    <t>Y</t>
    <phoneticPr fontId="2" type="noConversion"/>
  </si>
  <si>
    <t>2만키로</t>
    <phoneticPr fontId="2" type="noConversion"/>
  </si>
  <si>
    <t>적용여부</t>
    <phoneticPr fontId="2" type="noConversion"/>
  </si>
  <si>
    <t>적용잔가</t>
    <phoneticPr fontId="2" type="noConversion"/>
  </si>
  <si>
    <t>벤틀리/포르쉐</t>
    <phoneticPr fontId="2" type="noConversion"/>
  </si>
  <si>
    <t>20,000KM</t>
    <phoneticPr fontId="2" type="noConversion"/>
  </si>
  <si>
    <t>48 조건부상향</t>
    <phoneticPr fontId="2" type="noConversion"/>
  </si>
  <si>
    <t>60 조건부상향</t>
    <phoneticPr fontId="2" type="noConversion"/>
  </si>
  <si>
    <t>□ BENZ/ BMW/ AUDI</t>
    <phoneticPr fontId="2" type="noConversion"/>
  </si>
  <si>
    <t>조건2</t>
    <phoneticPr fontId="81" type="noConversion"/>
  </si>
  <si>
    <t>조건3</t>
    <phoneticPr fontId="81" type="noConversion"/>
  </si>
  <si>
    <t>3 6조건부상향</t>
    <phoneticPr fontId="2" type="noConversion"/>
  </si>
  <si>
    <t>기본잔가 조건1</t>
    <phoneticPr fontId="81" type="noConversion"/>
  </si>
  <si>
    <t>고잔가 조건1</t>
    <phoneticPr fontId="81" type="noConversion"/>
  </si>
  <si>
    <t>변경잔가군</t>
    <phoneticPr fontId="2" type="noConversion"/>
  </si>
  <si>
    <t>C 200 Coupe</t>
    <phoneticPr fontId="2" type="noConversion"/>
  </si>
  <si>
    <t>C 200 Cabriolet</t>
    <phoneticPr fontId="2" type="noConversion"/>
  </si>
  <si>
    <t>CLA 250 4M</t>
    <phoneticPr fontId="2" type="noConversion"/>
  </si>
  <si>
    <t>E 300e 4M EX</t>
    <phoneticPr fontId="2" type="noConversion"/>
  </si>
  <si>
    <t>GLB 250 4M (7인승)</t>
    <phoneticPr fontId="2" type="noConversion"/>
  </si>
  <si>
    <t>EQA 250 AMG Package Plus</t>
    <phoneticPr fontId="2" type="noConversion"/>
  </si>
  <si>
    <t>EQB 300 4M AMG Line(7인승)</t>
    <phoneticPr fontId="2" type="noConversion"/>
  </si>
  <si>
    <t>EQS450 4M</t>
    <phoneticPr fontId="2" type="noConversion"/>
  </si>
  <si>
    <t>EQS450+AMG Line AV</t>
    <phoneticPr fontId="2" type="noConversion"/>
  </si>
  <si>
    <t xml:space="preserve">S 350d </t>
    <phoneticPr fontId="2" type="noConversion"/>
  </si>
  <si>
    <t>S 400d 4Matic</t>
    <phoneticPr fontId="2" type="noConversion"/>
  </si>
  <si>
    <t>S 450 4Matic L</t>
    <phoneticPr fontId="2" type="noConversion"/>
  </si>
  <si>
    <t>S 500 4Matic L</t>
    <phoneticPr fontId="2" type="noConversion"/>
  </si>
  <si>
    <t>Mercedes-Maybach S 680 4M</t>
    <phoneticPr fontId="2" type="noConversion"/>
  </si>
  <si>
    <t>Mercedes-Maybach GLS 600 4M</t>
    <phoneticPr fontId="2" type="noConversion"/>
  </si>
  <si>
    <t>Mercedes-AMG A 45 4M+ Hatchback</t>
    <phoneticPr fontId="2" type="noConversion"/>
  </si>
  <si>
    <t>Mercedes-AMG CLA 45 S 4M</t>
    <phoneticPr fontId="2" type="noConversion"/>
  </si>
  <si>
    <t>Mercedes-AMG G 63</t>
    <phoneticPr fontId="2" type="noConversion"/>
  </si>
  <si>
    <t>Mercedes-AMG GLE 53 4M</t>
    <phoneticPr fontId="2" type="noConversion"/>
  </si>
  <si>
    <t>Mercedes-AMG GT 43 4M+ (4door)</t>
    <phoneticPr fontId="2" type="noConversion"/>
  </si>
  <si>
    <t>218d Active Tourer Advantage</t>
    <phoneticPr fontId="2" type="noConversion"/>
  </si>
  <si>
    <t>218d Active Tourer Luxury Line</t>
    <phoneticPr fontId="2" type="noConversion"/>
  </si>
  <si>
    <t>320d xDrive</t>
    <phoneticPr fontId="2" type="noConversion"/>
  </si>
  <si>
    <t>320d xDrive M Sport Pack</t>
    <phoneticPr fontId="2" type="noConversion"/>
  </si>
  <si>
    <t>420i M Sport Pack Coupe</t>
    <phoneticPr fontId="2" type="noConversion"/>
  </si>
  <si>
    <t>420i M Sport Convertible</t>
    <phoneticPr fontId="2" type="noConversion"/>
  </si>
  <si>
    <t>420i M Sport Gran Coupe</t>
    <phoneticPr fontId="2" type="noConversion"/>
  </si>
  <si>
    <t>420d M Sport Pack Coupe</t>
    <phoneticPr fontId="2" type="noConversion"/>
  </si>
  <si>
    <t>420d M Sport Gran Coupe</t>
    <phoneticPr fontId="2" type="noConversion"/>
  </si>
  <si>
    <t>M440i xDrive Coupe</t>
    <phoneticPr fontId="2" type="noConversion"/>
  </si>
  <si>
    <t>M440i xDrive Convertible</t>
    <phoneticPr fontId="2" type="noConversion"/>
  </si>
  <si>
    <t>M550i xDrive</t>
    <phoneticPr fontId="2" type="noConversion"/>
  </si>
  <si>
    <t>630i GT xDrive Luxury Line</t>
    <phoneticPr fontId="2" type="noConversion"/>
  </si>
  <si>
    <t>640i GT xDrive M Sport Pack</t>
    <phoneticPr fontId="2" type="noConversion"/>
  </si>
  <si>
    <t>740d xDrive M Sport Pack</t>
    <phoneticPr fontId="2" type="noConversion"/>
  </si>
  <si>
    <t>740i sDrive M Sport Pack</t>
    <phoneticPr fontId="2" type="noConversion"/>
  </si>
  <si>
    <t>M8 Coupe Competition</t>
    <phoneticPr fontId="2" type="noConversion"/>
  </si>
  <si>
    <t xml:space="preserve">X2 M35i </t>
    <phoneticPr fontId="2" type="noConversion"/>
  </si>
  <si>
    <t>X3 xDrive 20d xLine</t>
    <phoneticPr fontId="2" type="noConversion"/>
  </si>
  <si>
    <t>X3 xDrive 20i xLine</t>
    <phoneticPr fontId="2" type="noConversion"/>
  </si>
  <si>
    <t>X4 xDrive 20d M Sport</t>
    <phoneticPr fontId="2" type="noConversion"/>
  </si>
  <si>
    <t>X5 M50i</t>
    <phoneticPr fontId="2" type="noConversion"/>
  </si>
  <si>
    <t>X5 M60i</t>
    <phoneticPr fontId="2" type="noConversion"/>
  </si>
  <si>
    <t>X6 xDrive 40i M Sport Pack</t>
    <phoneticPr fontId="2" type="noConversion"/>
  </si>
  <si>
    <t>X7 xDrive 40d M Sport Pack</t>
    <phoneticPr fontId="2" type="noConversion"/>
  </si>
  <si>
    <t>i3 SOL+ (EV)</t>
    <phoneticPr fontId="2" type="noConversion"/>
  </si>
  <si>
    <t>iX xDrive50 Sport Plus</t>
    <phoneticPr fontId="2" type="noConversion"/>
  </si>
  <si>
    <t>A3 40 TFSI</t>
    <phoneticPr fontId="2" type="noConversion"/>
  </si>
  <si>
    <t>A3 40 TFSI Premium</t>
    <phoneticPr fontId="2" type="noConversion"/>
  </si>
  <si>
    <t xml:space="preserve">A4 35 TDI Premium </t>
    <phoneticPr fontId="2" type="noConversion"/>
  </si>
  <si>
    <t>A4 40 TDI Quattro Premium</t>
    <phoneticPr fontId="2" type="noConversion"/>
  </si>
  <si>
    <t>A5 SportsBack 40 TDI Quattro premium</t>
    <phoneticPr fontId="2" type="noConversion"/>
  </si>
  <si>
    <t>S5 Coupe TFSI</t>
    <phoneticPr fontId="2" type="noConversion"/>
  </si>
  <si>
    <t>A6 40 TDI Quattro premium</t>
    <phoneticPr fontId="2" type="noConversion"/>
  </si>
  <si>
    <t>S6 3.0 TDI</t>
    <phoneticPr fontId="2" type="noConversion"/>
  </si>
  <si>
    <t>A8 L55 TFSI Quattro Premium</t>
    <phoneticPr fontId="2" type="noConversion"/>
  </si>
  <si>
    <t>S8 L TFSI</t>
    <phoneticPr fontId="2" type="noConversion"/>
  </si>
  <si>
    <t>Q5 40 TDI Quattro Premium</t>
    <phoneticPr fontId="2" type="noConversion"/>
  </si>
  <si>
    <t>Q5 40 TDI Sportback Quattro</t>
    <phoneticPr fontId="2" type="noConversion"/>
  </si>
  <si>
    <t>Q4 E-tron 40 Premium</t>
    <phoneticPr fontId="2" type="noConversion"/>
  </si>
  <si>
    <t>E-tron S</t>
    <phoneticPr fontId="2" type="noConversion"/>
  </si>
  <si>
    <t xml:space="preserve">911 Carrera Coupe </t>
    <phoneticPr fontId="2" type="noConversion"/>
  </si>
  <si>
    <t>911 Carrera Cabriolet</t>
    <phoneticPr fontId="2" type="noConversion"/>
  </si>
  <si>
    <t>911 Carrera 4 Cabriolet</t>
    <phoneticPr fontId="2" type="noConversion"/>
  </si>
  <si>
    <t>911 Carrera 4S Coupe</t>
    <phoneticPr fontId="2" type="noConversion"/>
  </si>
  <si>
    <t>911 Carrera 4 GTS Coupe</t>
    <phoneticPr fontId="2" type="noConversion"/>
  </si>
  <si>
    <t>911 Carrera GTS Cabriolet</t>
    <phoneticPr fontId="2" type="noConversion"/>
  </si>
  <si>
    <t>911 Targa 4S</t>
    <phoneticPr fontId="2" type="noConversion"/>
  </si>
  <si>
    <t>911 Targa 4 GTS</t>
    <phoneticPr fontId="2" type="noConversion"/>
  </si>
  <si>
    <t>Panamera 4 Executive</t>
    <phoneticPr fontId="2" type="noConversion"/>
  </si>
  <si>
    <t>Panamera Turbo S E-Hybrid</t>
    <phoneticPr fontId="2" type="noConversion"/>
  </si>
  <si>
    <t>Taycan Turbo</t>
    <phoneticPr fontId="2" type="noConversion"/>
  </si>
  <si>
    <t>Range Rover Defender 90 D250 SE (2door)</t>
    <phoneticPr fontId="2" type="noConversion"/>
  </si>
  <si>
    <t>Range Rover Defender 110 D300 HSE (4door)</t>
    <phoneticPr fontId="2" type="noConversion"/>
  </si>
  <si>
    <t>The new Range Rover P530 HSE LWB (7인승)</t>
    <phoneticPr fontId="2" type="noConversion"/>
  </si>
  <si>
    <t>The new Range Rover D350 HSE LWB</t>
    <phoneticPr fontId="2" type="noConversion"/>
  </si>
  <si>
    <t>The new Range Rover D350 Autobiography SWB</t>
    <phoneticPr fontId="2" type="noConversion"/>
  </si>
  <si>
    <t>Range Rover Evoque 2.0 P250 S</t>
    <phoneticPr fontId="2" type="noConversion"/>
  </si>
  <si>
    <t>Range Rover Evoque 2.0 P250 SE</t>
    <phoneticPr fontId="2" type="noConversion"/>
  </si>
  <si>
    <t>Range Rover Sport P360 HSE Dynamic</t>
    <phoneticPr fontId="2" type="noConversion"/>
  </si>
  <si>
    <t>Range Rover Sport P360 SE Dynamic</t>
    <phoneticPr fontId="2" type="noConversion"/>
  </si>
  <si>
    <t>Grecale GT</t>
    <phoneticPr fontId="2" type="noConversion"/>
  </si>
  <si>
    <t>S90 B6 AWD Ultimate Bright</t>
    <phoneticPr fontId="2" type="noConversion"/>
  </si>
  <si>
    <t>V90 CrossCountry B5 AWD Plus</t>
    <phoneticPr fontId="2" type="noConversion"/>
  </si>
  <si>
    <t>V90 CrossCountry B6 AWD Ultimate</t>
    <phoneticPr fontId="2" type="noConversion"/>
  </si>
  <si>
    <t>XC40 Recharge Twin Ultimate</t>
    <phoneticPr fontId="2" type="noConversion"/>
  </si>
  <si>
    <t>XC60 B5 AWD Plus Bright</t>
    <phoneticPr fontId="2" type="noConversion"/>
  </si>
  <si>
    <t>XC60 B5 AWD Ultimate Bright</t>
    <phoneticPr fontId="2" type="noConversion"/>
  </si>
  <si>
    <t>XC60 B6 AWD Ultimate Bright</t>
    <phoneticPr fontId="2" type="noConversion"/>
  </si>
  <si>
    <t>Explorer 2.3 Limited AWD</t>
    <phoneticPr fontId="2" type="noConversion"/>
  </si>
  <si>
    <t>Expedition 3.5 Platinum (7인승)</t>
    <phoneticPr fontId="2" type="noConversion"/>
  </si>
  <si>
    <t>Ranger Wildtrak</t>
    <phoneticPr fontId="2" type="noConversion"/>
  </si>
  <si>
    <t>Mustang GT 5.0 Convertible Premium</t>
    <phoneticPr fontId="2" type="noConversion"/>
  </si>
  <si>
    <t>Mustang Mach-E 스탠다드 Premium AWD</t>
    <phoneticPr fontId="2" type="noConversion"/>
  </si>
  <si>
    <t>Mustang Mach-E 익스텐디드 Premium RWD</t>
    <phoneticPr fontId="2" type="noConversion"/>
  </si>
  <si>
    <t>Volkswagen</t>
    <phoneticPr fontId="2" type="noConversion"/>
  </si>
  <si>
    <t>Jetta 1.5 TSI Prestige</t>
    <phoneticPr fontId="2" type="noConversion"/>
  </si>
  <si>
    <t>Arteon 2.0 TDI Prestige</t>
    <phoneticPr fontId="2" type="noConversion"/>
  </si>
  <si>
    <t>Arteon 2.0 TDI Prestige 4Motion</t>
    <phoneticPr fontId="2" type="noConversion"/>
  </si>
  <si>
    <t>Tiguan 2.0 TDI Premium</t>
    <phoneticPr fontId="2" type="noConversion"/>
  </si>
  <si>
    <t>Tiguan 2.0 TDI Prestige 4Motion</t>
    <phoneticPr fontId="2" type="noConversion"/>
  </si>
  <si>
    <t>Tiguan 2.0 TDI Prestige</t>
    <phoneticPr fontId="2" type="noConversion"/>
  </si>
  <si>
    <t>Tiguan 2.0 TDI Allspace Premium</t>
    <phoneticPr fontId="2" type="noConversion"/>
  </si>
  <si>
    <t>Tiguan 2.0 Allspace TSI Prestige</t>
    <phoneticPr fontId="2" type="noConversion"/>
  </si>
  <si>
    <t>The Golf 8 TDI Premium</t>
    <phoneticPr fontId="2" type="noConversion"/>
  </si>
  <si>
    <t>The Golf 8 GTI</t>
    <phoneticPr fontId="2" type="noConversion"/>
  </si>
  <si>
    <t xml:space="preserve">Touareg 3.0 TDI Prestige </t>
    <phoneticPr fontId="2" type="noConversion"/>
  </si>
  <si>
    <t>ID.4 Pro</t>
    <phoneticPr fontId="2" type="noConversion"/>
  </si>
  <si>
    <t>ID.5 GTX</t>
    <phoneticPr fontId="2" type="noConversion"/>
  </si>
  <si>
    <t>JEEP</t>
    <phoneticPr fontId="2" type="noConversion"/>
  </si>
  <si>
    <t>Gladiator Rubicon</t>
    <phoneticPr fontId="2" type="noConversion"/>
  </si>
  <si>
    <t>Grand Cherokee 2.0 Hybrid Summit Reserve 4xe</t>
    <phoneticPr fontId="2" type="noConversion"/>
  </si>
  <si>
    <t>All New Grand Cherokee L 3.6 Overland</t>
    <phoneticPr fontId="2" type="noConversion"/>
  </si>
  <si>
    <t>All New Grand Cherokee L 3.6 Summit Reserve</t>
    <phoneticPr fontId="2" type="noConversion"/>
  </si>
  <si>
    <t>Renegade 1.3 Longitude FWD</t>
    <phoneticPr fontId="2" type="noConversion"/>
  </si>
  <si>
    <t>Renegade 1.3 Limited FWD</t>
    <phoneticPr fontId="2" type="noConversion"/>
  </si>
  <si>
    <t>Wrangler Rubicon (2door)</t>
    <phoneticPr fontId="2" type="noConversion"/>
  </si>
  <si>
    <t xml:space="preserve">Wrangler Rubicon (4door) </t>
    <phoneticPr fontId="2" type="noConversion"/>
  </si>
  <si>
    <t>Wrangler Overland (4door)</t>
    <phoneticPr fontId="2" type="noConversion"/>
  </si>
  <si>
    <t>Mini</t>
    <phoneticPr fontId="2" type="noConversion"/>
  </si>
  <si>
    <t>MINI Hatch John Cooper Works (3door)</t>
    <phoneticPr fontId="2" type="noConversion"/>
  </si>
  <si>
    <t>MINI Clubman Cooper S 2.0 Classic</t>
    <phoneticPr fontId="2" type="noConversion"/>
  </si>
  <si>
    <t>MINI Countryman Cooper 1.5 Classic</t>
    <phoneticPr fontId="2" type="noConversion"/>
  </si>
  <si>
    <t xml:space="preserve">MINI Convertible Cooper 1.5 Classic </t>
    <phoneticPr fontId="2" type="noConversion"/>
  </si>
  <si>
    <t>MINI Convertible Cooper S 2.0 Classic</t>
    <phoneticPr fontId="2" type="noConversion"/>
  </si>
  <si>
    <t>MINI Electric</t>
    <phoneticPr fontId="2" type="noConversion"/>
  </si>
  <si>
    <t>LS 500 Platinum AWD</t>
    <phoneticPr fontId="2" type="noConversion"/>
  </si>
  <si>
    <t>ES 300h F-Sport</t>
    <phoneticPr fontId="2" type="noConversion"/>
  </si>
  <si>
    <t>LC 500 Sport+ Convertible</t>
    <phoneticPr fontId="2" type="noConversion"/>
  </si>
  <si>
    <t>RX 500h</t>
    <phoneticPr fontId="2" type="noConversion"/>
  </si>
  <si>
    <t>CT5 Sport</t>
    <phoneticPr fontId="2" type="noConversion"/>
  </si>
  <si>
    <t>XT4 Sport</t>
    <phoneticPr fontId="2" type="noConversion"/>
  </si>
  <si>
    <t>XT6 Sport(6인승)</t>
    <phoneticPr fontId="2" type="noConversion"/>
  </si>
  <si>
    <t>GR 86 Premium</t>
    <phoneticPr fontId="2" type="noConversion"/>
  </si>
  <si>
    <t>Crown 2.5 HEV</t>
    <phoneticPr fontId="2" type="noConversion"/>
  </si>
  <si>
    <t>Camry Hybrid LE</t>
    <phoneticPr fontId="2" type="noConversion"/>
  </si>
  <si>
    <t>Camry Hybrid XLE</t>
    <phoneticPr fontId="2" type="noConversion"/>
  </si>
  <si>
    <t>Camry Hybrid XSE</t>
    <phoneticPr fontId="2" type="noConversion"/>
  </si>
  <si>
    <t>3008 1.2 Allure</t>
    <phoneticPr fontId="2" type="noConversion"/>
  </si>
  <si>
    <t>3008 1.5 GT</t>
    <phoneticPr fontId="2" type="noConversion"/>
  </si>
  <si>
    <t xml:space="preserve">3008 1.5 GT Pack </t>
    <phoneticPr fontId="2" type="noConversion"/>
  </si>
  <si>
    <t>5008 2.0 GT</t>
    <phoneticPr fontId="2" type="noConversion"/>
  </si>
  <si>
    <t>308 1.5 GT Pack</t>
    <phoneticPr fontId="2" type="noConversion"/>
  </si>
  <si>
    <t>408 1.2 Allure</t>
    <phoneticPr fontId="2" type="noConversion"/>
  </si>
  <si>
    <t>408 1.2 GT</t>
    <phoneticPr fontId="2" type="noConversion"/>
  </si>
  <si>
    <t>508 1.5 GT</t>
    <phoneticPr fontId="2" type="noConversion"/>
  </si>
  <si>
    <t>508 1.5 GT Pack</t>
    <phoneticPr fontId="2" type="noConversion"/>
  </si>
  <si>
    <t>e-208 Allure</t>
    <phoneticPr fontId="2" type="noConversion"/>
  </si>
  <si>
    <t>e-208 GT Line</t>
    <phoneticPr fontId="2" type="noConversion"/>
  </si>
  <si>
    <t>e-2008 GT Line</t>
    <phoneticPr fontId="2" type="noConversion"/>
  </si>
  <si>
    <t>300C 3.6 AWD</t>
    <phoneticPr fontId="2" type="noConversion"/>
  </si>
  <si>
    <t>Grand Voyager</t>
    <phoneticPr fontId="2" type="noConversion"/>
  </si>
  <si>
    <t>C3 Aircross 1.5 Shine Pack</t>
    <phoneticPr fontId="2" type="noConversion"/>
  </si>
  <si>
    <t>500 Color Plus</t>
    <phoneticPr fontId="2" type="noConversion"/>
  </si>
  <si>
    <t>488 Pista Spider 3.9 V8</t>
    <phoneticPr fontId="2" type="noConversion"/>
  </si>
  <si>
    <t>812 GTS 6.5 V12</t>
    <phoneticPr fontId="2" type="noConversion"/>
  </si>
  <si>
    <t>SF90 Stradale 4.0 V8 (하이브리드)</t>
    <phoneticPr fontId="2" type="noConversion"/>
  </si>
  <si>
    <t>SF90 Stradale 4.0 Assetto Florano (하이브리드)</t>
    <phoneticPr fontId="2" type="noConversion"/>
  </si>
  <si>
    <t xml:space="preserve">488 Pista Spider </t>
    <phoneticPr fontId="2" type="noConversion"/>
  </si>
  <si>
    <t>Roadster</t>
    <phoneticPr fontId="2" type="noConversion"/>
  </si>
  <si>
    <t>N</t>
    <phoneticPr fontId="2" type="noConversion"/>
  </si>
  <si>
    <t>N</t>
    <phoneticPr fontId="2" type="noConversion"/>
  </si>
  <si>
    <t>N</t>
    <phoneticPr fontId="2" type="noConversion"/>
  </si>
  <si>
    <t>N</t>
    <phoneticPr fontId="2" type="noConversion"/>
  </si>
  <si>
    <t>N</t>
    <phoneticPr fontId="2" type="noConversion"/>
  </si>
  <si>
    <t>N</t>
    <phoneticPr fontId="2" type="noConversion"/>
  </si>
  <si>
    <t>N</t>
    <phoneticPr fontId="2" type="noConversion"/>
  </si>
  <si>
    <t>48/60 3만키로</t>
    <phoneticPr fontId="2" type="noConversion"/>
  </si>
  <si>
    <t>A 220 Hatchback</t>
    <phoneticPr fontId="2" type="noConversion"/>
  </si>
  <si>
    <t>A 250 4M Sedan</t>
    <phoneticPr fontId="2" type="noConversion"/>
  </si>
  <si>
    <t>수입</t>
    <phoneticPr fontId="2" type="noConversion"/>
  </si>
  <si>
    <t>M-Benz</t>
    <phoneticPr fontId="2" type="noConversion"/>
  </si>
  <si>
    <t>GLB 250 4M</t>
    <phoneticPr fontId="2" type="noConversion"/>
  </si>
  <si>
    <t>GLE 400d 4M Coupe</t>
    <phoneticPr fontId="2" type="noConversion"/>
  </si>
  <si>
    <t>EQA 250 AMG Package</t>
    <phoneticPr fontId="2" type="noConversion"/>
  </si>
  <si>
    <t>EQB 300 4M</t>
    <phoneticPr fontId="2" type="noConversion"/>
  </si>
  <si>
    <t>Mercedes-Maybach S 580 4M</t>
    <phoneticPr fontId="2" type="noConversion"/>
  </si>
  <si>
    <t>Mercedes-AMG E 53 4M</t>
    <phoneticPr fontId="2" type="noConversion"/>
  </si>
  <si>
    <t>Mercedes-AMG EQS 53 4M+</t>
    <phoneticPr fontId="2" type="noConversion"/>
  </si>
  <si>
    <t>220i Gran Coupe Sport</t>
    <phoneticPr fontId="2" type="noConversion"/>
  </si>
  <si>
    <t>M235i xDrive Gran Coupe</t>
    <phoneticPr fontId="2" type="noConversion"/>
  </si>
  <si>
    <t>BMW</t>
    <phoneticPr fontId="2" type="noConversion"/>
  </si>
  <si>
    <t>330e M Sport Pack</t>
    <phoneticPr fontId="2" type="noConversion"/>
  </si>
  <si>
    <t>M340i</t>
    <phoneticPr fontId="2" type="noConversion"/>
  </si>
  <si>
    <t>530i M Sport Pack</t>
    <phoneticPr fontId="2" type="noConversion"/>
  </si>
  <si>
    <t>630i GT xDrive M Sport Pack</t>
    <phoneticPr fontId="2" type="noConversion"/>
  </si>
  <si>
    <t>740d xDrive Design Pure Excellence</t>
    <phoneticPr fontId="2" type="noConversion"/>
  </si>
  <si>
    <t>750e xDrive Design Pure Executive</t>
    <phoneticPr fontId="2" type="noConversion"/>
  </si>
  <si>
    <t>M850i xDrive Coupe</t>
    <phoneticPr fontId="2" type="noConversion"/>
  </si>
  <si>
    <t>M850i xDrive Gran Coupe</t>
    <phoneticPr fontId="2" type="noConversion"/>
  </si>
  <si>
    <t>M3 Competition Touriong M xDrive</t>
    <phoneticPr fontId="2" type="noConversion"/>
  </si>
  <si>
    <t>X1 sDrive 18d xLine</t>
    <phoneticPr fontId="2" type="noConversion"/>
  </si>
  <si>
    <t>X1 sDrive 18d M Sport Pack</t>
    <phoneticPr fontId="2" type="noConversion"/>
  </si>
  <si>
    <t>X2 xDrive 20i M Sport Package</t>
    <phoneticPr fontId="2" type="noConversion"/>
  </si>
  <si>
    <t>X3 xDrive 20d M Sport Pack</t>
    <phoneticPr fontId="2" type="noConversion"/>
  </si>
  <si>
    <t>X3 M40i</t>
    <phoneticPr fontId="2" type="noConversion"/>
  </si>
  <si>
    <t>X4 M40i</t>
    <phoneticPr fontId="2" type="noConversion"/>
  </si>
  <si>
    <t>X5 xDrive 40i xLine (7인승)</t>
    <phoneticPr fontId="2" type="noConversion"/>
  </si>
  <si>
    <t>X5 xDrive 40i M Sport Pack</t>
    <phoneticPr fontId="2" type="noConversion"/>
  </si>
  <si>
    <t>X6 M Competition</t>
    <phoneticPr fontId="2" type="noConversion"/>
  </si>
  <si>
    <t>X7 xDrive 40d Design Pure Excellence (6인승)</t>
    <phoneticPr fontId="2" type="noConversion"/>
  </si>
  <si>
    <t>iX M60</t>
    <phoneticPr fontId="2" type="noConversion"/>
  </si>
  <si>
    <t>3만불가</t>
    <phoneticPr fontId="2" type="noConversion"/>
  </si>
  <si>
    <t>RS3 Quattro</t>
    <phoneticPr fontId="2" type="noConversion"/>
  </si>
  <si>
    <t>A4 40 TFSI</t>
    <phoneticPr fontId="2" type="noConversion"/>
  </si>
  <si>
    <t>A4 45 TFSI Quattro premium</t>
    <phoneticPr fontId="2" type="noConversion"/>
  </si>
  <si>
    <t>Audi</t>
    <phoneticPr fontId="2" type="noConversion"/>
  </si>
  <si>
    <t>A5 SportsBack 40 TFSI Quattro</t>
    <phoneticPr fontId="2" type="noConversion"/>
  </si>
  <si>
    <t xml:space="preserve">A6 45 TDI Quattro Premium </t>
    <phoneticPr fontId="2" type="noConversion"/>
  </si>
  <si>
    <t>A6 45 TFSI premium</t>
    <phoneticPr fontId="2" type="noConversion"/>
  </si>
  <si>
    <t>Q3 35 TDI Sportback</t>
    <phoneticPr fontId="2" type="noConversion"/>
  </si>
  <si>
    <t>Q5 45 TFSI Quattro</t>
    <phoneticPr fontId="2" type="noConversion"/>
  </si>
  <si>
    <t>SQ5 3.0 TFSI</t>
    <phoneticPr fontId="2" type="noConversion"/>
  </si>
  <si>
    <t>E-tron SportsBack 55 Quattro</t>
    <phoneticPr fontId="2" type="noConversion"/>
  </si>
  <si>
    <t>E-tron 55 Quattro</t>
    <phoneticPr fontId="2" type="noConversion"/>
  </si>
  <si>
    <t>E-tron GT Quattro</t>
    <phoneticPr fontId="2" type="noConversion"/>
  </si>
  <si>
    <t>E-tron RS GT</t>
    <phoneticPr fontId="2" type="noConversion"/>
  </si>
  <si>
    <t>911 Carrera 4 Coupe</t>
    <phoneticPr fontId="2" type="noConversion"/>
  </si>
  <si>
    <t>Porsche</t>
    <phoneticPr fontId="2" type="noConversion"/>
  </si>
  <si>
    <t>911 Turbo S Coupe</t>
    <phoneticPr fontId="2" type="noConversion"/>
  </si>
  <si>
    <t>911 Turbo S Carbriolet</t>
    <phoneticPr fontId="2" type="noConversion"/>
  </si>
  <si>
    <t>Macan GTS</t>
    <phoneticPr fontId="2" type="noConversion"/>
  </si>
  <si>
    <t>Taycan 4S</t>
    <phoneticPr fontId="2" type="noConversion"/>
  </si>
  <si>
    <t>F-PACE P250 S</t>
    <phoneticPr fontId="2" type="noConversion"/>
  </si>
  <si>
    <t>Range Rover Defender 110 D250 SE (4door)</t>
    <phoneticPr fontId="2" type="noConversion"/>
  </si>
  <si>
    <t>Range Rover Defender 110 P300 X-Dynamic SE (4door)</t>
    <phoneticPr fontId="2" type="noConversion"/>
  </si>
  <si>
    <t>Jaguar_Landrover</t>
    <phoneticPr fontId="2" type="noConversion"/>
  </si>
  <si>
    <t>The new Range Rover P530 Autobiography LWB</t>
    <phoneticPr fontId="2" type="noConversion"/>
  </si>
  <si>
    <t>The new Range Rover D350 HSE SWB</t>
    <phoneticPr fontId="2" type="noConversion"/>
  </si>
  <si>
    <t>Range Rover Sport D300 HSE Dynamic</t>
    <phoneticPr fontId="2" type="noConversion"/>
  </si>
  <si>
    <t>Range Rover Sport P360 Autobiography</t>
    <phoneticPr fontId="2" type="noConversion"/>
  </si>
  <si>
    <t>Levante Modena</t>
    <phoneticPr fontId="2" type="noConversion"/>
  </si>
  <si>
    <t>Maserati</t>
    <phoneticPr fontId="2" type="noConversion"/>
  </si>
  <si>
    <t>Quattroporte GT</t>
    <phoneticPr fontId="2" type="noConversion"/>
  </si>
  <si>
    <t>S60 B5 Ultimate Bright</t>
    <phoneticPr fontId="2" type="noConversion"/>
  </si>
  <si>
    <t>S90 B5 Ultimate Bright</t>
    <phoneticPr fontId="2" type="noConversion"/>
  </si>
  <si>
    <t>V90 CrossCountry B5 AWD Ultimate</t>
    <phoneticPr fontId="2" type="noConversion"/>
  </si>
  <si>
    <t>Volvo</t>
    <phoneticPr fontId="2" type="noConversion"/>
  </si>
  <si>
    <t>XC60 T8 AWD Ultimate Bright</t>
    <phoneticPr fontId="2" type="noConversion"/>
  </si>
  <si>
    <t>XC90 B6 AWD Ultimate Bright</t>
    <phoneticPr fontId="2" type="noConversion"/>
  </si>
  <si>
    <t xml:space="preserve">Explorer 3.3 FHEV </t>
    <phoneticPr fontId="2" type="noConversion"/>
  </si>
  <si>
    <t>Expedition 3.5 Platinum (8인승)</t>
    <phoneticPr fontId="2" type="noConversion"/>
  </si>
  <si>
    <t>Ford</t>
    <phoneticPr fontId="2" type="noConversion"/>
  </si>
  <si>
    <t>Mustang Mach-E 스탠다드 Premium RWD</t>
    <phoneticPr fontId="2" type="noConversion"/>
  </si>
  <si>
    <t>Mustang Mach-E 익스텐디드 California route 1</t>
    <phoneticPr fontId="2" type="noConversion"/>
  </si>
  <si>
    <t>Mustang Mach-E 익스텐디드 Premium AWD</t>
    <phoneticPr fontId="2" type="noConversion"/>
  </si>
  <si>
    <t>Bronco Outer Banks (4door)</t>
    <phoneticPr fontId="2" type="noConversion"/>
  </si>
  <si>
    <t>Jetta 1.5 TSI Premium</t>
    <phoneticPr fontId="2" type="noConversion"/>
  </si>
  <si>
    <t>Arteon 2.0 TDI R-Line 4Motion</t>
    <phoneticPr fontId="2" type="noConversion"/>
  </si>
  <si>
    <t>Tiguan 2.0 TDI Allspace Prestige</t>
    <phoneticPr fontId="2" type="noConversion"/>
  </si>
  <si>
    <t>Touareg 3.0 TDI R-Line</t>
    <phoneticPr fontId="2" type="noConversion"/>
  </si>
  <si>
    <t>ID.5 Pro</t>
    <phoneticPr fontId="2" type="noConversion"/>
  </si>
  <si>
    <t>ID.5 Pro Performance</t>
    <phoneticPr fontId="2" type="noConversion"/>
  </si>
  <si>
    <t>ID.6 EV</t>
    <phoneticPr fontId="2" type="noConversion"/>
  </si>
  <si>
    <t>JEEP</t>
    <phoneticPr fontId="2" type="noConversion"/>
  </si>
  <si>
    <t>Renegade 1.3 Limited AWD</t>
    <phoneticPr fontId="2" type="noConversion"/>
  </si>
  <si>
    <t>MINI Hatch Cooper 1.5 Classic (3door)</t>
    <phoneticPr fontId="2" type="noConversion"/>
  </si>
  <si>
    <t>MINI Hatch Cooper 1.5 Plus (3door)</t>
    <phoneticPr fontId="2" type="noConversion"/>
  </si>
  <si>
    <t>MINI Hatch Cooper S 2.0 Classic (3door)</t>
    <phoneticPr fontId="2" type="noConversion"/>
  </si>
  <si>
    <t>Mini</t>
    <phoneticPr fontId="2" type="noConversion"/>
  </si>
  <si>
    <t>LS 500 Supreme AWD</t>
    <phoneticPr fontId="2" type="noConversion"/>
  </si>
  <si>
    <t>Lexus</t>
    <phoneticPr fontId="2" type="noConversion"/>
  </si>
  <si>
    <t>ES 300h Luxury</t>
    <phoneticPr fontId="2" type="noConversion"/>
  </si>
  <si>
    <t>ES 300h Executive</t>
    <phoneticPr fontId="2" type="noConversion"/>
  </si>
  <si>
    <t>UX 250h 2WD</t>
    <phoneticPr fontId="2" type="noConversion"/>
  </si>
  <si>
    <t>UX 250h F-Sport</t>
    <phoneticPr fontId="2" type="noConversion"/>
  </si>
  <si>
    <t>NX 450h+ F Sport</t>
    <phoneticPr fontId="2" type="noConversion"/>
  </si>
  <si>
    <t>CADILLAC</t>
    <phoneticPr fontId="2" type="noConversion"/>
  </si>
  <si>
    <t>XT5 Sport</t>
    <phoneticPr fontId="2" type="noConversion"/>
  </si>
  <si>
    <t>LYRIQ EV</t>
    <phoneticPr fontId="2" type="noConversion"/>
  </si>
  <si>
    <t>3008 1.2 GT</t>
    <phoneticPr fontId="2" type="noConversion"/>
  </si>
  <si>
    <t>Lincoln</t>
    <phoneticPr fontId="2" type="noConversion"/>
  </si>
  <si>
    <t>Citroen</t>
    <phoneticPr fontId="2" type="noConversion"/>
  </si>
  <si>
    <t>Grand C4 Spacetourer 1.5 Shine Pack</t>
    <phoneticPr fontId="2" type="noConversion"/>
  </si>
  <si>
    <t>ROLLS-ROYCE</t>
    <phoneticPr fontId="2" type="noConversion"/>
  </si>
  <si>
    <t>Flying Spur V8 Azure</t>
    <phoneticPr fontId="2" type="noConversion"/>
  </si>
  <si>
    <t>BENTLEY</t>
    <phoneticPr fontId="2" type="noConversion"/>
  </si>
  <si>
    <t>FERRARI</t>
    <phoneticPr fontId="2" type="noConversion"/>
  </si>
  <si>
    <t>F8 Spider 3.9 V8</t>
    <phoneticPr fontId="2" type="noConversion"/>
  </si>
  <si>
    <t>GTC4 Lusso T 3.9 V8</t>
    <phoneticPr fontId="2" type="noConversion"/>
  </si>
  <si>
    <t>LAMBORGHINI</t>
    <phoneticPr fontId="2" type="noConversion"/>
  </si>
  <si>
    <t>Huracan EVO LP610-2 Coupe</t>
    <phoneticPr fontId="2" type="noConversion"/>
  </si>
  <si>
    <t>Huracan EVO LP640-2 STO</t>
    <phoneticPr fontId="2" type="noConversion"/>
  </si>
  <si>
    <t>Model 3 RWD</t>
    <phoneticPr fontId="2" type="noConversion"/>
  </si>
  <si>
    <t>TESLA</t>
    <phoneticPr fontId="2" type="noConversion"/>
  </si>
  <si>
    <t>Model 3 Performance</t>
    <phoneticPr fontId="2" type="noConversion"/>
  </si>
  <si>
    <t>Model X AWD</t>
    <phoneticPr fontId="2" type="noConversion"/>
  </si>
  <si>
    <t>Model X Plaid</t>
    <phoneticPr fontId="2" type="noConversion"/>
  </si>
  <si>
    <t>Model Y Long Range</t>
    <phoneticPr fontId="2" type="noConversion"/>
  </si>
  <si>
    <t>570S</t>
    <phoneticPr fontId="2" type="noConversion"/>
  </si>
  <si>
    <t>570S Spider</t>
    <phoneticPr fontId="2" type="noConversion"/>
  </si>
  <si>
    <t>GT</t>
    <phoneticPr fontId="2" type="noConversion"/>
  </si>
  <si>
    <t>570GT</t>
    <phoneticPr fontId="2" type="noConversion"/>
  </si>
  <si>
    <t>765LT V8 Spider</t>
    <phoneticPr fontId="2" type="noConversion"/>
  </si>
  <si>
    <t>인하</t>
    <phoneticPr fontId="2" type="noConversion"/>
  </si>
  <si>
    <t>인하</t>
    <phoneticPr fontId="2" type="noConversion"/>
  </si>
  <si>
    <t>아우디</t>
    <phoneticPr fontId="2" type="noConversion"/>
  </si>
  <si>
    <t xml:space="preserve">□ 아우디 고잔가 </t>
    <phoneticPr fontId="2" type="noConversion"/>
  </si>
  <si>
    <t>조건3</t>
    <phoneticPr fontId="81" type="noConversion"/>
  </si>
  <si>
    <t>조건2</t>
    <phoneticPr fontId="81" type="noConversion"/>
  </si>
  <si>
    <t>아우디</t>
    <phoneticPr fontId="2" type="noConversion"/>
  </si>
  <si>
    <t>아우디</t>
    <phoneticPr fontId="2" type="noConversion"/>
  </si>
  <si>
    <t>A8 50 TDI Quattro Premium</t>
    <phoneticPr fontId="2" type="noConversion"/>
  </si>
  <si>
    <t>수수료 상향 폐기</t>
    <phoneticPr fontId="2" type="noConversion"/>
  </si>
  <si>
    <t xml:space="preserve">□ 수입 최대잔가 - 고잔가 </t>
    <phoneticPr fontId="2" type="noConversion"/>
  </si>
  <si>
    <t>A</t>
    <phoneticPr fontId="2" type="noConversion"/>
  </si>
  <si>
    <t>B</t>
    <phoneticPr fontId="2" type="noConversion"/>
  </si>
  <si>
    <t>B</t>
    <phoneticPr fontId="2" type="noConversion"/>
  </si>
  <si>
    <t>B</t>
    <phoneticPr fontId="2" type="noConversion"/>
  </si>
  <si>
    <t>N</t>
    <phoneticPr fontId="2" type="noConversion"/>
  </si>
  <si>
    <t>N</t>
    <phoneticPr fontId="2" type="noConversion"/>
  </si>
  <si>
    <t>N</t>
    <phoneticPr fontId="2" type="noConversion"/>
  </si>
  <si>
    <t>22(제휴인하)</t>
    <phoneticPr fontId="2" type="noConversion"/>
  </si>
  <si>
    <t>잔가상향</t>
    <phoneticPr fontId="2" type="noConversion"/>
  </si>
  <si>
    <t>잔가상향</t>
    <phoneticPr fontId="2" type="noConversion"/>
  </si>
  <si>
    <t>브랜드</t>
    <phoneticPr fontId="2" type="noConversion"/>
  </si>
  <si>
    <t>A</t>
    <phoneticPr fontId="2" type="noConversion"/>
  </si>
  <si>
    <t>B</t>
    <phoneticPr fontId="2" type="noConversion"/>
  </si>
  <si>
    <t>C</t>
    <phoneticPr fontId="2" type="noConversion"/>
  </si>
  <si>
    <r>
      <t>√ 수입승용차 할부금융 _</t>
    </r>
    <r>
      <rPr>
        <b/>
        <sz val="12"/>
        <color rgb="FF0000FF"/>
        <rFont val="맑은 고딕"/>
        <family val="3"/>
        <charset val="129"/>
        <scheme val="minor"/>
      </rPr>
      <t xml:space="preserve"> 비제휴사 1.4%/ 제휴사 1.2% 지급 (CM/ AG 자율 배분) </t>
    </r>
    <phoneticPr fontId="2" type="noConversion"/>
  </si>
  <si>
    <t>√ 근저당 설정 최소 50%</t>
    <phoneticPr fontId="2" type="noConversion"/>
  </si>
  <si>
    <t>EQA 250 AMG Line</t>
    <phoneticPr fontId="2" type="noConversion"/>
  </si>
  <si>
    <t>(SUV) EQE350 4M</t>
    <phoneticPr fontId="2" type="noConversion"/>
  </si>
  <si>
    <t>(SUV) EQE500 4M</t>
    <phoneticPr fontId="2" type="noConversion"/>
  </si>
  <si>
    <t>Q4 E-tron 40 Sportback</t>
    <phoneticPr fontId="2" type="noConversion"/>
  </si>
  <si>
    <t>Q4 E-tron 40 Premium Sportback</t>
    <phoneticPr fontId="2" type="noConversion"/>
  </si>
  <si>
    <t>APS</t>
  </si>
  <si>
    <t>버텍스 300</t>
    <phoneticPr fontId="2" type="noConversion"/>
  </si>
  <si>
    <t>버텍스 300</t>
    <phoneticPr fontId="2" type="noConversion"/>
  </si>
  <si>
    <t>MX</t>
    <phoneticPr fontId="2" type="noConversion"/>
  </si>
  <si>
    <t>G</t>
    <phoneticPr fontId="2" type="noConversion"/>
  </si>
  <si>
    <t>Y</t>
    <phoneticPr fontId="2" type="noConversion"/>
  </si>
  <si>
    <t>I</t>
    <phoneticPr fontId="2" type="noConversion"/>
  </si>
  <si>
    <t>수입</t>
    <phoneticPr fontId="2" type="noConversion"/>
  </si>
  <si>
    <t>M-Benz</t>
    <phoneticPr fontId="2" type="noConversion"/>
  </si>
  <si>
    <t>M-Benz</t>
    <phoneticPr fontId="2" type="noConversion"/>
  </si>
  <si>
    <t>GLC 300 4M Coupe</t>
    <phoneticPr fontId="2" type="noConversion"/>
  </si>
  <si>
    <t>승용SUV</t>
    <phoneticPr fontId="2" type="noConversion"/>
  </si>
  <si>
    <t>GLC 300e 4M Coupe</t>
    <phoneticPr fontId="2" type="noConversion"/>
  </si>
  <si>
    <t>승용SUV</t>
    <phoneticPr fontId="2" type="noConversion"/>
  </si>
  <si>
    <t>GLE 300d 4M</t>
    <phoneticPr fontId="2" type="noConversion"/>
  </si>
  <si>
    <t>GLE 350e 4M</t>
    <phoneticPr fontId="2" type="noConversion"/>
  </si>
  <si>
    <t>GLE 350e 4M Coupe</t>
    <phoneticPr fontId="2" type="noConversion"/>
  </si>
  <si>
    <t>GLE 400e 4M Coupe</t>
    <phoneticPr fontId="2" type="noConversion"/>
  </si>
  <si>
    <t>수입</t>
    <phoneticPr fontId="2" type="noConversion"/>
  </si>
  <si>
    <t>승용SUV</t>
    <phoneticPr fontId="2" type="noConversion"/>
  </si>
  <si>
    <t>수입</t>
    <phoneticPr fontId="2" type="noConversion"/>
  </si>
  <si>
    <t>M-Benz</t>
    <phoneticPr fontId="2" type="noConversion"/>
  </si>
  <si>
    <t>GLE 450d 4M Coupe</t>
    <phoneticPr fontId="2" type="noConversion"/>
  </si>
  <si>
    <t>승용SUV</t>
    <phoneticPr fontId="2" type="noConversion"/>
  </si>
  <si>
    <t>현대</t>
    <phoneticPr fontId="2" type="noConversion"/>
  </si>
  <si>
    <t>국산</t>
    <phoneticPr fontId="2" type="noConversion"/>
  </si>
  <si>
    <t>기아</t>
    <phoneticPr fontId="2" type="noConversion"/>
  </si>
  <si>
    <t>KG모빌리티</t>
    <phoneticPr fontId="2" type="noConversion"/>
  </si>
  <si>
    <t>오토론</t>
    <phoneticPr fontId="2" type="noConversion"/>
  </si>
  <si>
    <t>보증금40% 이하</t>
    <phoneticPr fontId="2" type="noConversion"/>
  </si>
  <si>
    <t>보증금40% 초과</t>
    <phoneticPr fontId="2" type="noConversion"/>
  </si>
  <si>
    <t>BMW</t>
    <phoneticPr fontId="2" type="noConversion"/>
  </si>
  <si>
    <t>523d M Sport Pack</t>
    <phoneticPr fontId="2" type="noConversion"/>
  </si>
  <si>
    <t>BMW</t>
    <phoneticPr fontId="2" type="noConversion"/>
  </si>
  <si>
    <t>523d xDrive Luxury Line</t>
    <phoneticPr fontId="2" type="noConversion"/>
  </si>
  <si>
    <t>수입</t>
    <phoneticPr fontId="2" type="noConversion"/>
  </si>
  <si>
    <t>520i Luxury Line</t>
    <phoneticPr fontId="2" type="noConversion"/>
  </si>
  <si>
    <t>520i M Sport Pack</t>
    <phoneticPr fontId="2" type="noConversion"/>
  </si>
  <si>
    <t>530i xDrive Luxury Line</t>
    <phoneticPr fontId="2" type="noConversion"/>
  </si>
  <si>
    <t>530i xDrive M Sport Pack</t>
    <phoneticPr fontId="2" type="noConversion"/>
  </si>
  <si>
    <t>530e Luxury Line</t>
    <phoneticPr fontId="2" type="noConversion"/>
  </si>
  <si>
    <t>530e M Sport Package</t>
    <phoneticPr fontId="2" type="noConversion"/>
  </si>
  <si>
    <t>540i xDrive Luxury Line</t>
    <phoneticPr fontId="2" type="noConversion"/>
  </si>
  <si>
    <t>540i xDrive M Sport Pack</t>
    <phoneticPr fontId="2" type="noConversion"/>
  </si>
  <si>
    <t>수입</t>
    <phoneticPr fontId="2" type="noConversion"/>
  </si>
  <si>
    <t>X5 xDrive 40i M Sport (5인승)</t>
    <phoneticPr fontId="2" type="noConversion"/>
  </si>
  <si>
    <t>BMW</t>
    <phoneticPr fontId="2" type="noConversion"/>
  </si>
  <si>
    <t>X5 xDrive 50e xLine</t>
    <phoneticPr fontId="2" type="noConversion"/>
  </si>
  <si>
    <t>BMW</t>
    <phoneticPr fontId="2" type="noConversion"/>
  </si>
  <si>
    <t>Cayenne Turbo E-Hybrid</t>
    <phoneticPr fontId="2" type="noConversion"/>
  </si>
  <si>
    <t>Porsche</t>
    <phoneticPr fontId="2" type="noConversion"/>
  </si>
  <si>
    <t>Cayenne Turbo E-Hybrid Coupe</t>
    <phoneticPr fontId="2" type="noConversion"/>
  </si>
  <si>
    <t>718 Cayman GTS</t>
    <phoneticPr fontId="2" type="noConversion"/>
  </si>
  <si>
    <t>Porsche</t>
    <phoneticPr fontId="2" type="noConversion"/>
  </si>
  <si>
    <t>아이나비 V3000</t>
    <phoneticPr fontId="2" type="noConversion"/>
  </si>
  <si>
    <t>아이나비 QXD8000</t>
    <phoneticPr fontId="2" type="noConversion"/>
  </si>
  <si>
    <t>아이나비 A700</t>
    <phoneticPr fontId="2" type="noConversion"/>
  </si>
  <si>
    <t>GLC 220d 4M</t>
    <phoneticPr fontId="2" type="noConversion"/>
  </si>
  <si>
    <t>GLC 300 4M</t>
    <phoneticPr fontId="2" type="noConversion"/>
  </si>
  <si>
    <t>S450d 4M</t>
    <phoneticPr fontId="2" type="noConversion"/>
  </si>
  <si>
    <t>S450d 4M AMG Line</t>
    <phoneticPr fontId="2" type="noConversion"/>
  </si>
  <si>
    <t>M340i xDrive Touring</t>
    <phoneticPr fontId="2" type="noConversion"/>
  </si>
  <si>
    <t>740i xDrive M Sport</t>
    <phoneticPr fontId="2" type="noConversion"/>
  </si>
  <si>
    <t>i5 eDrive40</t>
    <phoneticPr fontId="2" type="noConversion"/>
  </si>
  <si>
    <t>i5 eDrive40 M Sport</t>
    <phoneticPr fontId="2" type="noConversion"/>
  </si>
  <si>
    <t>i5 M60 xDrive</t>
    <phoneticPr fontId="2" type="noConversion"/>
  </si>
  <si>
    <t>i7 xDrive60 M Sport</t>
    <phoneticPr fontId="2" type="noConversion"/>
  </si>
  <si>
    <t>i7 xDrive60 DPE</t>
    <phoneticPr fontId="2" type="noConversion"/>
  </si>
  <si>
    <t>i7 M70 xDrive</t>
    <phoneticPr fontId="2" type="noConversion"/>
  </si>
  <si>
    <t>A5 45 TFSI Quattro Premium Coupe</t>
    <phoneticPr fontId="2" type="noConversion"/>
  </si>
  <si>
    <t>Q3 40 TFSI Sportback Quattro</t>
    <phoneticPr fontId="2" type="noConversion"/>
  </si>
  <si>
    <t>Q3 40 TFSI Sportback Quattro Premium</t>
    <phoneticPr fontId="2" type="noConversion"/>
  </si>
  <si>
    <t>Cayenne S E-Hybrid</t>
    <phoneticPr fontId="2" type="noConversion"/>
  </si>
  <si>
    <t>Cayenne Turbo GT Coupe</t>
    <phoneticPr fontId="2" type="noConversion"/>
  </si>
  <si>
    <t>Range Rover Defender 110 P400 X (4door)</t>
    <phoneticPr fontId="2" type="noConversion"/>
  </si>
  <si>
    <t>Range Rover Defender 130 P400 X-Dynamic SE (4door)</t>
    <phoneticPr fontId="2" type="noConversion"/>
  </si>
  <si>
    <t>Alphard Hybrid (AWD)</t>
    <phoneticPr fontId="2" type="noConversion"/>
  </si>
  <si>
    <t>All New Nautilus 2.0 Reserve</t>
    <phoneticPr fontId="2" type="noConversion"/>
  </si>
  <si>
    <t>국산</t>
    <phoneticPr fontId="2" type="noConversion"/>
  </si>
  <si>
    <t>아이나비 QXD7000</t>
    <phoneticPr fontId="2" type="noConversion"/>
  </si>
  <si>
    <t>Accord Hybrid Touring</t>
    <phoneticPr fontId="2" type="noConversion"/>
  </si>
  <si>
    <t>Accord Hybrid Turbo</t>
    <phoneticPr fontId="2" type="noConversion"/>
  </si>
  <si>
    <t>Pilot Elite</t>
    <phoneticPr fontId="2" type="noConversion"/>
  </si>
  <si>
    <t>GLS 450d 4M</t>
    <phoneticPr fontId="2" type="noConversion"/>
  </si>
  <si>
    <t>X1 xDrive 20i xLine</t>
    <phoneticPr fontId="2" type="noConversion"/>
  </si>
  <si>
    <t>X1 xDrive 20i M Sport Pack</t>
    <phoneticPr fontId="2" type="noConversion"/>
  </si>
  <si>
    <t>i7 eDrive50 Sport</t>
    <phoneticPr fontId="2" type="noConversion"/>
  </si>
  <si>
    <t>The new Range Rover P550e Autobiopraphy SWB</t>
    <phoneticPr fontId="2" type="noConversion"/>
  </si>
  <si>
    <t>Range Rover Sport P550e Dynamic HSE</t>
    <phoneticPr fontId="2" type="noConversion"/>
  </si>
  <si>
    <t>Range Rover Sport P635 SV Edition One</t>
    <phoneticPr fontId="2" type="noConversion"/>
  </si>
  <si>
    <t>EX30 Core</t>
    <phoneticPr fontId="2" type="noConversion"/>
  </si>
  <si>
    <t>EX30 Ultra</t>
    <phoneticPr fontId="2" type="noConversion"/>
  </si>
  <si>
    <t>Prius LE</t>
    <phoneticPr fontId="2" type="noConversion"/>
  </si>
  <si>
    <t>Prius XLE</t>
    <phoneticPr fontId="2" type="noConversion"/>
  </si>
  <si>
    <t>수입</t>
    <phoneticPr fontId="2" type="noConversion"/>
  </si>
  <si>
    <t>Toyota</t>
    <phoneticPr fontId="2" type="noConversion"/>
  </si>
  <si>
    <t>Prius SE</t>
    <phoneticPr fontId="2" type="noConversion"/>
  </si>
  <si>
    <t>Prius XSE</t>
    <phoneticPr fontId="2" type="noConversion"/>
  </si>
  <si>
    <t>Y</t>
    <phoneticPr fontId="2" type="noConversion"/>
  </si>
  <si>
    <t>Y</t>
    <phoneticPr fontId="2" type="noConversion"/>
  </si>
  <si>
    <t>2만상승없음</t>
    <phoneticPr fontId="2" type="noConversion"/>
  </si>
  <si>
    <t>잔가보장수수료율</t>
    <phoneticPr fontId="81" type="noConversion"/>
  </si>
  <si>
    <t>C 300 4M AV</t>
    <phoneticPr fontId="2" type="noConversion"/>
  </si>
  <si>
    <t>E 220d 4M EX</t>
    <phoneticPr fontId="2" type="noConversion"/>
  </si>
  <si>
    <t>E 220d 4M AMG Line</t>
    <phoneticPr fontId="2" type="noConversion"/>
  </si>
  <si>
    <t>SQ7 TFSI</t>
    <phoneticPr fontId="2" type="noConversion"/>
  </si>
  <si>
    <t>Panamera Turbo E-Hybrid</t>
  </si>
  <si>
    <t>Discovery Sport P250 Dynamic SE</t>
    <phoneticPr fontId="2" type="noConversion"/>
  </si>
  <si>
    <t>Range Rover Defender 90 P400 X (2door)</t>
  </si>
  <si>
    <t>Range Rover Velar P400e Dynamic SE</t>
  </si>
  <si>
    <t>Range Rover Velar P250 Dynamic SE</t>
    <phoneticPr fontId="2" type="noConversion"/>
  </si>
  <si>
    <t>Range Rover Velar P400 Dynamic SE</t>
    <phoneticPr fontId="2" type="noConversion"/>
  </si>
  <si>
    <t>Range Rover Velar P400 Dynamic HSE</t>
    <phoneticPr fontId="2" type="noConversion"/>
  </si>
  <si>
    <t>Wrangler Rubicon Hard Top (2door)</t>
    <phoneticPr fontId="2" type="noConversion"/>
  </si>
  <si>
    <t>Wrangler Sport S  Hard Top (4door)</t>
    <phoneticPr fontId="2" type="noConversion"/>
  </si>
  <si>
    <t>Wrangler Sahara Hard Top (4door)</t>
    <phoneticPr fontId="2" type="noConversion"/>
  </si>
  <si>
    <t>Wrangler Sahara Power Top (4door)</t>
    <phoneticPr fontId="2" type="noConversion"/>
  </si>
  <si>
    <t>Wrangler Rubicon Hard Top (4door)</t>
    <phoneticPr fontId="2" type="noConversion"/>
  </si>
  <si>
    <t>JEEP</t>
    <phoneticPr fontId="2" type="noConversion"/>
  </si>
  <si>
    <t>ESCALADE 6.2 Sport Platinum</t>
  </si>
  <si>
    <t>ESCALADE 6.2 Premium Luxury Platinum</t>
  </si>
  <si>
    <t>RAV4 HV LTD</t>
  </si>
  <si>
    <t>RAV4 HV XLE</t>
  </si>
  <si>
    <t>RAV4 HV XSE</t>
    <phoneticPr fontId="2" type="noConversion"/>
  </si>
  <si>
    <t>CR-V Hybrid 4WD Touring</t>
  </si>
  <si>
    <t>CR-V Hybrid 2WD Touring</t>
  </si>
  <si>
    <t>수입</t>
    <phoneticPr fontId="2" type="noConversion"/>
  </si>
  <si>
    <t>M-Benz</t>
    <phoneticPr fontId="2" type="noConversion"/>
  </si>
  <si>
    <t>E 200 Avantgarde</t>
    <phoneticPr fontId="2" type="noConversion"/>
  </si>
  <si>
    <t>수입</t>
    <phoneticPr fontId="2" type="noConversion"/>
  </si>
  <si>
    <t>E 250 AV</t>
    <phoneticPr fontId="2" type="noConversion"/>
  </si>
  <si>
    <t>E 250 EX</t>
    <phoneticPr fontId="2" type="noConversion"/>
  </si>
  <si>
    <t>E 250 AMG Line</t>
    <phoneticPr fontId="2" type="noConversion"/>
  </si>
  <si>
    <t>수입</t>
    <phoneticPr fontId="2" type="noConversion"/>
  </si>
  <si>
    <t>E 300 4MATIC Exclusive</t>
    <phoneticPr fontId="2" type="noConversion"/>
  </si>
  <si>
    <t>E 300 4Matic AMG Line</t>
    <phoneticPr fontId="2" type="noConversion"/>
  </si>
  <si>
    <t>M-Benz</t>
    <phoneticPr fontId="2" type="noConversion"/>
  </si>
  <si>
    <t>E 300 4Matic AMG Line premier special</t>
    <phoneticPr fontId="2" type="noConversion"/>
  </si>
  <si>
    <t>Jaguar_Landrover</t>
    <phoneticPr fontId="2" type="noConversion"/>
  </si>
  <si>
    <t>The new Range Rover P615 SV LWB</t>
    <phoneticPr fontId="2" type="noConversion"/>
  </si>
  <si>
    <t>X5 xDrive 40d M Sport Pro</t>
    <phoneticPr fontId="2" type="noConversion"/>
  </si>
  <si>
    <t>X6 xDrive 40d M Sport Pro</t>
    <phoneticPr fontId="2" type="noConversion"/>
  </si>
  <si>
    <t>H</t>
    <phoneticPr fontId="2" type="noConversion"/>
  </si>
  <si>
    <t>B</t>
    <phoneticPr fontId="2" type="noConversion"/>
  </si>
  <si>
    <t>C</t>
    <phoneticPr fontId="2" type="noConversion"/>
  </si>
  <si>
    <t>C</t>
    <phoneticPr fontId="2" type="noConversion"/>
  </si>
  <si>
    <t>C</t>
    <phoneticPr fontId="2" type="noConversion"/>
  </si>
  <si>
    <t>C</t>
    <phoneticPr fontId="2" type="noConversion"/>
  </si>
  <si>
    <t>C</t>
    <phoneticPr fontId="2" type="noConversion"/>
  </si>
  <si>
    <t>C</t>
    <phoneticPr fontId="2" type="noConversion"/>
  </si>
  <si>
    <t>C</t>
    <phoneticPr fontId="2" type="noConversion"/>
  </si>
  <si>
    <t>C</t>
    <phoneticPr fontId="2" type="noConversion"/>
  </si>
  <si>
    <t>A</t>
    <phoneticPr fontId="2" type="noConversion"/>
  </si>
  <si>
    <t>B</t>
    <phoneticPr fontId="2" type="noConversion"/>
  </si>
  <si>
    <t>C</t>
    <phoneticPr fontId="2" type="noConversion"/>
  </si>
  <si>
    <t>D</t>
    <phoneticPr fontId="2" type="noConversion"/>
  </si>
  <si>
    <t>E</t>
    <phoneticPr fontId="2" type="noConversion"/>
  </si>
  <si>
    <t>36개월</t>
    <phoneticPr fontId="2" type="noConversion"/>
  </si>
  <si>
    <t>48개월</t>
    <phoneticPr fontId="2" type="noConversion"/>
  </si>
  <si>
    <t>60개월</t>
    <phoneticPr fontId="2" type="noConversion"/>
  </si>
  <si>
    <t>전략군</t>
    <phoneticPr fontId="2" type="noConversion"/>
  </si>
  <si>
    <t>수익률조정</t>
    <phoneticPr fontId="2" type="noConversion"/>
  </si>
  <si>
    <t>수익률조정</t>
    <phoneticPr fontId="2" type="noConversion"/>
  </si>
  <si>
    <t>전략등급</t>
    <phoneticPr fontId="2" type="noConversion"/>
  </si>
  <si>
    <t>전략등급</t>
    <phoneticPr fontId="2" type="noConversion"/>
  </si>
  <si>
    <t>고잔가 하향</t>
    <phoneticPr fontId="2" type="noConversion"/>
  </si>
  <si>
    <t>고잔가 하향</t>
    <phoneticPr fontId="2" type="noConversion"/>
  </si>
  <si>
    <t>기본잔가 ⓐ</t>
    <phoneticPr fontId="2" type="noConversion"/>
  </si>
  <si>
    <t>promotion ⓑ</t>
    <phoneticPr fontId="2" type="noConversion"/>
  </si>
  <si>
    <t>진행 기본잔가</t>
    <phoneticPr fontId="2" type="noConversion"/>
  </si>
  <si>
    <t>진행잔가 ⓐ+ⓑ+ⓒ+ⓓ</t>
    <phoneticPr fontId="2" type="noConversion"/>
  </si>
  <si>
    <t>약정주행거리ⓓ</t>
    <phoneticPr fontId="2" type="noConversion"/>
  </si>
  <si>
    <t>주행거리 프로모션</t>
    <phoneticPr fontId="2" type="noConversion"/>
  </si>
  <si>
    <t>주행거리 프로모션</t>
    <phoneticPr fontId="81" type="noConversion"/>
  </si>
  <si>
    <t>수입차량 _ 30,000km/ 20,000km만 가능
국산차량 _ 30,000km/ 20,000km
            15,000km/ 10,000km 선택가능</t>
    <phoneticPr fontId="2" type="noConversion"/>
  </si>
  <si>
    <t>수입차량 _ 30,000km/ 20,000km만 가능
국산차량 _ 30,000km/ 20,000km
              15,000km/ 10,000km 선택가능</t>
    <phoneticPr fontId="2" type="noConversion"/>
  </si>
  <si>
    <t>N</t>
    <phoneticPr fontId="2" type="noConversion"/>
  </si>
  <si>
    <t>N</t>
    <phoneticPr fontId="2" type="noConversion"/>
  </si>
  <si>
    <t>N</t>
    <phoneticPr fontId="2" type="noConversion"/>
  </si>
  <si>
    <t>N</t>
    <phoneticPr fontId="2" type="noConversion"/>
  </si>
  <si>
    <t>N</t>
    <phoneticPr fontId="2" type="noConversion"/>
  </si>
  <si>
    <t>N</t>
    <phoneticPr fontId="2" type="noConversion"/>
  </si>
  <si>
    <t>N</t>
    <phoneticPr fontId="2" type="noConversion"/>
  </si>
  <si>
    <t>18(36)</t>
    <phoneticPr fontId="2" type="noConversion"/>
  </si>
  <si>
    <t>19(48)</t>
    <phoneticPr fontId="2" type="noConversion"/>
  </si>
  <si>
    <t>20(60)</t>
    <phoneticPr fontId="2" type="noConversion"/>
  </si>
  <si>
    <t>루마  GG</t>
  </si>
  <si>
    <t>※ 국산차 진행시 확인필수
하이브리드 차량 산출시 감면금액 할인입력</t>
    <phoneticPr fontId="2" type="noConversion"/>
  </si>
  <si>
    <t>덕평</t>
    <phoneticPr fontId="2" type="noConversion"/>
  </si>
  <si>
    <t>덕평</t>
    <phoneticPr fontId="2" type="noConversion"/>
  </si>
  <si>
    <t>유</t>
    <phoneticPr fontId="2" type="noConversion"/>
  </si>
  <si>
    <t>CLE 200 Coupe</t>
    <phoneticPr fontId="2" type="noConversion"/>
  </si>
  <si>
    <t>CLE 450 4M Coupe</t>
    <phoneticPr fontId="2" type="noConversion"/>
  </si>
  <si>
    <t>A8 L50 TDI Quattro Premium</t>
    <phoneticPr fontId="2" type="noConversion"/>
  </si>
  <si>
    <t>Cayenne S E-Hybrid Coupe</t>
    <phoneticPr fontId="2" type="noConversion"/>
  </si>
  <si>
    <t>딥플라이 DF7</t>
    <phoneticPr fontId="2" type="noConversion"/>
  </si>
  <si>
    <t>딥플라이 DF9</t>
    <phoneticPr fontId="2" type="noConversion"/>
  </si>
  <si>
    <t>딥플라이</t>
    <phoneticPr fontId="2" type="noConversion"/>
  </si>
  <si>
    <t>DF7</t>
    <phoneticPr fontId="2" type="noConversion"/>
  </si>
  <si>
    <t>딥플라이</t>
    <phoneticPr fontId="2" type="noConversion"/>
  </si>
  <si>
    <t>DF9</t>
    <phoneticPr fontId="2" type="noConversion"/>
  </si>
  <si>
    <t>2만 기준 최대잔가</t>
    <phoneticPr fontId="2" type="noConversion"/>
  </si>
  <si>
    <t>2만 프로모션 ㉡</t>
    <phoneticPr fontId="2" type="noConversion"/>
  </si>
  <si>
    <t>3만 프로모션 ㉢</t>
    <phoneticPr fontId="2" type="noConversion"/>
  </si>
  <si>
    <t>차이 ㉡ - ㉠</t>
    <phoneticPr fontId="2" type="noConversion"/>
  </si>
  <si>
    <t>차이 ㉢ - ㉠</t>
    <phoneticPr fontId="2" type="noConversion"/>
  </si>
  <si>
    <t>고잔가 5%기준 MAX</t>
    <phoneticPr fontId="2" type="noConversion"/>
  </si>
  <si>
    <t>제네시스</t>
    <phoneticPr fontId="2" type="noConversion"/>
  </si>
  <si>
    <t>G</t>
    <phoneticPr fontId="2" type="noConversion"/>
  </si>
  <si>
    <t>GV70</t>
    <phoneticPr fontId="2" type="noConversion"/>
  </si>
  <si>
    <t>현대</t>
    <phoneticPr fontId="2" type="noConversion"/>
  </si>
  <si>
    <t>기아</t>
    <phoneticPr fontId="2" type="noConversion"/>
  </si>
  <si>
    <t>GV80 3.5T (가솔린) 6인승</t>
    <phoneticPr fontId="2" type="noConversion"/>
  </si>
  <si>
    <t>GV80 3.5T (가솔린) 7인승</t>
    <phoneticPr fontId="2" type="noConversion"/>
  </si>
  <si>
    <t>GV80 2.5T (가솔린)_Coupe</t>
    <phoneticPr fontId="2" type="noConversion"/>
  </si>
  <si>
    <t>디 올 뉴_싼타페_1.6T(6P)_2WD_(하이브리드)</t>
    <phoneticPr fontId="2" type="noConversion"/>
  </si>
  <si>
    <t>디 올 뉴_싼타페_1.6T(7P)_(HEV)_4WD</t>
    <phoneticPr fontId="2" type="noConversion"/>
  </si>
  <si>
    <t>신형 쏘렌토 2.5T (가솔린) (5P)</t>
    <phoneticPr fontId="2" type="noConversion"/>
  </si>
  <si>
    <t>■ 프로모션잔가 적용</t>
    <phoneticPr fontId="2" type="noConversion"/>
  </si>
  <si>
    <t>프로모션잔가</t>
    <phoneticPr fontId="2" type="noConversion"/>
  </si>
  <si>
    <t>20,000KM</t>
    <phoneticPr fontId="2" type="noConversion"/>
  </si>
  <si>
    <t>30,000KM</t>
    <phoneticPr fontId="2" type="noConversion"/>
  </si>
  <si>
    <t>캐스퍼_VAN_(가솔린)</t>
    <phoneticPr fontId="2" type="noConversion"/>
  </si>
  <si>
    <t>승용경차</t>
    <phoneticPr fontId="2" type="noConversion"/>
  </si>
  <si>
    <t>아산</t>
    <phoneticPr fontId="2" type="noConversion"/>
  </si>
  <si>
    <t>N</t>
    <phoneticPr fontId="2" type="noConversion"/>
  </si>
  <si>
    <t>N</t>
    <phoneticPr fontId="2" type="noConversion"/>
  </si>
  <si>
    <t>AX</t>
    <phoneticPr fontId="2" type="noConversion"/>
  </si>
  <si>
    <t>N</t>
    <phoneticPr fontId="2" type="noConversion"/>
  </si>
  <si>
    <t>더 뉴 아반떼(CN7) G1.6 (가솔린)</t>
    <phoneticPr fontId="2" type="noConversion"/>
  </si>
  <si>
    <t>승용일반</t>
    <phoneticPr fontId="2" type="noConversion"/>
  </si>
  <si>
    <t>울산</t>
    <phoneticPr fontId="2" type="noConversion"/>
  </si>
  <si>
    <t>10만원</t>
    <phoneticPr fontId="2" type="noConversion"/>
  </si>
  <si>
    <t>N</t>
    <phoneticPr fontId="2" type="noConversion"/>
  </si>
  <si>
    <t>가솔린</t>
    <phoneticPr fontId="2" type="noConversion"/>
  </si>
  <si>
    <t>CN</t>
    <phoneticPr fontId="2" type="noConversion"/>
  </si>
  <si>
    <t>더 뉴 아반떼(CN7) LPi 1.6 (LPG)</t>
    <phoneticPr fontId="2" type="noConversion"/>
  </si>
  <si>
    <t>승용일반</t>
    <phoneticPr fontId="2" type="noConversion"/>
  </si>
  <si>
    <t>울산</t>
    <phoneticPr fontId="2" type="noConversion"/>
  </si>
  <si>
    <t>10만원</t>
    <phoneticPr fontId="2" type="noConversion"/>
  </si>
  <si>
    <t>N</t>
    <phoneticPr fontId="2" type="noConversion"/>
  </si>
  <si>
    <t>가솔린</t>
    <phoneticPr fontId="2" type="noConversion"/>
  </si>
  <si>
    <t>CN</t>
    <phoneticPr fontId="2" type="noConversion"/>
  </si>
  <si>
    <t>N</t>
    <phoneticPr fontId="2" type="noConversion"/>
  </si>
  <si>
    <t>더 뉴 아반떼(CN7) 1.6 (하이브리드)</t>
    <phoneticPr fontId="2" type="noConversion"/>
  </si>
  <si>
    <t>하이브리드_승용</t>
    <phoneticPr fontId="2" type="noConversion"/>
  </si>
  <si>
    <t>울산</t>
    <phoneticPr fontId="2" type="noConversion"/>
  </si>
  <si>
    <t>10만원</t>
    <phoneticPr fontId="2" type="noConversion"/>
  </si>
  <si>
    <t>N</t>
    <phoneticPr fontId="2" type="noConversion"/>
  </si>
  <si>
    <t>가솔린</t>
    <phoneticPr fontId="2" type="noConversion"/>
  </si>
  <si>
    <t>더 뉴 아반떼(CN7) 1.6 (N 라인)</t>
    <phoneticPr fontId="2" type="noConversion"/>
  </si>
  <si>
    <t>승용일반</t>
    <phoneticPr fontId="2" type="noConversion"/>
  </si>
  <si>
    <t>울산</t>
    <phoneticPr fontId="2" type="noConversion"/>
  </si>
  <si>
    <t>10만원</t>
    <phoneticPr fontId="2" type="noConversion"/>
  </si>
  <si>
    <t>N</t>
    <phoneticPr fontId="2" type="noConversion"/>
  </si>
  <si>
    <t>가솔린</t>
    <phoneticPr fontId="2" type="noConversion"/>
  </si>
  <si>
    <t>아이오닉_HEV_(하이브리드)</t>
    <phoneticPr fontId="2" type="noConversion"/>
  </si>
  <si>
    <t>하이브리드_승용</t>
    <phoneticPr fontId="2" type="noConversion"/>
  </si>
  <si>
    <t>울산</t>
    <phoneticPr fontId="2" type="noConversion"/>
  </si>
  <si>
    <t>10만원</t>
    <phoneticPr fontId="2" type="noConversion"/>
  </si>
  <si>
    <t>IONIQ5_ 2WD 롱레인지 19인치 (EV)</t>
    <phoneticPr fontId="2" type="noConversion"/>
  </si>
  <si>
    <t>전기</t>
    <phoneticPr fontId="2" type="noConversion"/>
  </si>
  <si>
    <t>NE</t>
    <phoneticPr fontId="2" type="noConversion"/>
  </si>
  <si>
    <t>IONIQ5_ 2WD 롱레인지 20인치 (EV)</t>
    <phoneticPr fontId="2" type="noConversion"/>
  </si>
  <si>
    <t>IONIQ5_ 2WD 롱레인지 19인치 빌트인 캠 미적용 (EV)</t>
    <phoneticPr fontId="2" type="noConversion"/>
  </si>
  <si>
    <t>IONIQ5_ 2WD 스탠다드 19인치 (EV)</t>
    <phoneticPr fontId="2" type="noConversion"/>
  </si>
  <si>
    <t>IONIQ5_ AWD 롱레인지 20인치 (EV)</t>
    <phoneticPr fontId="2" type="noConversion"/>
  </si>
  <si>
    <t>IONIQ5_ AWD 롱레인지 19인치 (EV)</t>
    <phoneticPr fontId="2" type="noConversion"/>
  </si>
  <si>
    <t>IONIQ5_ AWD 스탠다드 19인치 (EV)</t>
    <phoneticPr fontId="2" type="noConversion"/>
  </si>
  <si>
    <t>i30_1.6_스포츠_(가솔린)</t>
    <phoneticPr fontId="2" type="noConversion"/>
  </si>
  <si>
    <t>승용일반</t>
    <phoneticPr fontId="2" type="noConversion"/>
  </si>
  <si>
    <t>벨로스터_1.4_터보_(가솔린)</t>
    <phoneticPr fontId="2" type="noConversion"/>
  </si>
  <si>
    <t>JS</t>
    <phoneticPr fontId="2" type="noConversion"/>
  </si>
  <si>
    <t>벨로스터_1.6_터보_(가솔린)</t>
    <phoneticPr fontId="2" type="noConversion"/>
  </si>
  <si>
    <t>벨로스터N_2.0_터보_(가솔린)</t>
    <phoneticPr fontId="2" type="noConversion"/>
  </si>
  <si>
    <t>쏘나타 디 엣지_2.0_(가솔린)</t>
    <phoneticPr fontId="2" type="noConversion"/>
  </si>
  <si>
    <t>아산</t>
    <phoneticPr fontId="2" type="noConversion"/>
  </si>
  <si>
    <t>DN</t>
    <phoneticPr fontId="2" type="noConversion"/>
  </si>
  <si>
    <t>쏘나타 디 엣지_2.0_LPI_(LPG)</t>
    <phoneticPr fontId="2" type="noConversion"/>
  </si>
  <si>
    <t>쏘나타 디 엣지_2.0_HEV_(하이브리드)</t>
    <phoneticPr fontId="2" type="noConversion"/>
  </si>
  <si>
    <t>하이브리드_가솔린</t>
    <phoneticPr fontId="2" type="noConversion"/>
  </si>
  <si>
    <t>쏘나타 디 엣지_1.6T_(가솔린)</t>
    <phoneticPr fontId="2" type="noConversion"/>
  </si>
  <si>
    <t>쏘나타 디 엣지_2.5T_(가솔린)</t>
    <phoneticPr fontId="2" type="noConversion"/>
  </si>
  <si>
    <t>그랜져(GN7) 2.5</t>
    <phoneticPr fontId="2" type="noConversion"/>
  </si>
  <si>
    <t>Y</t>
    <phoneticPr fontId="2" type="noConversion"/>
  </si>
  <si>
    <t>GN</t>
    <phoneticPr fontId="2" type="noConversion"/>
  </si>
  <si>
    <t>그랜져(GN7) 3.5</t>
    <phoneticPr fontId="2" type="noConversion"/>
  </si>
  <si>
    <t>그랜져(GN7) 3.5 LPI (LPG)</t>
    <phoneticPr fontId="2" type="noConversion"/>
  </si>
  <si>
    <t>LPG</t>
    <phoneticPr fontId="2" type="noConversion"/>
  </si>
  <si>
    <t>그랜져(GN7) 1.6T HEV (하이브리드)</t>
    <phoneticPr fontId="2" type="noConversion"/>
  </si>
  <si>
    <t>G70_2.5T_(가솔린)</t>
    <phoneticPr fontId="2" type="noConversion"/>
  </si>
  <si>
    <t>50만원</t>
    <phoneticPr fontId="2" type="noConversion"/>
  </si>
  <si>
    <t>JU</t>
    <phoneticPr fontId="2" type="noConversion"/>
  </si>
  <si>
    <t>G70_3.3T_(가솔린)</t>
    <phoneticPr fontId="2" type="noConversion"/>
  </si>
  <si>
    <t>G70_2.2D_(디젤)</t>
    <phoneticPr fontId="2" type="noConversion"/>
  </si>
  <si>
    <t>디젤</t>
    <phoneticPr fontId="2" type="noConversion"/>
  </si>
  <si>
    <t>G70 2.5T_SHOOTING BRAKE</t>
    <phoneticPr fontId="2" type="noConversion"/>
  </si>
  <si>
    <t>G80 2.5T (가솔린)</t>
    <phoneticPr fontId="2" type="noConversion"/>
  </si>
  <si>
    <t>JJ</t>
    <phoneticPr fontId="2" type="noConversion"/>
  </si>
  <si>
    <t>G80 3.5T (가솔린)</t>
    <phoneticPr fontId="2" type="noConversion"/>
  </si>
  <si>
    <t>G80 ELECTRIFIED (EV)</t>
    <phoneticPr fontId="2" type="noConversion"/>
  </si>
  <si>
    <t>JI</t>
    <phoneticPr fontId="2" type="noConversion"/>
  </si>
  <si>
    <t>G90_3.5T(RS4)_(가솔린)</t>
    <phoneticPr fontId="2" type="noConversion"/>
  </si>
  <si>
    <t>100만원</t>
    <phoneticPr fontId="2" type="noConversion"/>
  </si>
  <si>
    <t>JP</t>
    <phoneticPr fontId="2" type="noConversion"/>
  </si>
  <si>
    <t>G90 가솔린 3.5T (RS4)_(가솔린) 48V 일렉트릭 슈퍼차저</t>
    <phoneticPr fontId="2" type="noConversion"/>
  </si>
  <si>
    <t>G90_3.5T(RS4)_LONG WHEEL BASE_(가솔린)</t>
    <phoneticPr fontId="2" type="noConversion"/>
  </si>
  <si>
    <t>GV70 2.5T (가솔린)</t>
    <phoneticPr fontId="2" type="noConversion"/>
  </si>
  <si>
    <t>승용SUV</t>
    <phoneticPr fontId="2" type="noConversion"/>
  </si>
  <si>
    <t>JK</t>
    <phoneticPr fontId="2" type="noConversion"/>
  </si>
  <si>
    <t>GV70 3.5T (가솔린)</t>
    <phoneticPr fontId="2" type="noConversion"/>
  </si>
  <si>
    <t>GV70 2.2D (디젤)</t>
    <phoneticPr fontId="2" type="noConversion"/>
  </si>
  <si>
    <t>GV80 2.5T (가솔린) 5인승</t>
    <phoneticPr fontId="2" type="noConversion"/>
  </si>
  <si>
    <t>JX</t>
    <phoneticPr fontId="2" type="noConversion"/>
  </si>
  <si>
    <t>GV80 2.5T (가솔린) 6인승</t>
    <phoneticPr fontId="2" type="noConversion"/>
  </si>
  <si>
    <t>GV80 2.5T (가솔린) 7인승</t>
    <phoneticPr fontId="2" type="noConversion"/>
  </si>
  <si>
    <t>승용7_10인승</t>
    <phoneticPr fontId="2" type="noConversion"/>
  </si>
  <si>
    <t>GV80 3.5T (가솔린) 5인승</t>
    <phoneticPr fontId="2" type="noConversion"/>
  </si>
  <si>
    <t>GV80 3.5T (가솔린) 6인승</t>
    <phoneticPr fontId="2" type="noConversion"/>
  </si>
  <si>
    <t>GV80 3.5T (가솔린) 7인승</t>
    <phoneticPr fontId="2" type="noConversion"/>
  </si>
  <si>
    <t>GV80 2.5T (가솔린)_Coupe</t>
    <phoneticPr fontId="2" type="noConversion"/>
  </si>
  <si>
    <t>GV80 3.5T (가솔린)_Coupe</t>
    <phoneticPr fontId="2" type="noConversion"/>
  </si>
  <si>
    <t>GV80 3.5T (가솔린)_Coupe 48V 일렉트릭 슈퍼차저</t>
    <phoneticPr fontId="2" type="noConversion"/>
  </si>
  <si>
    <t>GV60_2WD 스탠다드 19인치 (EV)</t>
    <phoneticPr fontId="2" type="noConversion"/>
  </si>
  <si>
    <t>JW</t>
    <phoneticPr fontId="2" type="noConversion"/>
  </si>
  <si>
    <t>GV60_AWD 스탠다드 19인치 (EV)</t>
    <phoneticPr fontId="2" type="noConversion"/>
  </si>
  <si>
    <t>51만원</t>
    <phoneticPr fontId="2" type="noConversion"/>
  </si>
  <si>
    <t>GV60_AWD 스탠다드 20인치 (EV)</t>
    <phoneticPr fontId="2" type="noConversion"/>
  </si>
  <si>
    <t>52만원</t>
    <phoneticPr fontId="2" type="noConversion"/>
  </si>
  <si>
    <t>GV60_AWD 퍼포먼스 21인치 (EV)</t>
    <phoneticPr fontId="2" type="noConversion"/>
  </si>
  <si>
    <t>53만원</t>
    <phoneticPr fontId="2" type="noConversion"/>
  </si>
  <si>
    <t>GV70_(EV)</t>
    <phoneticPr fontId="2" type="noConversion"/>
  </si>
  <si>
    <t>베뉴_1.6_(가솔린)</t>
    <phoneticPr fontId="2" type="noConversion"/>
  </si>
  <si>
    <t>QX</t>
    <phoneticPr fontId="2" type="noConversion"/>
  </si>
  <si>
    <t xml:space="preserve">디 올 뉴_KONA_1.6T_(가솔린) </t>
    <phoneticPr fontId="2" type="noConversion"/>
  </si>
  <si>
    <t>SX</t>
    <phoneticPr fontId="2" type="noConversion"/>
  </si>
  <si>
    <t xml:space="preserve">디 올 뉴_KONA_1.6T_(가솔린터보 N라인) </t>
    <phoneticPr fontId="2" type="noConversion"/>
  </si>
  <si>
    <t>디 올 뉴_KONA_1.6 HEV (하이브리드)</t>
    <phoneticPr fontId="2" type="noConversion"/>
  </si>
  <si>
    <t>하이브리드_SUV</t>
    <phoneticPr fontId="2" type="noConversion"/>
  </si>
  <si>
    <t xml:space="preserve">디 올 뉴_KONA_2.0_(가솔린) </t>
    <phoneticPr fontId="2" type="noConversion"/>
  </si>
  <si>
    <t xml:space="preserve">더뉴_KONA(전기) </t>
    <phoneticPr fontId="2" type="noConversion"/>
  </si>
  <si>
    <t>낵쏘(수소전기)</t>
    <phoneticPr fontId="2" type="noConversion"/>
  </si>
  <si>
    <t>FE</t>
    <phoneticPr fontId="2" type="noConversion"/>
  </si>
  <si>
    <t>디 올 뉴 투싼 1.6T(가솔린)</t>
    <phoneticPr fontId="2" type="noConversion"/>
  </si>
  <si>
    <t>NX</t>
    <phoneticPr fontId="2" type="noConversion"/>
  </si>
  <si>
    <t>디 올 뉴 투싼(디젤)</t>
    <phoneticPr fontId="2" type="noConversion"/>
  </si>
  <si>
    <t>디 올 뉴 투싼_가솔린1.6_(하이브리드)</t>
    <phoneticPr fontId="2" type="noConversion"/>
  </si>
  <si>
    <t>디 올 뉴_싼타페_2.5T(5P)_(가솔린)</t>
    <phoneticPr fontId="2" type="noConversion"/>
  </si>
  <si>
    <t>MX</t>
    <phoneticPr fontId="2" type="noConversion"/>
  </si>
  <si>
    <t>디 올 뉴_싼타페_2.5T(6P)_(가솔린)</t>
    <phoneticPr fontId="2" type="noConversion"/>
  </si>
  <si>
    <t>디 올 뉴_싼타페_2.5T(7P)_(가솔린)</t>
    <phoneticPr fontId="2" type="noConversion"/>
  </si>
  <si>
    <t>디 올 뉴_싼타페_1.6T(5P)_2WD_(하이브리드)</t>
    <phoneticPr fontId="2" type="noConversion"/>
  </si>
  <si>
    <t>디 올 뉴_싼타페_1.6T(6P)_2WD_(하이브리드)</t>
    <phoneticPr fontId="2" type="noConversion"/>
  </si>
  <si>
    <t>디 올 뉴_싼타페_1.6T(7P)_2WD_(하이브리드)</t>
    <phoneticPr fontId="2" type="noConversion"/>
  </si>
  <si>
    <t>디 올 뉴_싼타페_1.6T(5P)_(HEV)_4WD</t>
    <phoneticPr fontId="2" type="noConversion"/>
  </si>
  <si>
    <t>Y1</t>
    <phoneticPr fontId="2" type="noConversion"/>
  </si>
  <si>
    <t>디 올 뉴_싼타페_1.6T(6P)_(HEV)_4WD</t>
    <phoneticPr fontId="2" type="noConversion"/>
  </si>
  <si>
    <t>디 올 뉴_싼타페_1.6T(7P)_(HEV)_4WD</t>
    <phoneticPr fontId="2" type="noConversion"/>
  </si>
  <si>
    <t>팰리세이드_2.2(7P)_(디젤)</t>
    <phoneticPr fontId="2" type="noConversion"/>
  </si>
  <si>
    <t>LX</t>
    <phoneticPr fontId="2" type="noConversion"/>
  </si>
  <si>
    <t>팰리세이드_2.2(8P)_(디젤)</t>
    <phoneticPr fontId="2" type="noConversion"/>
  </si>
  <si>
    <t>팰리세이드_3.8(7P)_(가솔린)</t>
    <phoneticPr fontId="2" type="noConversion"/>
  </si>
  <si>
    <t>팰리세이드_3.8(8P)_(가솔린)</t>
    <phoneticPr fontId="2" type="noConversion"/>
  </si>
  <si>
    <t>스타리아_2.2 디젤(11인승)_스마트(투어러)</t>
    <phoneticPr fontId="2" type="noConversion"/>
  </si>
  <si>
    <t>승합15인승이하</t>
    <phoneticPr fontId="2" type="noConversion"/>
  </si>
  <si>
    <t>RV</t>
    <phoneticPr fontId="2" type="noConversion"/>
  </si>
  <si>
    <t>US</t>
    <phoneticPr fontId="2" type="noConversion"/>
  </si>
  <si>
    <t>스타리아_2.2 디젤(11인승)_모던(투어러)</t>
    <phoneticPr fontId="2" type="noConversion"/>
  </si>
  <si>
    <t>스타리아_3.5 LPG(11인승)_모던(투어러)</t>
    <phoneticPr fontId="2" type="noConversion"/>
  </si>
  <si>
    <t>스타리아_2.2 디젤(9인승)_모던(투어러)</t>
    <phoneticPr fontId="2" type="noConversion"/>
  </si>
  <si>
    <t>스타리아_3.5 LPG(9인승)_모던(투어러)</t>
    <phoneticPr fontId="2" type="noConversion"/>
  </si>
  <si>
    <t>스타리아_2.2 디젤(9인승)_프레스티지(라운지)</t>
    <phoneticPr fontId="2" type="noConversion"/>
  </si>
  <si>
    <t>스타리아_3.5 LPG(9인승)_프레스티지(라운지)</t>
    <phoneticPr fontId="2" type="noConversion"/>
  </si>
  <si>
    <t>스타리아_2.2 디젤(9인승)_인스퍼레이션(라운지)</t>
    <phoneticPr fontId="2" type="noConversion"/>
  </si>
  <si>
    <t>스타리아_3.5 LPG(9인승)_인스퍼레이션(라운지)</t>
    <phoneticPr fontId="2" type="noConversion"/>
  </si>
  <si>
    <t>스타리아_2.2 디젤(7인승)_인스퍼레이션(라운지)</t>
    <phoneticPr fontId="2" type="noConversion"/>
  </si>
  <si>
    <t>스타리아_3.5 LPG(7인승)_인스퍼레이션(라운지)</t>
    <phoneticPr fontId="2" type="noConversion"/>
  </si>
  <si>
    <t>모닝_1.0_(가솔린)</t>
    <phoneticPr fontId="2" type="noConversion"/>
  </si>
  <si>
    <t>승용경차</t>
    <phoneticPr fontId="2" type="noConversion"/>
  </si>
  <si>
    <t>서산</t>
    <phoneticPr fontId="2" type="noConversion"/>
  </si>
  <si>
    <t>모닝_VAN_(가솔린)</t>
    <phoneticPr fontId="2" type="noConversion"/>
  </si>
  <si>
    <t>K3_SmartStream G1.6_(가솔린)</t>
    <phoneticPr fontId="2" type="noConversion"/>
  </si>
  <si>
    <t>화성</t>
    <phoneticPr fontId="2" type="noConversion"/>
  </si>
  <si>
    <t>K3_GT_5DR_(가솔린)</t>
    <phoneticPr fontId="2" type="noConversion"/>
  </si>
  <si>
    <t>K5_2.0_(가솔린)</t>
    <phoneticPr fontId="2" type="noConversion"/>
  </si>
  <si>
    <t>K5_1.6T_(가솔린)</t>
    <phoneticPr fontId="2" type="noConversion"/>
  </si>
  <si>
    <t>K5_2.0_LPI_(LPG)</t>
    <phoneticPr fontId="2" type="noConversion"/>
  </si>
  <si>
    <t>K5_2.0_HEV_(하이브리드)</t>
    <phoneticPr fontId="2" type="noConversion"/>
  </si>
  <si>
    <t>K8_1.6T_(하이브리드)</t>
    <phoneticPr fontId="2" type="noConversion"/>
  </si>
  <si>
    <t>K8_2.5_(가솔린)</t>
    <phoneticPr fontId="2" type="noConversion"/>
  </si>
  <si>
    <t>K8_3.5_(가솔린)</t>
    <phoneticPr fontId="2" type="noConversion"/>
  </si>
  <si>
    <t>K8_3.5_(LPI)</t>
    <phoneticPr fontId="2" type="noConversion"/>
  </si>
  <si>
    <t>스팅어_2.5T_(가솔린)</t>
    <phoneticPr fontId="2" type="noConversion"/>
  </si>
  <si>
    <t>소하리</t>
    <phoneticPr fontId="2" type="noConversion"/>
  </si>
  <si>
    <t>스팅어_3.3T_(가솔린)</t>
    <phoneticPr fontId="2" type="noConversion"/>
  </si>
  <si>
    <t>K9_3.8_(가솔린)</t>
    <phoneticPr fontId="2" type="noConversion"/>
  </si>
  <si>
    <t>30만원</t>
    <phoneticPr fontId="2" type="noConversion"/>
  </si>
  <si>
    <t>K9_3.3T_(가솔린)</t>
    <phoneticPr fontId="2" type="noConversion"/>
  </si>
  <si>
    <t>K9_5.0_(가솔린)</t>
    <phoneticPr fontId="2" type="noConversion"/>
  </si>
  <si>
    <t>스토닉_1.4_(가솔린)</t>
    <phoneticPr fontId="2" type="noConversion"/>
  </si>
  <si>
    <t>광주</t>
    <phoneticPr fontId="2" type="noConversion"/>
  </si>
  <si>
    <t>스토닉_1.0T_(가솔린)</t>
    <phoneticPr fontId="2" type="noConversion"/>
  </si>
  <si>
    <t>셀토스_1.6T_(가솔린)</t>
    <phoneticPr fontId="2" type="noConversion"/>
  </si>
  <si>
    <t>셀토스_1.6D_(디젤)</t>
    <phoneticPr fontId="2" type="noConversion"/>
  </si>
  <si>
    <t>셀토스_2.0_(가솔린)</t>
    <phoneticPr fontId="2" type="noConversion"/>
  </si>
  <si>
    <t>쏘울_1.6_(가솔린)</t>
    <phoneticPr fontId="2" type="noConversion"/>
  </si>
  <si>
    <t>쏘울_(전기)</t>
    <phoneticPr fontId="2" type="noConversion"/>
  </si>
  <si>
    <t>디 올 뉴 스포티지_1.6T_(가솔린)</t>
    <phoneticPr fontId="2" type="noConversion"/>
  </si>
  <si>
    <t>광주</t>
    <phoneticPr fontId="2" type="noConversion"/>
  </si>
  <si>
    <t>N</t>
    <phoneticPr fontId="2" type="noConversion"/>
  </si>
  <si>
    <t>디 올 뉴 스포티지_2.0D_(디젤)</t>
    <phoneticPr fontId="2" type="noConversion"/>
  </si>
  <si>
    <t>디 올 뉴 스포티지_1.6T_(하이브리드)</t>
    <phoneticPr fontId="2" type="noConversion"/>
  </si>
  <si>
    <t>스포티지_2.0_(가솔린)</t>
    <phoneticPr fontId="2" type="noConversion"/>
  </si>
  <si>
    <t>니로_HEV_(하이브리드)</t>
    <phoneticPr fontId="2" type="noConversion"/>
  </si>
  <si>
    <t>니로_PHEV_(하이브리드)</t>
    <phoneticPr fontId="2" type="noConversion"/>
  </si>
  <si>
    <t>니로_(EV)</t>
    <phoneticPr fontId="2" type="noConversion"/>
  </si>
  <si>
    <t>전기</t>
    <phoneticPr fontId="2" type="noConversion"/>
  </si>
  <si>
    <t>EV6_2WD 스탠다드 19인치 (EV)</t>
    <phoneticPr fontId="2" type="noConversion"/>
  </si>
  <si>
    <t>EV6_2WD 롱레인지 19인치 (EV)</t>
    <phoneticPr fontId="2" type="noConversion"/>
  </si>
  <si>
    <t>EV6_2WD 롱레인지 20인치 (EV)</t>
    <phoneticPr fontId="2" type="noConversion"/>
  </si>
  <si>
    <t>EV6_AWD 스탠다드 19인치 (EV)</t>
    <phoneticPr fontId="2" type="noConversion"/>
  </si>
  <si>
    <t>EV6_AWD 롱레인지 19인치 (EV)</t>
    <phoneticPr fontId="2" type="noConversion"/>
  </si>
  <si>
    <t>EV6_AWD 롱레인지 20인치 (EV)</t>
    <phoneticPr fontId="2" type="noConversion"/>
  </si>
  <si>
    <t>신형 쏘렌토 2.2D (디젤) (5P)</t>
    <phoneticPr fontId="2" type="noConversion"/>
  </si>
  <si>
    <t>신형 쏘렌토 2.2D (디젤) (6P)</t>
    <phoneticPr fontId="2" type="noConversion"/>
  </si>
  <si>
    <t>신형 쏘렌토 2.2D (디젤) (7P)</t>
    <phoneticPr fontId="2" type="noConversion"/>
  </si>
  <si>
    <t>신형 쏘렌토 2.5T (가솔린) (5P)</t>
    <phoneticPr fontId="2" type="noConversion"/>
  </si>
  <si>
    <t>Y2</t>
    <phoneticPr fontId="2" type="noConversion"/>
  </si>
  <si>
    <t>신형 쏘렌토 2.5T (가솔린) (6P)</t>
    <phoneticPr fontId="2" type="noConversion"/>
  </si>
  <si>
    <t>신형 쏘렌토 2.5T (가솔린) (7P)</t>
    <phoneticPr fontId="2" type="noConversion"/>
  </si>
  <si>
    <t>신형 쏘렌토 1.6T (5P)_2WD_(하이브리드)</t>
    <phoneticPr fontId="2" type="noConversion"/>
  </si>
  <si>
    <t>신형 쏘렌토 1.6T (6P)_2WD_(하이브리드)</t>
    <phoneticPr fontId="2" type="noConversion"/>
  </si>
  <si>
    <t>신형 쏘렌토 1.6T (7P)_2WD_(하이브리드)</t>
    <phoneticPr fontId="2" type="noConversion"/>
  </si>
  <si>
    <t>신형 쏘렌토 1.6T HEV(5P)_4WD</t>
    <phoneticPr fontId="2" type="noConversion"/>
  </si>
  <si>
    <t>신형 쏘렌토 1.6T HEV(6P)_4WD</t>
    <phoneticPr fontId="2" type="noConversion"/>
  </si>
  <si>
    <t>신형 쏘렌토 1.6T HEV(7P)_4WD</t>
    <phoneticPr fontId="2" type="noConversion"/>
  </si>
  <si>
    <t>모하비 더 마스터_3.0(5P)_(디젤)</t>
    <phoneticPr fontId="2" type="noConversion"/>
  </si>
  <si>
    <t>모하비 더 마스터_3.0(6P)_(디젤)</t>
    <phoneticPr fontId="2" type="noConversion"/>
  </si>
  <si>
    <t>모하비 더 마스터_3.0(7P)_(디젤)</t>
    <phoneticPr fontId="2" type="noConversion"/>
  </si>
  <si>
    <t>더 뉴 카니발_2.2(7P)_(디젤)</t>
    <phoneticPr fontId="2" type="noConversion"/>
  </si>
  <si>
    <t>더 뉴 카니발_2.2(9P)_(디젤)</t>
    <phoneticPr fontId="2" type="noConversion"/>
  </si>
  <si>
    <t>더 뉴 카니발_3.5(7P)_(가솔린)</t>
    <phoneticPr fontId="2" type="noConversion"/>
  </si>
  <si>
    <t>더 뉴 카니발_3.5(9P)_(가솔린)</t>
    <phoneticPr fontId="2" type="noConversion"/>
  </si>
  <si>
    <t>더 뉴 카니발 1,6T_ HEV(7P)</t>
    <phoneticPr fontId="2" type="noConversion"/>
  </si>
  <si>
    <t>더 뉴 카니발 1.6T_ HEV(9P)</t>
    <phoneticPr fontId="2" type="noConversion"/>
  </si>
  <si>
    <t>더 뉴 카니발_2.2(7P)_하이리무진_(디젤)</t>
    <phoneticPr fontId="2" type="noConversion"/>
  </si>
  <si>
    <t>덕평</t>
    <phoneticPr fontId="2" type="noConversion"/>
  </si>
  <si>
    <t>더 뉴 카니발_2.2(9P)_하이리무진_(디젤)</t>
    <phoneticPr fontId="2" type="noConversion"/>
  </si>
  <si>
    <t>더 뉴 카니발_3.5(7P)_하이리무진_(가솔린)</t>
    <phoneticPr fontId="2" type="noConversion"/>
  </si>
  <si>
    <t>더 뉴 카니발_3.5(9P)_하이리무진_(가솔린)</t>
    <phoneticPr fontId="2" type="noConversion"/>
  </si>
  <si>
    <t>더 뉴 카니발 1,6T_ HEV(7P)_하이리무진</t>
    <phoneticPr fontId="2" type="noConversion"/>
  </si>
  <si>
    <t>더 뉴 카니발 1.6T_ HEV(9P)_하이리무진</t>
    <phoneticPr fontId="2" type="noConversion"/>
  </si>
  <si>
    <t>Y</t>
    <phoneticPr fontId="2" type="noConversion"/>
  </si>
  <si>
    <t>N</t>
    <phoneticPr fontId="2" type="noConversion"/>
  </si>
  <si>
    <t>N</t>
    <phoneticPr fontId="2" type="noConversion"/>
  </si>
  <si>
    <t>N</t>
    <phoneticPr fontId="2" type="noConversion"/>
  </si>
  <si>
    <t>Y</t>
    <phoneticPr fontId="2" type="noConversion"/>
  </si>
  <si>
    <t>N</t>
    <phoneticPr fontId="2" type="noConversion"/>
  </si>
  <si>
    <t>N</t>
    <phoneticPr fontId="2" type="noConversion"/>
  </si>
  <si>
    <t>N</t>
    <phoneticPr fontId="2" type="noConversion"/>
  </si>
  <si>
    <t>N</t>
    <phoneticPr fontId="2" type="noConversion"/>
  </si>
  <si>
    <t>N</t>
    <phoneticPr fontId="2" type="noConversion"/>
  </si>
  <si>
    <t>N</t>
    <phoneticPr fontId="2" type="noConversion"/>
  </si>
  <si>
    <t>N</t>
    <phoneticPr fontId="2" type="noConversion"/>
  </si>
  <si>
    <t>Y</t>
    <phoneticPr fontId="2" type="noConversion"/>
  </si>
  <si>
    <t>N</t>
    <phoneticPr fontId="2" type="noConversion"/>
  </si>
  <si>
    <t>Y</t>
    <phoneticPr fontId="2" type="noConversion"/>
  </si>
  <si>
    <t>Y</t>
    <phoneticPr fontId="2" type="noConversion"/>
  </si>
  <si>
    <t>Y</t>
    <phoneticPr fontId="2" type="noConversion"/>
  </si>
  <si>
    <t>Y</t>
    <phoneticPr fontId="2" type="noConversion"/>
  </si>
  <si>
    <t>Y</t>
    <phoneticPr fontId="2" type="noConversion"/>
  </si>
  <si>
    <t>N</t>
    <phoneticPr fontId="2" type="noConversion"/>
  </si>
  <si>
    <t>N</t>
    <phoneticPr fontId="2" type="noConversion"/>
  </si>
  <si>
    <t>Y</t>
    <phoneticPr fontId="2" type="noConversion"/>
  </si>
  <si>
    <t>Y</t>
    <phoneticPr fontId="2" type="noConversion"/>
  </si>
  <si>
    <t>N</t>
    <phoneticPr fontId="2" type="noConversion"/>
  </si>
  <si>
    <t>Y</t>
    <phoneticPr fontId="2" type="noConversion"/>
  </si>
  <si>
    <t>N</t>
    <phoneticPr fontId="2" type="noConversion"/>
  </si>
  <si>
    <t>N</t>
    <phoneticPr fontId="2" type="noConversion"/>
  </si>
  <si>
    <t>N</t>
    <phoneticPr fontId="2" type="noConversion"/>
  </si>
  <si>
    <t>N</t>
    <phoneticPr fontId="2" type="noConversion"/>
  </si>
  <si>
    <t>Y</t>
    <phoneticPr fontId="2" type="noConversion"/>
  </si>
  <si>
    <t>고잔가 불가</t>
    <phoneticPr fontId="81" type="noConversion"/>
  </si>
  <si>
    <t>P</t>
    <phoneticPr fontId="81" type="noConversion"/>
  </si>
  <si>
    <t>N</t>
    <phoneticPr fontId="81" type="noConversion"/>
  </si>
  <si>
    <t>S580 고잔가 제어</t>
    <phoneticPr fontId="81" type="noConversion"/>
  </si>
  <si>
    <t>S580 고잔가 제어</t>
    <phoneticPr fontId="81" type="noConversion"/>
  </si>
  <si>
    <t>S580 고잔가 제어</t>
    <phoneticPr fontId="81" type="noConversion"/>
  </si>
  <si>
    <t>Y2</t>
    <phoneticPr fontId="2" type="noConversion"/>
  </si>
  <si>
    <t>S580 고잔가 제어</t>
    <phoneticPr fontId="81" type="noConversion"/>
  </si>
  <si>
    <t>특판 1차 탁송료</t>
    <phoneticPr fontId="2" type="noConversion"/>
  </si>
  <si>
    <t>2중탁송료</t>
    <phoneticPr fontId="2" type="noConversion"/>
  </si>
  <si>
    <t>G80 2.5T (가솔린)</t>
    <phoneticPr fontId="2" type="noConversion"/>
  </si>
  <si>
    <t>G80 3.5T (가솔린)</t>
    <phoneticPr fontId="2" type="noConversion"/>
  </si>
  <si>
    <t>GV80 2.5T (가솔린) 5인승</t>
    <phoneticPr fontId="2" type="noConversion"/>
  </si>
  <si>
    <t>GV80 2.5T (가솔린) 7인승</t>
    <phoneticPr fontId="2" type="noConversion"/>
  </si>
  <si>
    <t>GV80 3.5T (가솔린)_Coupe</t>
    <phoneticPr fontId="2" type="noConversion"/>
  </si>
  <si>
    <t>GV80 3.5T (가솔린)_Coupe 48V 일렉트릭 슈퍼차저</t>
    <phoneticPr fontId="2" type="noConversion"/>
  </si>
  <si>
    <t>HEV</t>
    <phoneticPr fontId="2" type="noConversion"/>
  </si>
  <si>
    <t>G</t>
    <phoneticPr fontId="2" type="noConversion"/>
  </si>
  <si>
    <t>아반떼</t>
    <phoneticPr fontId="2" type="noConversion"/>
  </si>
  <si>
    <t>HEV</t>
    <phoneticPr fontId="2" type="noConversion"/>
  </si>
  <si>
    <t>더 뉴 아반떼(CN7) 1.6 (하이브리드)</t>
    <phoneticPr fontId="2" type="noConversion"/>
  </si>
  <si>
    <t>더 뉴 아반떼(CN7) G1.6 (가솔린)</t>
    <phoneticPr fontId="2" type="noConversion"/>
  </si>
  <si>
    <t>디 올 뉴_싼타페_1.6T(7P)_2WD_(하이브리드)</t>
    <phoneticPr fontId="2" type="noConversion"/>
  </si>
  <si>
    <t>디 올 뉴_싼타페_1.6T(5P)_(HEV)_4WD</t>
    <phoneticPr fontId="2" type="noConversion"/>
  </si>
  <si>
    <t>디 올 뉴_싼타페_2.5T(5P)_(가솔린)</t>
    <phoneticPr fontId="2" type="noConversion"/>
  </si>
  <si>
    <t>G</t>
    <phoneticPr fontId="2" type="noConversion"/>
  </si>
  <si>
    <t>디 올 뉴_싼타페_2.5T(6P)_(가솔린)</t>
    <phoneticPr fontId="2" type="noConversion"/>
  </si>
  <si>
    <t>디 올 뉴_싼타페_2.5T(7P)_(가솔린)</t>
    <phoneticPr fontId="2" type="noConversion"/>
  </si>
  <si>
    <t>펠리세이드</t>
    <phoneticPr fontId="2" type="noConversion"/>
  </si>
  <si>
    <t>팰리세이드_3.8(7P)_(가솔린)</t>
    <phoneticPr fontId="2" type="noConversion"/>
  </si>
  <si>
    <t>팰리세이드_3.8(8P)_(가솔린)</t>
    <phoneticPr fontId="2" type="noConversion"/>
  </si>
  <si>
    <t>그랜저</t>
    <phoneticPr fontId="2" type="noConversion"/>
  </si>
  <si>
    <t>그랜져(GN7) 2.5</t>
    <phoneticPr fontId="2" type="noConversion"/>
  </si>
  <si>
    <t>그랜져(GN7) 3.5</t>
    <phoneticPr fontId="2" type="noConversion"/>
  </si>
  <si>
    <t>그랜져(GN7) 1.6T HEV (하이브리드)</t>
    <phoneticPr fontId="2" type="noConversion"/>
  </si>
  <si>
    <t>쏘렌토</t>
    <phoneticPr fontId="2" type="noConversion"/>
  </si>
  <si>
    <t>신형 쏘렌토 1.6T (5P)_2WD_(하이브리드)</t>
    <phoneticPr fontId="2" type="noConversion"/>
  </si>
  <si>
    <t>신형 쏘렌토 1.6T (6P)_2WD_(하이브리드)</t>
    <phoneticPr fontId="2" type="noConversion"/>
  </si>
  <si>
    <t>신형 쏘렌토 1.6T (7P)_2WD_(하이브리드)</t>
    <phoneticPr fontId="2" type="noConversion"/>
  </si>
  <si>
    <t>신형 쏘렌토 1.6T HEV(6P)_4WD</t>
    <phoneticPr fontId="2" type="noConversion"/>
  </si>
  <si>
    <t>신형 쏘렌토 2.5T (가솔린) (6P)</t>
    <phoneticPr fontId="2" type="noConversion"/>
  </si>
  <si>
    <t>신형 쏘렌토 2.5T (가솔린) (7P)</t>
    <phoneticPr fontId="2" type="noConversion"/>
  </si>
  <si>
    <t>스포티지</t>
    <phoneticPr fontId="2" type="noConversion"/>
  </si>
  <si>
    <t>HEV</t>
    <phoneticPr fontId="2" type="noConversion"/>
  </si>
  <si>
    <t>디 올 뉴 스포티지_1.6T_(하이브리드)</t>
    <phoneticPr fontId="2" type="noConversion"/>
  </si>
  <si>
    <t>디 올 뉴 스포티지_1.6T_(가솔린)</t>
    <phoneticPr fontId="2" type="noConversion"/>
  </si>
  <si>
    <t>K8</t>
    <phoneticPr fontId="2" type="noConversion"/>
  </si>
  <si>
    <t>K8_1.6T_(하이브리드)</t>
    <phoneticPr fontId="2" type="noConversion"/>
  </si>
  <si>
    <t>K5</t>
    <phoneticPr fontId="2" type="noConversion"/>
  </si>
  <si>
    <t>K5_2.0_HEV_(하이브리드)</t>
    <phoneticPr fontId="2" type="noConversion"/>
  </si>
  <si>
    <t>K5_1.6T_(가솔린)</t>
    <phoneticPr fontId="2" type="noConversion"/>
  </si>
  <si>
    <t>K5_2.0_(가솔린)</t>
    <phoneticPr fontId="2" type="noConversion"/>
  </si>
  <si>
    <t>K3</t>
    <phoneticPr fontId="2" type="noConversion"/>
  </si>
  <si>
    <t>카니발</t>
    <phoneticPr fontId="2" type="noConversion"/>
  </si>
  <si>
    <t>더 뉴 카니발_3.5(7P)_(가솔린)</t>
    <phoneticPr fontId="2" type="noConversion"/>
  </si>
  <si>
    <t>더 뉴 카니발_3.5(9P)_(가솔린)</t>
    <phoneticPr fontId="2" type="noConversion"/>
  </si>
  <si>
    <t>더 뉴 카니발 1,6T_ HEV(7P)</t>
    <phoneticPr fontId="2" type="noConversion"/>
  </si>
  <si>
    <t>더 뉴 카니발 1.6T_ HEV(9P)</t>
    <phoneticPr fontId="2" type="noConversion"/>
  </si>
  <si>
    <t>더 뉴 카니발_2.2(7P)_(디젤)</t>
    <phoneticPr fontId="2" type="noConversion"/>
  </si>
  <si>
    <t>더 뉴 카니발_2.2(9P)_(디젤)</t>
    <phoneticPr fontId="2" type="noConversion"/>
  </si>
  <si>
    <t>더 뉴 카니발_2.2(7P)_하이리무진_(디젤)</t>
    <phoneticPr fontId="2" type="noConversion"/>
  </si>
  <si>
    <t>더 뉴 카니발_2.2(9P)_하이리무진_(디젤)</t>
    <phoneticPr fontId="2" type="noConversion"/>
  </si>
  <si>
    <t>더 뉴 카니발_3.5(7P)_하이리무진_(가솔린)</t>
    <phoneticPr fontId="2" type="noConversion"/>
  </si>
  <si>
    <t>더 뉴 카니발_3.5(9P)_하이리무진_(가솔린)</t>
    <phoneticPr fontId="2" type="noConversion"/>
  </si>
  <si>
    <t>더 뉴 카니발 1,6T_ HEV(7P)_하이리무진</t>
    <phoneticPr fontId="2" type="noConversion"/>
  </si>
  <si>
    <t>더 뉴 카니발 1.6T_ HEV(9P)_하이리무진</t>
    <phoneticPr fontId="2" type="noConversion"/>
  </si>
  <si>
    <t>디 올 뉴 투싼 1.6T(가솔린)</t>
  </si>
  <si>
    <t>디 올 뉴 투싼_가솔린1.6_(하이브리드)</t>
    <phoneticPr fontId="2" type="noConversion"/>
  </si>
  <si>
    <t>CAR VERSE [고급]</t>
  </si>
  <si>
    <t>GV70 2.5T (가솔린)</t>
  </si>
  <si>
    <t>GV70 3.5T (가솔린)</t>
  </si>
  <si>
    <t>3만기본 ㉠</t>
    <phoneticPr fontId="2" type="noConversion"/>
  </si>
  <si>
    <t>레이</t>
    <phoneticPr fontId="2" type="noConversion"/>
  </si>
  <si>
    <t>G</t>
    <phoneticPr fontId="2" type="noConversion"/>
  </si>
  <si>
    <t>레이_(가솔린)</t>
    <phoneticPr fontId="2" type="noConversion"/>
  </si>
  <si>
    <t>레이_(가솔린)</t>
    <phoneticPr fontId="2" type="noConversion"/>
  </si>
  <si>
    <t>레이_VAN_(가솔린)</t>
    <phoneticPr fontId="2" type="noConversion"/>
  </si>
  <si>
    <t>N</t>
    <phoneticPr fontId="2" type="noConversion"/>
  </si>
  <si>
    <t>Y</t>
    <phoneticPr fontId="2" type="noConversion"/>
  </si>
  <si>
    <t>Y</t>
    <phoneticPr fontId="2" type="noConversion"/>
  </si>
  <si>
    <t>iM캐피탈</t>
    <phoneticPr fontId="2" type="noConversion"/>
  </si>
  <si>
    <t>A1</t>
    <phoneticPr fontId="2" type="noConversion"/>
  </si>
  <si>
    <t>iM캐피탈</t>
    <phoneticPr fontId="2" type="noConversion"/>
  </si>
  <si>
    <r>
      <t xml:space="preserve">■ iM캐피탈 운용리스 (단일) 견적서 ■
</t>
    </r>
    <r>
      <rPr>
        <b/>
        <sz val="10"/>
        <color theme="0"/>
        <rFont val="맑은 고딕"/>
        <family val="3"/>
        <charset val="129"/>
        <scheme val="minor"/>
      </rPr>
      <t>(노란색 = 수기입력 , 주황색 = 체크박스 OR 드롭다운)</t>
    </r>
    <phoneticPr fontId="2" type="noConversion"/>
  </si>
  <si>
    <t>■ iM캐피탈 운용리스 (비교) 견적서 ■
(노란색 = 수기입력 , 주황색 = 체크박스 OR 드롭다운)</t>
    <phoneticPr fontId="2" type="noConversion"/>
  </si>
  <si>
    <t>보증금 당사 입금 시 계좌 : iM뱅크 504-10-112066-1 예금주: ㈜아이엠캐피탈</t>
    <phoneticPr fontId="2" type="noConversion"/>
  </si>
  <si>
    <t>■iM캐피탈 운용리스 실행 요청서 ■</t>
    <phoneticPr fontId="2" type="noConversion"/>
  </si>
  <si>
    <t>선수금 당사 입금 시 계좌 : iM뱅크 504-10-112066-1 예금주: ㈜아이엠캐피탈</t>
    <phoneticPr fontId="2" type="noConversion"/>
  </si>
  <si>
    <r>
      <t xml:space="preserve">■ iM 캐피탈 (할부/금융리스) 견적서 ■
</t>
    </r>
    <r>
      <rPr>
        <b/>
        <sz val="10"/>
        <color theme="0"/>
        <rFont val="맑은 고딕"/>
        <family val="3"/>
        <charset val="129"/>
        <scheme val="minor"/>
      </rPr>
      <t>(노란색 = 수기입력 , 주황색 = 체크박스 OR 드롭다운)</t>
    </r>
    <phoneticPr fontId="2" type="noConversion"/>
  </si>
  <si>
    <t>외장</t>
    <phoneticPr fontId="2" type="noConversion"/>
  </si>
  <si>
    <t>C 300 4M AV</t>
  </si>
  <si>
    <t>■ 프로모션잔가 수수료 적용</t>
    <phoneticPr fontId="2" type="noConversion"/>
  </si>
  <si>
    <t>프로모션 적용여부</t>
    <phoneticPr fontId="81" type="noConversion"/>
  </si>
  <si>
    <t>1구간</t>
    <phoneticPr fontId="81" type="noConversion"/>
  </si>
  <si>
    <t>2구간</t>
    <phoneticPr fontId="81" type="noConversion"/>
  </si>
  <si>
    <t>3구간</t>
    <phoneticPr fontId="81" type="noConversion"/>
  </si>
  <si>
    <t>4구간</t>
    <phoneticPr fontId="81" type="noConversion"/>
  </si>
  <si>
    <t>5구간</t>
    <phoneticPr fontId="81" type="noConversion"/>
  </si>
  <si>
    <t>6구간</t>
    <phoneticPr fontId="81" type="noConversion"/>
  </si>
  <si>
    <t>7구간</t>
    <phoneticPr fontId="81" type="noConversion"/>
  </si>
  <si>
    <t>8구간</t>
    <phoneticPr fontId="81" type="noConversion"/>
  </si>
  <si>
    <t>5구간 수수료</t>
    <phoneticPr fontId="81" type="noConversion"/>
  </si>
  <si>
    <t>IRR조정</t>
    <phoneticPr fontId="2" type="noConversion"/>
  </si>
  <si>
    <t>수입차</t>
    <phoneticPr fontId="2" type="noConversion"/>
  </si>
  <si>
    <t>국산차</t>
    <phoneticPr fontId="2" type="noConversion"/>
  </si>
  <si>
    <t>D</t>
    <phoneticPr fontId="2" type="noConversion"/>
  </si>
  <si>
    <t>I</t>
    <phoneticPr fontId="2" type="noConversion"/>
  </si>
  <si>
    <t>J</t>
    <phoneticPr fontId="2" type="noConversion"/>
  </si>
  <si>
    <t>C</t>
    <phoneticPr fontId="2" type="noConversion"/>
  </si>
  <si>
    <t>C</t>
    <phoneticPr fontId="2" type="noConversion"/>
  </si>
  <si>
    <t>C</t>
    <phoneticPr fontId="2" type="noConversion"/>
  </si>
  <si>
    <t>A</t>
    <phoneticPr fontId="2" type="noConversion"/>
  </si>
  <si>
    <t>A</t>
    <phoneticPr fontId="2" type="noConversion"/>
  </si>
  <si>
    <t>A</t>
    <phoneticPr fontId="2" type="noConversion"/>
  </si>
  <si>
    <t>A</t>
    <phoneticPr fontId="2" type="noConversion"/>
  </si>
  <si>
    <t>B</t>
    <phoneticPr fontId="2" type="noConversion"/>
  </si>
  <si>
    <t>B</t>
    <phoneticPr fontId="2" type="noConversion"/>
  </si>
  <si>
    <t>B</t>
    <phoneticPr fontId="2" type="noConversion"/>
  </si>
  <si>
    <t>B</t>
    <phoneticPr fontId="2" type="noConversion"/>
  </si>
  <si>
    <t>B</t>
    <phoneticPr fontId="2" type="noConversion"/>
  </si>
  <si>
    <t>A</t>
    <phoneticPr fontId="2" type="noConversion"/>
  </si>
  <si>
    <t>A</t>
    <phoneticPr fontId="2" type="noConversion"/>
  </si>
  <si>
    <t>A</t>
    <phoneticPr fontId="2" type="noConversion"/>
  </si>
  <si>
    <t>C</t>
    <phoneticPr fontId="2" type="noConversion"/>
  </si>
  <si>
    <t>A</t>
    <phoneticPr fontId="2" type="noConversion"/>
  </si>
  <si>
    <t>A</t>
    <phoneticPr fontId="2" type="noConversion"/>
  </si>
  <si>
    <t>A</t>
    <phoneticPr fontId="2" type="noConversion"/>
  </si>
  <si>
    <t>A</t>
    <phoneticPr fontId="2" type="noConversion"/>
  </si>
  <si>
    <t>A</t>
    <phoneticPr fontId="2" type="noConversion"/>
  </si>
  <si>
    <t>A</t>
    <phoneticPr fontId="2" type="noConversion"/>
  </si>
  <si>
    <t>국산</t>
    <phoneticPr fontId="2" type="noConversion"/>
  </si>
  <si>
    <t>KG모빌리티</t>
    <phoneticPr fontId="2" type="noConversion"/>
  </si>
  <si>
    <t>액티언 1.5T</t>
    <phoneticPr fontId="2" type="noConversion"/>
  </si>
  <si>
    <t>르노</t>
    <phoneticPr fontId="2" type="noConversion"/>
  </si>
  <si>
    <t>그랑콜레오스 2.0T</t>
    <phoneticPr fontId="2" type="noConversion"/>
  </si>
  <si>
    <t>그랑콜레오스 1.5T HEV</t>
    <phoneticPr fontId="2" type="noConversion"/>
  </si>
  <si>
    <t>승용SUV</t>
    <phoneticPr fontId="2" type="noConversion"/>
  </si>
  <si>
    <t>승용SUV</t>
    <phoneticPr fontId="2" type="noConversion"/>
  </si>
  <si>
    <t>N</t>
    <phoneticPr fontId="2" type="noConversion"/>
  </si>
  <si>
    <t>가솔린</t>
    <phoneticPr fontId="2" type="noConversion"/>
  </si>
  <si>
    <t>가솔린</t>
    <phoneticPr fontId="2" type="noConversion"/>
  </si>
  <si>
    <t>하이브리드_가솔린</t>
    <phoneticPr fontId="2" type="noConversion"/>
  </si>
  <si>
    <t>국산</t>
    <phoneticPr fontId="2" type="noConversion"/>
  </si>
  <si>
    <t>N</t>
    <phoneticPr fontId="2" type="noConversion"/>
  </si>
  <si>
    <t>N</t>
    <phoneticPr fontId="2" type="noConversion"/>
  </si>
  <si>
    <t>르노</t>
    <phoneticPr fontId="2" type="noConversion"/>
  </si>
  <si>
    <t>그랑콜레오스</t>
    <phoneticPr fontId="2" type="noConversion"/>
  </si>
  <si>
    <t>토레스</t>
    <phoneticPr fontId="2" type="noConversion"/>
  </si>
  <si>
    <t>액티언</t>
    <phoneticPr fontId="2" type="noConversion"/>
  </si>
  <si>
    <t>부산</t>
    <phoneticPr fontId="2" type="noConversion"/>
  </si>
  <si>
    <t>N</t>
    <phoneticPr fontId="2" type="noConversion"/>
  </si>
  <si>
    <t>N</t>
    <phoneticPr fontId="2" type="noConversion"/>
  </si>
  <si>
    <t>N</t>
    <phoneticPr fontId="2" type="noConversion"/>
  </si>
  <si>
    <t>N</t>
    <phoneticPr fontId="2" type="noConversion"/>
  </si>
  <si>
    <t>N</t>
    <phoneticPr fontId="2" type="noConversion"/>
  </si>
  <si>
    <t>N</t>
    <phoneticPr fontId="2" type="noConversion"/>
  </si>
  <si>
    <t>Mercedes-AMG GLC 43 4M</t>
    <phoneticPr fontId="2" type="noConversion"/>
  </si>
  <si>
    <t>Mercedes-AMG S 63 E Performance</t>
    <phoneticPr fontId="2" type="noConversion"/>
  </si>
  <si>
    <t>CLE 200 Cabriolet</t>
    <phoneticPr fontId="2" type="noConversion"/>
  </si>
  <si>
    <t>CLE 450 4M Carbriolet</t>
    <phoneticPr fontId="2" type="noConversion"/>
  </si>
  <si>
    <t>승용일반</t>
    <phoneticPr fontId="2" type="noConversion"/>
  </si>
  <si>
    <t>C 200 AV</t>
    <phoneticPr fontId="2" type="noConversion"/>
  </si>
  <si>
    <t>C 200 AMG Line</t>
    <phoneticPr fontId="2" type="noConversion"/>
  </si>
  <si>
    <t>X1 M35i xDrive</t>
    <phoneticPr fontId="2" type="noConversion"/>
  </si>
  <si>
    <t>Cayenne GTS</t>
    <phoneticPr fontId="2" type="noConversion"/>
  </si>
  <si>
    <t>Taycan Turbo GT</t>
    <phoneticPr fontId="2" type="noConversion"/>
  </si>
  <si>
    <t>911 Targa 4 GTS 3.6</t>
    <phoneticPr fontId="2" type="noConversion"/>
  </si>
  <si>
    <t>911 Carrera GTS Coupe 3.6</t>
    <phoneticPr fontId="2" type="noConversion"/>
  </si>
  <si>
    <t>911 Carrera 4 GTS Coupe 3.6</t>
    <phoneticPr fontId="2" type="noConversion"/>
  </si>
  <si>
    <t>911 Carrera GTS Cabriolet 3.6</t>
    <phoneticPr fontId="2" type="noConversion"/>
  </si>
  <si>
    <t>911 Carrera 4 GTS Cabriolet 3.6</t>
    <phoneticPr fontId="2" type="noConversion"/>
  </si>
  <si>
    <t>Discovery P300 S</t>
    <phoneticPr fontId="2" type="noConversion"/>
  </si>
  <si>
    <t>Discovery P360 Dynamic HSE</t>
    <phoneticPr fontId="2" type="noConversion"/>
  </si>
  <si>
    <t>Discovery D300 Dynamic HSE</t>
    <phoneticPr fontId="2" type="noConversion"/>
  </si>
  <si>
    <t>Range Rover Evoque P250 Dynamic SE</t>
    <phoneticPr fontId="2" type="noConversion"/>
  </si>
  <si>
    <t>GranTurismo Modena</t>
    <phoneticPr fontId="2" type="noConversion"/>
  </si>
  <si>
    <t>GranTurismo Trofeo</t>
    <phoneticPr fontId="2" type="noConversion"/>
  </si>
  <si>
    <t>MC20 Cielo V6</t>
    <phoneticPr fontId="2" type="noConversion"/>
  </si>
  <si>
    <t>GranCabrio Trofeo</t>
    <phoneticPr fontId="2" type="noConversion"/>
  </si>
  <si>
    <t>UX 300h 2WD</t>
    <phoneticPr fontId="2" type="noConversion"/>
  </si>
  <si>
    <t>UX 300h F-Sport</t>
    <phoneticPr fontId="2" type="noConversion"/>
  </si>
  <si>
    <t>LM 500h Executive (6인승)</t>
    <phoneticPr fontId="2" type="noConversion"/>
  </si>
  <si>
    <t>LM 500h Royal (4인승)</t>
    <phoneticPr fontId="2" type="noConversion"/>
  </si>
  <si>
    <t>SA1</t>
  </si>
  <si>
    <t>A1</t>
  </si>
  <si>
    <t>C</t>
    <phoneticPr fontId="2" type="noConversion"/>
  </si>
  <si>
    <t>C</t>
    <phoneticPr fontId="2" type="noConversion"/>
  </si>
  <si>
    <t>E</t>
    <phoneticPr fontId="2" type="noConversion"/>
  </si>
  <si>
    <t>E</t>
    <phoneticPr fontId="2" type="noConversion"/>
  </si>
  <si>
    <t>H</t>
    <phoneticPr fontId="2" type="noConversion"/>
  </si>
  <si>
    <t>H</t>
    <phoneticPr fontId="2" type="noConversion"/>
  </si>
  <si>
    <t>L</t>
    <phoneticPr fontId="2" type="noConversion"/>
  </si>
  <si>
    <t>S</t>
    <phoneticPr fontId="2" type="noConversion"/>
  </si>
  <si>
    <t>D</t>
    <phoneticPr fontId="2" type="noConversion"/>
  </si>
  <si>
    <t>D</t>
    <phoneticPr fontId="2" type="noConversion"/>
  </si>
  <si>
    <t>D</t>
    <phoneticPr fontId="2" type="noConversion"/>
  </si>
  <si>
    <t>J</t>
    <phoneticPr fontId="2" type="noConversion"/>
  </si>
  <si>
    <t>T</t>
    <phoneticPr fontId="2" type="noConversion"/>
  </si>
  <si>
    <t>T</t>
    <phoneticPr fontId="2" type="noConversion"/>
  </si>
  <si>
    <t>L</t>
    <phoneticPr fontId="2" type="noConversion"/>
  </si>
  <si>
    <t>L</t>
    <phoneticPr fontId="2" type="noConversion"/>
  </si>
  <si>
    <t>L</t>
    <phoneticPr fontId="2" type="noConversion"/>
  </si>
  <si>
    <t>L</t>
    <phoneticPr fontId="2" type="noConversion"/>
  </si>
  <si>
    <t>T</t>
    <phoneticPr fontId="2" type="noConversion"/>
  </si>
  <si>
    <t>X</t>
    <phoneticPr fontId="2" type="noConversion"/>
  </si>
  <si>
    <t>X</t>
    <phoneticPr fontId="2" type="noConversion"/>
  </si>
  <si>
    <t>L</t>
    <phoneticPr fontId="2" type="noConversion"/>
  </si>
  <si>
    <t>S</t>
    <phoneticPr fontId="2" type="noConversion"/>
  </si>
  <si>
    <t>X</t>
    <phoneticPr fontId="2" type="noConversion"/>
  </si>
  <si>
    <t>X</t>
    <phoneticPr fontId="2" type="noConversion"/>
  </si>
  <si>
    <t>X</t>
    <phoneticPr fontId="2" type="noConversion"/>
  </si>
  <si>
    <t>X</t>
    <phoneticPr fontId="2" type="noConversion"/>
  </si>
  <si>
    <t>S</t>
    <phoneticPr fontId="2" type="noConversion"/>
  </si>
  <si>
    <t>F</t>
    <phoneticPr fontId="2" type="noConversion"/>
  </si>
  <si>
    <t>I</t>
    <phoneticPr fontId="2" type="noConversion"/>
  </si>
  <si>
    <t>F</t>
    <phoneticPr fontId="2" type="noConversion"/>
  </si>
  <si>
    <t>B</t>
    <phoneticPr fontId="2" type="noConversion"/>
  </si>
  <si>
    <t>E</t>
    <phoneticPr fontId="2" type="noConversion"/>
  </si>
  <si>
    <t>I</t>
    <phoneticPr fontId="2" type="noConversion"/>
  </si>
  <si>
    <t>L</t>
    <phoneticPr fontId="2" type="noConversion"/>
  </si>
  <si>
    <t>X</t>
    <phoneticPr fontId="2" type="noConversion"/>
  </si>
  <si>
    <t>S</t>
    <phoneticPr fontId="2" type="noConversion"/>
  </si>
  <si>
    <t>S</t>
    <phoneticPr fontId="2" type="noConversion"/>
  </si>
  <si>
    <t>S</t>
    <phoneticPr fontId="2" type="noConversion"/>
  </si>
  <si>
    <t>S</t>
    <phoneticPr fontId="2" type="noConversion"/>
  </si>
  <si>
    <t>G</t>
    <phoneticPr fontId="2" type="noConversion"/>
  </si>
  <si>
    <t>G</t>
    <phoneticPr fontId="2" type="noConversion"/>
  </si>
  <si>
    <t>K</t>
    <phoneticPr fontId="2" type="noConversion"/>
  </si>
  <si>
    <t>M</t>
    <phoneticPr fontId="2" type="noConversion"/>
  </si>
  <si>
    <t>X</t>
    <phoneticPr fontId="2" type="noConversion"/>
  </si>
  <si>
    <t>M</t>
    <phoneticPr fontId="2" type="noConversion"/>
  </si>
  <si>
    <t>S</t>
    <phoneticPr fontId="2" type="noConversion"/>
  </si>
  <si>
    <t>S</t>
    <phoneticPr fontId="2" type="noConversion"/>
  </si>
  <si>
    <t>I</t>
    <phoneticPr fontId="2" type="noConversion"/>
  </si>
  <si>
    <t>F</t>
    <phoneticPr fontId="2" type="noConversion"/>
  </si>
  <si>
    <t>I</t>
    <phoneticPr fontId="2" type="noConversion"/>
  </si>
  <si>
    <t>I</t>
    <phoneticPr fontId="2" type="noConversion"/>
  </si>
  <si>
    <t>I</t>
    <phoneticPr fontId="2" type="noConversion"/>
  </si>
  <si>
    <t>F</t>
    <phoneticPr fontId="2" type="noConversion"/>
  </si>
  <si>
    <t>J</t>
    <phoneticPr fontId="2" type="noConversion"/>
  </si>
  <si>
    <t>F</t>
    <phoneticPr fontId="2" type="noConversion"/>
  </si>
  <si>
    <t>X</t>
    <phoneticPr fontId="2" type="noConversion"/>
  </si>
  <si>
    <t>X</t>
    <phoneticPr fontId="2" type="noConversion"/>
  </si>
  <si>
    <t>J</t>
    <phoneticPr fontId="2" type="noConversion"/>
  </si>
  <si>
    <t>M</t>
    <phoneticPr fontId="2" type="noConversion"/>
  </si>
  <si>
    <t>T</t>
    <phoneticPr fontId="2" type="noConversion"/>
  </si>
  <si>
    <t>I</t>
    <phoneticPr fontId="2" type="noConversion"/>
  </si>
  <si>
    <t>D</t>
    <phoneticPr fontId="2" type="noConversion"/>
  </si>
  <si>
    <t>H-1</t>
  </si>
  <si>
    <t>M-1</t>
  </si>
  <si>
    <t>KG모빌리티_특판</t>
    <phoneticPr fontId="2" type="noConversion"/>
  </si>
  <si>
    <t>르노</t>
    <phoneticPr fontId="2" type="noConversion"/>
  </si>
  <si>
    <t>르노_특판</t>
    <phoneticPr fontId="2" type="noConversion"/>
  </si>
  <si>
    <t>선보</t>
    <phoneticPr fontId="2" type="noConversion"/>
  </si>
  <si>
    <t>가격</t>
    <phoneticPr fontId="2" type="noConversion"/>
  </si>
  <si>
    <t>옵션명</t>
    <phoneticPr fontId="2" type="noConversion"/>
  </si>
  <si>
    <t>←커스터마이징제외가격</t>
    <phoneticPr fontId="81" type="noConversion"/>
  </si>
  <si>
    <t>KG모빌리티_특판</t>
    <phoneticPr fontId="2" type="noConversion"/>
  </si>
  <si>
    <t>르노_특판</t>
    <phoneticPr fontId="2" type="noConversion"/>
  </si>
  <si>
    <t>※특판(현대, KG모빌리티, 르노) 견적산출시 ●운용리스_단일● 견적시트 필수사용</t>
    <phoneticPr fontId="2" type="noConversion"/>
  </si>
  <si>
    <t>국산 차량 개소세 5%가격입력
※ 현대특판 출고진행시 계산서 가격확인요청 ※
※ 대리점 할인발생시 계산서 금액 필수확인※
※ KG모빌리티 특판 적용 시 커스터마이징 가격입력요청※</t>
    <phoneticPr fontId="2" type="noConversion"/>
  </si>
  <si>
    <t>커스터마이징 적용</t>
  </si>
  <si>
    <t>추석연휴</t>
    <phoneticPr fontId="2" type="noConversion"/>
  </si>
  <si>
    <t>국군의 날</t>
    <phoneticPr fontId="2" type="noConversion"/>
  </si>
  <si>
    <t>개천절</t>
    <phoneticPr fontId="2" type="noConversion"/>
  </si>
  <si>
    <t>-</t>
    <phoneticPr fontId="2" type="noConversion"/>
  </si>
  <si>
    <t>3만-36개월(-6%)</t>
  </si>
  <si>
    <t>3만-48개월(-6%)</t>
  </si>
  <si>
    <t>3만-60개월(-6%)</t>
  </si>
  <si>
    <t>보증채무최고액</t>
    <phoneticPr fontId="2" type="noConversion"/>
  </si>
  <si>
    <t>단일견적 기준의 금액</t>
    <phoneticPr fontId="2" type="noConversion"/>
  </si>
  <si>
    <t>← 1차 제조사 탁송료</t>
    <phoneticPr fontId="2" type="noConversion"/>
  </si>
  <si>
    <r>
      <t xml:space="preserve">  ▶ </t>
    </r>
    <r>
      <rPr>
        <sz val="12"/>
        <color theme="0"/>
        <rFont val="맑은 고딕"/>
        <family val="3"/>
        <charset val="129"/>
        <scheme val="minor"/>
      </rPr>
      <t xml:space="preserve">캐스퍼 특판견적산출시 탁송료 128,000원 자동반영/ </t>
    </r>
    <r>
      <rPr>
        <sz val="11"/>
        <color theme="0"/>
        <rFont val="맑은 고딕"/>
        <family val="3"/>
        <charset val="129"/>
        <scheme val="minor"/>
      </rPr>
      <t>단 파츠(액세서리 옵션 선택시) 탁송료는 수기입력 必</t>
    </r>
    <phoneticPr fontId="2" type="noConversion"/>
  </si>
  <si>
    <t>A</t>
    <phoneticPr fontId="2" type="noConversion"/>
  </si>
  <si>
    <t>S</t>
    <phoneticPr fontId="2" type="noConversion"/>
  </si>
  <si>
    <t>S</t>
    <phoneticPr fontId="2" type="noConversion"/>
  </si>
  <si>
    <t>S</t>
    <phoneticPr fontId="2" type="noConversion"/>
  </si>
  <si>
    <t>S</t>
    <phoneticPr fontId="2" type="noConversion"/>
  </si>
  <si>
    <t>D</t>
    <phoneticPr fontId="2" type="noConversion"/>
  </si>
  <si>
    <t>S</t>
    <phoneticPr fontId="2" type="noConversion"/>
  </si>
  <si>
    <t>D</t>
    <phoneticPr fontId="2" type="noConversion"/>
  </si>
  <si>
    <t>D</t>
    <phoneticPr fontId="2" type="noConversion"/>
  </si>
  <si>
    <t>D</t>
    <phoneticPr fontId="2" type="noConversion"/>
  </si>
  <si>
    <t>C</t>
    <phoneticPr fontId="2" type="noConversion"/>
  </si>
  <si>
    <t>C</t>
    <phoneticPr fontId="2" type="noConversion"/>
  </si>
  <si>
    <t>24년 10월</t>
    <phoneticPr fontId="2" type="noConversion"/>
  </si>
  <si>
    <t>A</t>
    <phoneticPr fontId="2" type="noConversion"/>
  </si>
  <si>
    <t>A</t>
    <phoneticPr fontId="2" type="noConversion"/>
  </si>
  <si>
    <t>A</t>
    <phoneticPr fontId="2" type="noConversion"/>
  </si>
  <si>
    <t>A</t>
    <phoneticPr fontId="2" type="noConversion"/>
  </si>
  <si>
    <t>A</t>
    <phoneticPr fontId="2" type="noConversion"/>
  </si>
  <si>
    <t>A</t>
    <phoneticPr fontId="2" type="noConversion"/>
  </si>
  <si>
    <t>A</t>
    <phoneticPr fontId="2" type="noConversion"/>
  </si>
  <si>
    <t>A</t>
    <phoneticPr fontId="2" type="noConversion"/>
  </si>
  <si>
    <t>A</t>
    <phoneticPr fontId="2" type="noConversion"/>
  </si>
  <si>
    <t>A</t>
    <phoneticPr fontId="2" type="noConversion"/>
  </si>
  <si>
    <t>A</t>
    <phoneticPr fontId="2" type="noConversion"/>
  </si>
  <si>
    <t>A</t>
    <phoneticPr fontId="2" type="noConversion"/>
  </si>
  <si>
    <t>H</t>
    <phoneticPr fontId="2" type="noConversion"/>
  </si>
  <si>
    <t>레이노 기본(모노카본)</t>
    <phoneticPr fontId="2" type="noConversion"/>
  </si>
  <si>
    <t>레이노 F5</t>
    <phoneticPr fontId="2" type="noConversion"/>
  </si>
  <si>
    <t>레이_(가솔린)</t>
  </si>
  <si>
    <t>레이노 기본(모노카본)</t>
    <phoneticPr fontId="2" type="noConversion"/>
  </si>
  <si>
    <t>레이노 기본(모노카본)</t>
    <phoneticPr fontId="2" type="noConversion"/>
  </si>
  <si>
    <t>레이노 F5</t>
    <phoneticPr fontId="2" type="noConversion"/>
  </si>
  <si>
    <t>루마 GG 110,000</t>
  </si>
  <si>
    <t>루마 GG(쿠폰)</t>
  </si>
  <si>
    <t>딥플라이 DF7 165,000</t>
  </si>
  <si>
    <t>직접입력</t>
  </si>
  <si>
    <t>딜러/Agent</t>
  </si>
  <si>
    <t>GV80 3.5T (가솔린)_Coupe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</si>
</sst>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3">
    <numFmt numFmtId="6" formatCode="&quot;₩&quot;#,##0;[Red]\-&quot;₩&quot;#,##0"/>
    <numFmt numFmtId="42" formatCode="_-&quot;₩&quot;* #,##0_-;\-&quot;₩&quot;* #,##0_-;_-&quot;₩&quot;* &quot;-&quot;_-;_-@_-"/>
    <numFmt numFmtId="41" formatCode="_-* #,##0_-;\-* #,##0_-;_-* &quot;-&quot;_-;_-@_-"/>
    <numFmt numFmtId="43" formatCode="_-* #,##0.00_-;\-* #,##0.00_-;_-* &quot;-&quot;??_-;_-@_-"/>
    <numFmt numFmtId="176" formatCode="General&quot;개&quot;&quot;월&quot;"/>
    <numFmt numFmtId="177" formatCode="###,###,###&quot;㎞&quot;"/>
    <numFmt numFmtId="178" formatCode="0.000%"/>
    <numFmt numFmtId="179" formatCode="0.0%"/>
    <numFmt numFmtId="180" formatCode="#,##0_ ;[Red]\-#,##0\ "/>
    <numFmt numFmtId="181" formatCode="0.00000%"/>
    <numFmt numFmtId="182" formatCode="General&quot;M&quot;"/>
    <numFmt numFmtId="183" formatCode="mm&quot;월&quot;\ dd&quot;일&quot;"/>
    <numFmt numFmtId="184" formatCode="#,##0\ &quot;cc&quot;"/>
    <numFmt numFmtId="185" formatCode="#,##0&quot;개월&quot;"/>
    <numFmt numFmtId="186" formatCode="&quot;(&quot;#,##0&quot; cc)&quot;"/>
    <numFmt numFmtId="187" formatCode="#,###&quot; 원&quot;"/>
    <numFmt numFmtId="188" formatCode="#,##0&quot;km/연&quot;"/>
    <numFmt numFmtId="189" formatCode="\+0%"/>
    <numFmt numFmtId="190" formatCode="0.0000%"/>
    <numFmt numFmtId="191" formatCode="[$-F800]dddd\,\ mmmm\ dd\,\ yyyy"/>
    <numFmt numFmtId="192" formatCode="0.0"/>
    <numFmt numFmtId="193" formatCode="0_);[Red]\(0\)"/>
    <numFmt numFmtId="194" formatCode="#,##0&quot; 원&quot;"/>
    <numFmt numFmtId="195" formatCode="_-* #,##0_-;\-* #,##0_-;_-* &quot;-&quot;??_-;_-@_-"/>
    <numFmt numFmtId="196" formatCode="0.0000000"/>
    <numFmt numFmtId="197" formatCode="_-* #,##0_-;\-* #,##0_-;_-* &quot;-&quot;?_-;_-@_-"/>
    <numFmt numFmtId="198" formatCode="0.000000%"/>
    <numFmt numFmtId="199" formatCode="_-* #,##0.0_-;\-* #,##0.0_-;_-* &quot;-&quot;??_-;_-@_-"/>
    <numFmt numFmtId="200" formatCode="_-[$€-2]* #,##0.00_-;\-[$€-2]* #,##0.00_-;_-[$€-2]* &quot;-&quot;??_-"/>
    <numFmt numFmtId="201" formatCode="_(* #,##0_);_(* \(#,##0\);_(* &quot;-&quot;_);_(@_)"/>
    <numFmt numFmtId="202" formatCode="#,###&quot;원&quot;"/>
    <numFmt numFmtId="203" formatCode="#,##0&quot;km&quot;"/>
    <numFmt numFmtId="204" formatCode="#,##0&quot;원&quot;"/>
    <numFmt numFmtId="205" formatCode="#,###&quot;개월&quot;"/>
    <numFmt numFmtId="206" formatCode="#,###"/>
    <numFmt numFmtId="207" formatCode="0.000000000000000%"/>
    <numFmt numFmtId="208" formatCode="#,000&quot;원&quot;"/>
    <numFmt numFmtId="209" formatCode="0.0000"/>
    <numFmt numFmtId="210" formatCode="#,###\-"/>
    <numFmt numFmtId="211" formatCode="000\-0000\-0000"/>
    <numFmt numFmtId="212" formatCode="#,###\-&quot;원&quot;"/>
    <numFmt numFmtId="213" formatCode="_-* #,##0.00_-;\-* #,##0.00_-;_-* &quot;-&quot;_-;_-@_-"/>
    <numFmt numFmtId="214" formatCode="&quot;최대잔가율=&quot;\ 0.0%"/>
  </numFmts>
  <fonts count="189">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8"/>
      <name val="맑은 고딕"/>
      <family val="2"/>
      <charset val="129"/>
    </font>
    <font>
      <sz val="10"/>
      <name val="함초롬돋움"/>
      <family val="3"/>
      <charset val="129"/>
    </font>
    <font>
      <sz val="9"/>
      <name val="함초롬돋움"/>
      <family val="3"/>
      <charset val="129"/>
    </font>
    <font>
      <sz val="9"/>
      <color rgb="FFFF0000"/>
      <name val="함초롬돋움"/>
      <family val="3"/>
      <charset val="129"/>
    </font>
    <font>
      <b/>
      <sz val="9"/>
      <name val="함초롬돋움"/>
      <family val="3"/>
      <charset val="129"/>
    </font>
    <font>
      <b/>
      <sz val="9"/>
      <color rgb="FFFF0000"/>
      <name val="함초롬돋움"/>
      <family val="3"/>
      <charset val="129"/>
    </font>
    <font>
      <sz val="9"/>
      <color theme="1"/>
      <name val="함초롬돋움"/>
      <family val="3"/>
      <charset val="129"/>
    </font>
    <font>
      <sz val="10"/>
      <color theme="0"/>
      <name val="함초롬돋움"/>
      <family val="3"/>
      <charset val="129"/>
    </font>
    <font>
      <sz val="9"/>
      <color theme="0"/>
      <name val="함초롬돋움"/>
      <family val="3"/>
      <charset val="129"/>
    </font>
    <font>
      <sz val="8"/>
      <color theme="0"/>
      <name val="함초롬돋움"/>
      <family val="3"/>
      <charset val="129"/>
    </font>
    <font>
      <b/>
      <sz val="9"/>
      <color theme="1"/>
      <name val="함초롬돋움"/>
      <family val="3"/>
      <charset val="129"/>
    </font>
    <font>
      <sz val="9"/>
      <color rgb="FF000000"/>
      <name val="함초롬돋움"/>
      <family val="3"/>
      <charset val="129"/>
    </font>
    <font>
      <sz val="11"/>
      <color theme="1"/>
      <name val="함초롬돋움"/>
      <family val="3"/>
      <charset val="129"/>
    </font>
    <font>
      <sz val="11"/>
      <color theme="0"/>
      <name val="함초롬돋움"/>
      <family val="3"/>
      <charset val="129"/>
    </font>
    <font>
      <sz val="9"/>
      <color rgb="FF000000"/>
      <name val="Malgun Gothic"/>
      <family val="3"/>
      <charset val="129"/>
    </font>
    <font>
      <sz val="8"/>
      <color theme="1"/>
      <name val="굴림"/>
      <family val="3"/>
      <charset val="129"/>
    </font>
    <font>
      <b/>
      <sz val="8"/>
      <color theme="1"/>
      <name val="굴림"/>
      <family val="3"/>
      <charset val="129"/>
    </font>
    <font>
      <sz val="9"/>
      <color theme="1"/>
      <name val="굴림"/>
      <family val="3"/>
      <charset val="129"/>
    </font>
    <font>
      <sz val="8"/>
      <color rgb="FF000000"/>
      <name val="굴림"/>
      <family val="3"/>
      <charset val="129"/>
    </font>
    <font>
      <sz val="9"/>
      <color rgb="FF000000"/>
      <name val="굴림"/>
      <family val="3"/>
      <charset val="129"/>
    </font>
    <font>
      <b/>
      <sz val="8"/>
      <color rgb="FFFF0000"/>
      <name val="굴림"/>
      <family val="3"/>
      <charset val="129"/>
    </font>
    <font>
      <sz val="8"/>
      <name val="굴림"/>
      <family val="3"/>
      <charset val="129"/>
    </font>
    <font>
      <sz val="10"/>
      <color theme="3" tint="-0.499984740745262"/>
      <name val="맑은 고딕"/>
      <family val="3"/>
      <charset val="129"/>
      <scheme val="major"/>
    </font>
    <font>
      <sz val="11"/>
      <color theme="1"/>
      <name val="맑은 고딕"/>
      <family val="3"/>
      <charset val="129"/>
      <scheme val="minor"/>
    </font>
    <font>
      <sz val="8"/>
      <color theme="1"/>
      <name val="맑은 고딕"/>
      <family val="3"/>
      <charset val="129"/>
      <scheme val="minor"/>
    </font>
    <font>
      <b/>
      <sz val="14"/>
      <color theme="1"/>
      <name val="맑은 고딕"/>
      <family val="3"/>
      <charset val="129"/>
      <scheme val="minor"/>
    </font>
    <font>
      <b/>
      <sz val="11"/>
      <color indexed="81"/>
      <name val="맑은 고딕 Semilight"/>
      <family val="3"/>
      <charset val="129"/>
    </font>
    <font>
      <b/>
      <sz val="10"/>
      <color theme="1"/>
      <name val="맑은 고딕"/>
      <family val="3"/>
      <charset val="129"/>
      <scheme val="minor"/>
    </font>
    <font>
      <b/>
      <sz val="25"/>
      <color theme="1"/>
      <name val="맑은 고딕"/>
      <family val="3"/>
      <charset val="129"/>
      <scheme val="minor"/>
    </font>
    <font>
      <b/>
      <sz val="11"/>
      <name val="맑은 고딕"/>
      <family val="3"/>
      <charset val="129"/>
      <scheme val="minor"/>
    </font>
    <font>
      <b/>
      <sz val="11"/>
      <color theme="1"/>
      <name val="맑은 고딕"/>
      <family val="3"/>
      <charset val="129"/>
      <scheme val="minor"/>
    </font>
    <font>
      <sz val="11"/>
      <color theme="6" tint="-0.249977111117893"/>
      <name val="맑은 고딕"/>
      <family val="3"/>
      <charset val="129"/>
      <scheme val="minor"/>
    </font>
    <font>
      <sz val="11"/>
      <color rgb="FFFF0000"/>
      <name val="맑은 고딕"/>
      <family val="3"/>
      <charset val="129"/>
      <scheme val="minor"/>
    </font>
    <font>
      <sz val="11"/>
      <color theme="4"/>
      <name val="맑은 고딕"/>
      <family val="3"/>
      <charset val="129"/>
      <scheme val="minor"/>
    </font>
    <font>
      <b/>
      <sz val="11"/>
      <color theme="6" tint="-0.249977111117893"/>
      <name val="맑은 고딕"/>
      <family val="3"/>
      <charset val="129"/>
      <scheme val="minor"/>
    </font>
    <font>
      <b/>
      <sz val="14"/>
      <color theme="0"/>
      <name val="맑은 고딕"/>
      <family val="3"/>
      <charset val="129"/>
      <scheme val="minor"/>
    </font>
    <font>
      <sz val="11"/>
      <name val="맑은 고딕"/>
      <family val="3"/>
      <charset val="129"/>
      <scheme val="minor"/>
    </font>
    <font>
      <sz val="10"/>
      <color theme="1"/>
      <name val="맑은 고딕"/>
      <family val="3"/>
      <charset val="129"/>
      <scheme val="minor"/>
    </font>
    <font>
      <sz val="11"/>
      <color theme="0"/>
      <name val="맑은 고딕"/>
      <family val="3"/>
      <charset val="129"/>
      <scheme val="minor"/>
    </font>
    <font>
      <b/>
      <sz val="10"/>
      <name val="맑은 고딕"/>
      <family val="3"/>
      <charset val="129"/>
      <scheme val="minor"/>
    </font>
    <font>
      <sz val="9"/>
      <color theme="0"/>
      <name val="맑은 고딕"/>
      <family val="3"/>
      <charset val="129"/>
      <scheme val="minor"/>
    </font>
    <font>
      <b/>
      <sz val="12"/>
      <color theme="1"/>
      <name val="맑은 고딕"/>
      <family val="3"/>
      <charset val="129"/>
      <scheme val="minor"/>
    </font>
    <font>
      <sz val="12"/>
      <color theme="1"/>
      <name val="맑은 고딕"/>
      <family val="3"/>
      <charset val="129"/>
      <scheme val="minor"/>
    </font>
    <font>
      <sz val="10"/>
      <color theme="6" tint="-0.249977111117893"/>
      <name val="맑은 고딕"/>
      <family val="3"/>
      <charset val="129"/>
      <scheme val="minor"/>
    </font>
    <font>
      <b/>
      <sz val="11"/>
      <color rgb="FF007DC5"/>
      <name val="맑은 고딕"/>
      <family val="3"/>
      <charset val="129"/>
      <scheme val="minor"/>
    </font>
    <font>
      <b/>
      <sz val="12"/>
      <color rgb="FF007DC5"/>
      <name val="맑은 고딕"/>
      <family val="3"/>
      <charset val="129"/>
      <scheme val="minor"/>
    </font>
    <font>
      <b/>
      <sz val="16"/>
      <color rgb="FF007DC5"/>
      <name val="맑은 고딕"/>
      <family val="3"/>
      <charset val="129"/>
      <scheme val="minor"/>
    </font>
    <font>
      <b/>
      <sz val="11"/>
      <color theme="0" tint="-0.499984740745262"/>
      <name val="맑은 고딕"/>
      <family val="3"/>
      <charset val="129"/>
      <scheme val="minor"/>
    </font>
    <font>
      <sz val="9"/>
      <color rgb="FF007DC5"/>
      <name val="맑은 고딕"/>
      <family val="3"/>
      <charset val="129"/>
      <scheme val="minor"/>
    </font>
    <font>
      <b/>
      <sz val="11"/>
      <color rgb="FFC00000"/>
      <name val="맑은 고딕"/>
      <family val="3"/>
      <charset val="129"/>
      <scheme val="minor"/>
    </font>
    <font>
      <sz val="10"/>
      <color theme="1"/>
      <name val="맑은 고딕 Semilight"/>
      <family val="3"/>
      <charset val="129"/>
    </font>
    <font>
      <b/>
      <sz val="10"/>
      <color theme="0"/>
      <name val="맑은 고딕"/>
      <family val="3"/>
      <charset val="129"/>
      <scheme val="minor"/>
    </font>
    <font>
      <sz val="9"/>
      <name val="굴림"/>
      <family val="3"/>
      <charset val="129"/>
    </font>
    <font>
      <sz val="11"/>
      <color theme="0" tint="-0.499984740745262"/>
      <name val="맑은 고딕"/>
      <family val="3"/>
      <charset val="129"/>
      <scheme val="minor"/>
    </font>
    <font>
      <sz val="11"/>
      <color theme="0" tint="-0.249977111117893"/>
      <name val="맑은 고딕"/>
      <family val="3"/>
      <charset val="129"/>
      <scheme val="minor"/>
    </font>
    <font>
      <b/>
      <sz val="12"/>
      <color theme="0"/>
      <name val="맑은 고딕"/>
      <family val="3"/>
      <charset val="129"/>
      <scheme val="minor"/>
    </font>
    <font>
      <sz val="10"/>
      <name val="맑은 고딕"/>
      <family val="3"/>
      <charset val="129"/>
      <scheme val="minor"/>
    </font>
    <font>
      <sz val="11"/>
      <color theme="0" tint="-0.34998626667073579"/>
      <name val="맑은 고딕"/>
      <family val="3"/>
      <charset val="129"/>
      <scheme val="minor"/>
    </font>
    <font>
      <sz val="8"/>
      <color theme="0"/>
      <name val="맑은 고딕"/>
      <family val="3"/>
      <charset val="129"/>
      <scheme val="minor"/>
    </font>
    <font>
      <sz val="11"/>
      <color rgb="FFFF0000"/>
      <name val="함초롬돋움"/>
      <family val="3"/>
      <charset val="129"/>
    </font>
    <font>
      <sz val="11"/>
      <name val="맑은 고딕"/>
      <family val="2"/>
      <charset val="129"/>
      <scheme val="minor"/>
    </font>
    <font>
      <b/>
      <sz val="11"/>
      <color rgb="FFFF0000"/>
      <name val="맑은 고딕"/>
      <family val="3"/>
      <charset val="129"/>
      <scheme val="minor"/>
    </font>
    <font>
      <b/>
      <sz val="12"/>
      <name val="맑은 고딕"/>
      <family val="3"/>
      <charset val="129"/>
      <scheme val="minor"/>
    </font>
    <font>
      <b/>
      <sz val="10"/>
      <color rgb="FFFF0000"/>
      <name val="맑은 고딕"/>
      <family val="3"/>
      <charset val="129"/>
      <scheme val="minor"/>
    </font>
    <font>
      <sz val="9"/>
      <color theme="1"/>
      <name val="맑은 고딕"/>
      <family val="2"/>
      <charset val="129"/>
      <scheme val="minor"/>
    </font>
    <font>
      <sz val="72"/>
      <color theme="1"/>
      <name val="맑은 고딕"/>
      <family val="3"/>
      <charset val="129"/>
      <scheme val="minor"/>
    </font>
    <font>
      <sz val="10"/>
      <color theme="1"/>
      <name val="맑은 고딕"/>
      <family val="2"/>
      <charset val="129"/>
    </font>
    <font>
      <sz val="10"/>
      <color theme="1"/>
      <name val="맑은 고딕"/>
      <family val="3"/>
      <charset val="129"/>
    </font>
    <font>
      <b/>
      <sz val="8"/>
      <color theme="1"/>
      <name val="맑은 고딕"/>
      <family val="3"/>
      <charset val="129"/>
      <scheme val="major"/>
    </font>
    <font>
      <b/>
      <u/>
      <sz val="11"/>
      <name val="맑은 고딕"/>
      <family val="3"/>
      <charset val="129"/>
      <scheme val="minor"/>
    </font>
    <font>
      <b/>
      <sz val="18"/>
      <color theme="1"/>
      <name val="맑은 고딕"/>
      <family val="3"/>
      <charset val="129"/>
      <scheme val="minor"/>
    </font>
    <font>
      <sz val="10"/>
      <color theme="1"/>
      <name val="맑은 고딕"/>
      <family val="2"/>
      <charset val="129"/>
      <scheme val="minor"/>
    </font>
    <font>
      <sz val="10"/>
      <name val="굴림체"/>
      <family val="3"/>
      <charset val="129"/>
    </font>
    <font>
      <sz val="11"/>
      <color theme="1"/>
      <name val="맑은 고딕"/>
      <family val="3"/>
      <charset val="129"/>
    </font>
    <font>
      <sz val="11"/>
      <color theme="1"/>
      <name val="맑은 고딕"/>
      <family val="2"/>
      <charset val="129"/>
    </font>
    <font>
      <sz val="11"/>
      <name val="돋움"/>
      <family val="3"/>
      <charset val="129"/>
    </font>
    <font>
      <sz val="10"/>
      <color theme="1"/>
      <name val="맑은 고딕"/>
      <family val="3"/>
      <charset val="129"/>
      <scheme val="major"/>
    </font>
    <font>
      <sz val="10"/>
      <color indexed="8"/>
      <name val="맑은 고딕"/>
      <family val="3"/>
      <charset val="129"/>
      <scheme val="major"/>
    </font>
    <font>
      <sz val="8"/>
      <name val="굴림체"/>
      <family val="3"/>
      <charset val="129"/>
    </font>
    <font>
      <b/>
      <sz val="10"/>
      <name val="맑은 고딕"/>
      <family val="3"/>
      <charset val="129"/>
      <scheme val="major"/>
    </font>
    <font>
      <b/>
      <sz val="10"/>
      <color rgb="FF0000FF"/>
      <name val="맑은 고딕"/>
      <family val="3"/>
      <charset val="129"/>
      <scheme val="major"/>
    </font>
    <font>
      <sz val="10"/>
      <name val="맑은 고딕"/>
      <family val="3"/>
      <charset val="129"/>
      <scheme val="major"/>
    </font>
    <font>
      <b/>
      <sz val="10"/>
      <color theme="1"/>
      <name val="맑은 고딕"/>
      <family val="3"/>
      <charset val="129"/>
    </font>
    <font>
      <sz val="9"/>
      <name val="맑은 고딕"/>
      <family val="3"/>
      <charset val="129"/>
      <scheme val="minor"/>
    </font>
    <font>
      <sz val="9"/>
      <name val="맑은 고딕"/>
      <family val="3"/>
      <charset val="129"/>
    </font>
    <font>
      <b/>
      <sz val="9"/>
      <color rgb="FFFF0000"/>
      <name val="맑은 고딕"/>
      <family val="3"/>
      <charset val="129"/>
      <scheme val="minor"/>
    </font>
    <font>
      <b/>
      <sz val="9"/>
      <name val="맑은 고딕"/>
      <family val="3"/>
      <charset val="129"/>
      <scheme val="minor"/>
    </font>
    <font>
      <sz val="11"/>
      <color theme="0"/>
      <name val="맑은 고딕"/>
      <family val="2"/>
      <charset val="129"/>
      <scheme val="minor"/>
    </font>
    <font>
      <sz val="9"/>
      <color indexed="8"/>
      <name val="맑은 고딕"/>
      <family val="3"/>
      <charset val="129"/>
      <scheme val="major"/>
    </font>
    <font>
      <b/>
      <i/>
      <sz val="11"/>
      <color theme="1"/>
      <name val="맑은 고딕"/>
      <family val="3"/>
      <charset val="129"/>
      <scheme val="minor"/>
    </font>
    <font>
      <i/>
      <sz val="11"/>
      <color theme="1"/>
      <name val="맑은 고딕"/>
      <family val="3"/>
      <charset val="129"/>
      <scheme val="minor"/>
    </font>
    <font>
      <b/>
      <i/>
      <sz val="11"/>
      <color rgb="FFFF0000"/>
      <name val="맑은 고딕"/>
      <family val="3"/>
      <charset val="129"/>
      <scheme val="minor"/>
    </font>
    <font>
      <b/>
      <sz val="11"/>
      <color rgb="FF0033CC"/>
      <name val="맑은 고딕"/>
      <family val="3"/>
      <charset val="129"/>
      <scheme val="minor"/>
    </font>
    <font>
      <b/>
      <sz val="11"/>
      <color theme="0"/>
      <name val="맑은 고딕"/>
      <family val="3"/>
      <charset val="129"/>
      <scheme val="minor"/>
    </font>
    <font>
      <sz val="10"/>
      <color rgb="FFFF0000"/>
      <name val="맑은 고딕"/>
      <family val="3"/>
      <charset val="129"/>
      <scheme val="minor"/>
    </font>
    <font>
      <b/>
      <sz val="14"/>
      <color theme="1"/>
      <name val="맑은 고딕"/>
      <family val="3"/>
      <charset val="129"/>
      <scheme val="major"/>
    </font>
    <font>
      <sz val="6"/>
      <color theme="1"/>
      <name val="맑은 고딕"/>
      <family val="3"/>
      <charset val="129"/>
      <scheme val="major"/>
    </font>
    <font>
      <b/>
      <sz val="9"/>
      <color theme="1"/>
      <name val="맑은 고딕"/>
      <family val="3"/>
      <charset val="129"/>
      <scheme val="major"/>
    </font>
    <font>
      <b/>
      <sz val="12"/>
      <color theme="1"/>
      <name val="맑은 고딕"/>
      <family val="3"/>
      <charset val="129"/>
      <scheme val="major"/>
    </font>
    <font>
      <b/>
      <sz val="10"/>
      <color theme="1"/>
      <name val="맑은 고딕"/>
      <family val="3"/>
      <charset val="129"/>
      <scheme val="major"/>
    </font>
    <font>
      <sz val="6"/>
      <color theme="1"/>
      <name val="맑은 고딕"/>
      <family val="2"/>
      <charset val="129"/>
      <scheme val="minor"/>
    </font>
    <font>
      <sz val="10"/>
      <name val="맑은 고딕"/>
      <family val="2"/>
      <charset val="129"/>
      <scheme val="minor"/>
    </font>
    <font>
      <sz val="12"/>
      <color theme="1"/>
      <name val="맑은 고딕"/>
      <family val="3"/>
      <charset val="129"/>
      <scheme val="major"/>
    </font>
    <font>
      <sz val="6"/>
      <color theme="1"/>
      <name val="맑은 고딕"/>
      <family val="3"/>
      <charset val="129"/>
      <scheme val="minor"/>
    </font>
    <font>
      <sz val="8"/>
      <color theme="1"/>
      <name val="맑은 고딕"/>
      <family val="2"/>
      <charset val="129"/>
      <scheme val="minor"/>
    </font>
    <font>
      <sz val="10"/>
      <color rgb="FFFF0000"/>
      <name val="맑은 고딕"/>
      <family val="3"/>
      <charset val="129"/>
      <scheme val="major"/>
    </font>
    <font>
      <b/>
      <sz val="8"/>
      <color theme="1"/>
      <name val="맑은 고딕"/>
      <family val="3"/>
      <charset val="129"/>
      <scheme val="minor"/>
    </font>
    <font>
      <b/>
      <sz val="10"/>
      <name val="MS Sans Serif"/>
      <family val="2"/>
    </font>
    <font>
      <sz val="9"/>
      <color rgb="FF000000"/>
      <name val="맑은 고딕"/>
      <family val="3"/>
      <charset val="129"/>
      <scheme val="minor"/>
    </font>
    <font>
      <b/>
      <sz val="9"/>
      <color rgb="FF000000"/>
      <name val="맑은 고딕"/>
      <family val="3"/>
      <charset val="129"/>
      <scheme val="minor"/>
    </font>
    <font>
      <sz val="16"/>
      <color theme="1"/>
      <name val="맑은 고딕"/>
      <family val="3"/>
      <charset val="129"/>
      <scheme val="minor"/>
    </font>
    <font>
      <b/>
      <sz val="11"/>
      <color rgb="FF000000"/>
      <name val="맑은 고딕"/>
      <family val="3"/>
      <charset val="129"/>
    </font>
    <font>
      <sz val="10"/>
      <color rgb="FF000000"/>
      <name val="맑은 고딕"/>
      <family val="3"/>
      <charset val="129"/>
    </font>
    <font>
      <sz val="9"/>
      <color rgb="FF000000"/>
      <name val="Arial Black"/>
      <family val="2"/>
    </font>
    <font>
      <sz val="10"/>
      <color theme="0"/>
      <name val="맑은 고딕"/>
      <family val="2"/>
      <charset val="129"/>
      <scheme val="minor"/>
    </font>
    <font>
      <b/>
      <sz val="12"/>
      <color rgb="FFFF0000"/>
      <name val="맑은 고딕"/>
      <family val="3"/>
      <charset val="129"/>
      <scheme val="minor"/>
    </font>
    <font>
      <sz val="10"/>
      <color theme="1"/>
      <name val="함초롬돋움"/>
      <family val="3"/>
      <charset val="129"/>
    </font>
    <font>
      <sz val="20"/>
      <color theme="1"/>
      <name val="맑은 고딕"/>
      <family val="2"/>
      <charset val="129"/>
      <scheme val="minor"/>
    </font>
    <font>
      <b/>
      <sz val="20"/>
      <color theme="0"/>
      <name val="함초롬돋움"/>
      <family val="3"/>
      <charset val="129"/>
    </font>
    <font>
      <sz val="16"/>
      <color theme="0"/>
      <name val="맑은 고딕"/>
      <family val="3"/>
      <charset val="129"/>
      <scheme val="minor"/>
    </font>
    <font>
      <sz val="16"/>
      <color rgb="FFFF0000"/>
      <name val="맑은 고딕"/>
      <family val="3"/>
      <charset val="129"/>
      <scheme val="minor"/>
    </font>
    <font>
      <b/>
      <sz val="9"/>
      <color theme="1"/>
      <name val="돋움"/>
      <family val="3"/>
      <charset val="129"/>
    </font>
    <font>
      <sz val="9"/>
      <color rgb="FF666666"/>
      <name val="돋움"/>
      <family val="3"/>
      <charset val="129"/>
    </font>
    <font>
      <b/>
      <sz val="9"/>
      <color rgb="FF666666"/>
      <name val="돋움"/>
      <family val="3"/>
      <charset val="129"/>
    </font>
    <font>
      <b/>
      <sz val="9"/>
      <color theme="1"/>
      <name val="맑은 고딕"/>
      <family val="3"/>
      <charset val="129"/>
      <scheme val="minor"/>
    </font>
    <font>
      <b/>
      <sz val="12"/>
      <color theme="0" tint="-4.9989318521683403E-2"/>
      <name val="맑은 고딕"/>
      <family val="3"/>
      <charset val="129"/>
      <scheme val="minor"/>
    </font>
    <font>
      <b/>
      <u val="double"/>
      <sz val="28"/>
      <color rgb="FF000000"/>
      <name val="맑은 고딕"/>
      <family val="3"/>
      <charset val="129"/>
    </font>
    <font>
      <sz val="18"/>
      <color theme="1"/>
      <name val="맑은 고딕"/>
      <family val="2"/>
      <charset val="129"/>
      <scheme val="minor"/>
    </font>
    <font>
      <b/>
      <u val="double"/>
      <sz val="48"/>
      <color rgb="FF000000"/>
      <name val="맑은 고딕"/>
      <family val="3"/>
      <charset val="129"/>
    </font>
    <font>
      <sz val="20"/>
      <color theme="1"/>
      <name val="맑은 고딕"/>
      <family val="3"/>
      <charset val="129"/>
      <scheme val="minor"/>
    </font>
    <font>
      <b/>
      <sz val="22"/>
      <color theme="1"/>
      <name val="맑은 고딕"/>
      <family val="3"/>
      <charset val="129"/>
      <scheme val="minor"/>
    </font>
    <font>
      <b/>
      <sz val="24"/>
      <color theme="1"/>
      <name val="맑은 고딕"/>
      <family val="3"/>
      <charset val="129"/>
      <scheme val="minor"/>
    </font>
    <font>
      <sz val="22"/>
      <color theme="1"/>
      <name val="맑은 고딕"/>
      <family val="2"/>
      <charset val="129"/>
      <scheme val="minor"/>
    </font>
    <font>
      <sz val="22"/>
      <color theme="1"/>
      <name val="맑은 고딕"/>
      <family val="3"/>
      <charset val="129"/>
      <scheme val="minor"/>
    </font>
    <font>
      <b/>
      <sz val="28"/>
      <color theme="1"/>
      <name val="맑은 고딕"/>
      <family val="3"/>
      <charset val="129"/>
      <scheme val="minor"/>
    </font>
    <font>
      <b/>
      <sz val="36"/>
      <color theme="1"/>
      <name val="맑은 고딕"/>
      <family val="3"/>
      <charset val="129"/>
      <scheme val="minor"/>
    </font>
    <font>
      <b/>
      <sz val="48"/>
      <color theme="1"/>
      <name val="맑은 고딕"/>
      <family val="3"/>
      <charset val="129"/>
      <scheme val="minor"/>
    </font>
    <font>
      <b/>
      <sz val="30"/>
      <color theme="1"/>
      <name val="맑은 고딕"/>
      <family val="3"/>
      <charset val="129"/>
      <scheme val="minor"/>
    </font>
    <font>
      <b/>
      <vertAlign val="subscript"/>
      <sz val="72"/>
      <color rgb="FF000000"/>
      <name val="맑은 고딕"/>
      <family val="3"/>
      <charset val="129"/>
    </font>
    <font>
      <u/>
      <sz val="22"/>
      <color theme="1"/>
      <name val="맑은 고딕"/>
      <family val="3"/>
      <charset val="129"/>
      <scheme val="minor"/>
    </font>
    <font>
      <sz val="36"/>
      <color theme="1"/>
      <name val="맑은 고딕"/>
      <family val="3"/>
      <charset val="129"/>
      <scheme val="minor"/>
    </font>
    <font>
      <b/>
      <i/>
      <sz val="13.5"/>
      <color theme="0"/>
      <name val="맑은 고딕"/>
      <family val="3"/>
      <charset val="129"/>
    </font>
    <font>
      <i/>
      <sz val="11"/>
      <color theme="0"/>
      <name val="맑은 고딕"/>
      <family val="3"/>
      <charset val="129"/>
      <scheme val="minor"/>
    </font>
    <font>
      <b/>
      <sz val="9"/>
      <name val="돋움"/>
      <family val="3"/>
      <charset val="129"/>
    </font>
    <font>
      <sz val="9"/>
      <name val="돋움"/>
      <family val="3"/>
      <charset val="129"/>
    </font>
    <font>
      <sz val="8"/>
      <color rgb="FF000000"/>
      <name val="맑은 고딕"/>
      <family val="3"/>
      <charset val="129"/>
    </font>
    <font>
      <u/>
      <sz val="36"/>
      <color theme="1"/>
      <name val="맑은 고딕"/>
      <family val="2"/>
      <charset val="129"/>
      <scheme val="minor"/>
    </font>
    <font>
      <u/>
      <sz val="36"/>
      <color theme="1"/>
      <name val="맑은 고딕"/>
      <family val="3"/>
      <charset val="129"/>
      <scheme val="minor"/>
    </font>
    <font>
      <sz val="16"/>
      <color theme="1"/>
      <name val="맑은 고딕"/>
      <family val="2"/>
      <charset val="129"/>
      <scheme val="minor"/>
    </font>
    <font>
      <u/>
      <sz val="11"/>
      <color theme="1"/>
      <name val="맑은 고딕"/>
      <family val="2"/>
      <charset val="129"/>
      <scheme val="minor"/>
    </font>
    <font>
      <b/>
      <sz val="20"/>
      <color theme="0"/>
      <name val="맑은 고딕"/>
      <family val="3"/>
      <charset val="129"/>
      <scheme val="minor"/>
    </font>
    <font>
      <b/>
      <i/>
      <sz val="14"/>
      <color rgb="FFFFFF00"/>
      <name val="맑은 고딕"/>
      <family val="3"/>
      <charset val="129"/>
      <scheme val="minor"/>
    </font>
    <font>
      <b/>
      <i/>
      <sz val="16"/>
      <color theme="0"/>
      <name val="맑은 고딕"/>
      <family val="3"/>
      <charset val="129"/>
      <scheme val="minor"/>
    </font>
    <font>
      <sz val="10"/>
      <color theme="0" tint="-0.34998626667073579"/>
      <name val="맑은 고딕"/>
      <family val="3"/>
      <charset val="129"/>
      <scheme val="major"/>
    </font>
    <font>
      <b/>
      <sz val="14"/>
      <color rgb="FFFF0000"/>
      <name val="맑은 고딕"/>
      <family val="3"/>
      <charset val="129"/>
      <scheme val="minor"/>
    </font>
    <font>
      <sz val="12"/>
      <color rgb="FFFF0000"/>
      <name val="맑은 고딕"/>
      <family val="3"/>
      <charset val="129"/>
      <scheme val="major"/>
    </font>
    <font>
      <b/>
      <sz val="13"/>
      <color theme="0"/>
      <name val="맑은 고딕"/>
      <family val="3"/>
      <charset val="129"/>
      <scheme val="minor"/>
    </font>
    <font>
      <sz val="11"/>
      <color theme="1" tint="0.14999847407452621"/>
      <name val="맑은 고딕"/>
      <family val="3"/>
      <charset val="129"/>
      <scheme val="minor"/>
    </font>
    <font>
      <b/>
      <sz val="11"/>
      <color theme="1" tint="0.14999847407452621"/>
      <name val="맑은 고딕"/>
      <family val="3"/>
      <charset val="129"/>
      <scheme val="minor"/>
    </font>
    <font>
      <sz val="12"/>
      <color theme="1"/>
      <name val="맑은 고딕"/>
      <family val="2"/>
      <charset val="129"/>
      <scheme val="minor"/>
    </font>
    <font>
      <sz val="10"/>
      <color theme="1"/>
      <name val="나눔고딕"/>
      <family val="3"/>
      <charset val="129"/>
    </font>
    <font>
      <sz val="8"/>
      <name val="신한세빛 L"/>
      <family val="3"/>
      <charset val="129"/>
    </font>
    <font>
      <b/>
      <sz val="16"/>
      <color theme="0"/>
      <name val="맑은 고딕"/>
      <family val="3"/>
      <charset val="129"/>
      <scheme val="minor"/>
    </font>
    <font>
      <sz val="13"/>
      <color theme="1"/>
      <name val="맑은 고딕"/>
      <family val="3"/>
      <charset val="129"/>
      <scheme val="minor"/>
    </font>
    <font>
      <b/>
      <sz val="22"/>
      <color theme="0"/>
      <name val="맑은 고딕"/>
      <family val="3"/>
      <charset val="129"/>
      <scheme val="minor"/>
    </font>
    <font>
      <sz val="11"/>
      <name val="현대산스 Text"/>
      <family val="3"/>
      <charset val="129"/>
    </font>
    <font>
      <sz val="8"/>
      <name val="기아 Medium"/>
      <family val="2"/>
      <charset val="129"/>
    </font>
    <font>
      <b/>
      <sz val="12"/>
      <color rgb="FF0000FF"/>
      <name val="맑은 고딕"/>
      <family val="3"/>
      <charset val="129"/>
      <scheme val="minor"/>
    </font>
    <font>
      <b/>
      <sz val="18"/>
      <color rgb="FF000000"/>
      <name val="맑은 고딕"/>
      <family val="3"/>
      <charset val="129"/>
    </font>
    <font>
      <b/>
      <sz val="18"/>
      <color rgb="FFFF0000"/>
      <name val="맑은 고딕"/>
      <family val="3"/>
      <charset val="129"/>
    </font>
    <font>
      <sz val="11"/>
      <color rgb="FF000000"/>
      <name val="맑은 고딕"/>
      <family val="3"/>
      <charset val="129"/>
    </font>
    <font>
      <b/>
      <sz val="16"/>
      <color rgb="FF000000"/>
      <name val="맑은 고딕"/>
      <family val="3"/>
      <charset val="129"/>
    </font>
    <font>
      <b/>
      <sz val="12"/>
      <color rgb="FFFF0000"/>
      <name val="맑은 고딕"/>
      <family val="3"/>
      <charset val="129"/>
    </font>
    <font>
      <sz val="14"/>
      <color theme="1"/>
      <name val="맑은 고딕"/>
      <family val="3"/>
      <charset val="129"/>
      <scheme val="minor"/>
    </font>
    <font>
      <b/>
      <sz val="11"/>
      <color theme="9" tint="-0.249977111117893"/>
      <name val="맑은 고딕"/>
      <family val="3"/>
      <charset val="129"/>
      <scheme val="minor"/>
    </font>
    <font>
      <b/>
      <sz val="12"/>
      <color theme="9" tint="-0.249977111117893"/>
      <name val="맑은 고딕"/>
      <family val="3"/>
      <charset val="129"/>
      <scheme val="minor"/>
    </font>
    <font>
      <b/>
      <sz val="14"/>
      <color theme="9" tint="-0.249977111117893"/>
      <name val="맑은 고딕"/>
      <family val="3"/>
      <charset val="129"/>
      <scheme val="minor"/>
    </font>
    <font>
      <b/>
      <sz val="13"/>
      <color theme="9" tint="-0.249977111117893"/>
      <name val="맑은 고딕"/>
      <family val="3"/>
      <charset val="129"/>
      <scheme val="minor"/>
    </font>
    <font>
      <b/>
      <sz val="10"/>
      <color theme="9" tint="-0.249977111117893"/>
      <name val="맑은 고딕"/>
      <family val="3"/>
      <charset val="129"/>
      <scheme val="minor"/>
    </font>
    <font>
      <sz val="9"/>
      <color theme="9" tint="-0.249977111117893"/>
      <name val="맑은 고딕"/>
      <family val="3"/>
      <charset val="129"/>
      <scheme val="minor"/>
    </font>
    <font>
      <b/>
      <sz val="18"/>
      <color theme="9" tint="-0.249977111117893"/>
      <name val="맑은 고딕"/>
      <family val="3"/>
      <charset val="129"/>
      <scheme val="minor"/>
    </font>
    <font>
      <u/>
      <sz val="11"/>
      <color theme="10"/>
      <name val="맑은 고딕"/>
      <family val="2"/>
      <charset val="129"/>
      <scheme val="minor"/>
    </font>
    <font>
      <u/>
      <sz val="10"/>
      <color theme="10"/>
      <name val="HY견고딕"/>
      <family val="1"/>
      <charset val="129"/>
    </font>
    <font>
      <sz val="12"/>
      <color theme="0"/>
      <name val="맑은 고딕"/>
      <family val="3"/>
      <charset val="129"/>
      <scheme val="minor"/>
    </font>
    <font>
      <sz val="18"/>
      <color theme="0"/>
      <name val="맑은 고딕"/>
      <family val="2"/>
      <charset val="129"/>
      <scheme val="minor"/>
    </font>
    <font>
      <sz val="18"/>
      <color theme="0"/>
      <name val="맑은 고딕"/>
      <family val="3"/>
      <charset val="129"/>
      <scheme val="minor"/>
    </font>
  </fonts>
  <fills count="52">
    <fill>
      <patternFill patternType="none"/>
    </fill>
    <fill>
      <patternFill patternType="gray125"/>
    </fill>
    <fill>
      <patternFill patternType="solid">
        <fgColor theme="4" tint="-0.249977111117893"/>
        <bgColor indexed="64"/>
      </patternFill>
    </fill>
    <fill>
      <patternFill patternType="solid">
        <fgColor rgb="FF0070C0"/>
        <bgColor indexed="64"/>
      </patternFill>
    </fill>
    <fill>
      <patternFill patternType="solid">
        <fgColor theme="4" tint="0.79998168889431442"/>
        <bgColor indexed="64"/>
      </patternFill>
    </fill>
    <fill>
      <patternFill patternType="solid">
        <fgColor rgb="FFFFFF00"/>
        <bgColor indexed="64"/>
      </patternFill>
    </fill>
    <fill>
      <patternFill patternType="solid">
        <fgColor theme="0"/>
        <bgColor indexed="64"/>
      </patternFill>
    </fill>
    <fill>
      <patternFill patternType="solid">
        <fgColor rgb="FF007DC5"/>
        <bgColor indexed="64"/>
      </patternFill>
    </fill>
    <fill>
      <patternFill patternType="solid">
        <fgColor theme="4" tint="0.79998168889431442"/>
        <bgColor indexed="65"/>
      </patternFill>
    </fill>
    <fill>
      <patternFill patternType="solid">
        <fgColor rgb="FFFFFFCC"/>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0" tint="-0.249977111117893"/>
        <bgColor indexed="64"/>
      </patternFill>
    </fill>
    <fill>
      <patternFill patternType="solid">
        <fgColor rgb="FFFFFF66"/>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theme="7" tint="0.39997558519241921"/>
        <bgColor indexed="64"/>
      </patternFill>
    </fill>
    <fill>
      <patternFill patternType="solid">
        <fgColor rgb="FFFFC000"/>
        <bgColor indexed="64"/>
      </patternFill>
    </fill>
    <fill>
      <patternFill patternType="solid">
        <fgColor rgb="FF00B0F0"/>
        <bgColor indexed="64"/>
      </patternFill>
    </fill>
    <fill>
      <patternFill patternType="solid">
        <fgColor rgb="FF99CCFF"/>
        <bgColor indexed="64"/>
      </patternFill>
    </fill>
    <fill>
      <patternFill patternType="solid">
        <fgColor theme="4" tint="0.39997558519241921"/>
        <bgColor indexed="64"/>
      </patternFill>
    </fill>
    <fill>
      <patternFill patternType="solid">
        <fgColor theme="3" tint="0.39997558519241921"/>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theme="5"/>
        <bgColor indexed="64"/>
      </patternFill>
    </fill>
    <fill>
      <patternFill patternType="solid">
        <fgColor rgb="FFFFFFCC"/>
      </patternFill>
    </fill>
    <fill>
      <patternFill patternType="solid">
        <fgColor theme="7" tint="0.79998168889431442"/>
        <bgColor indexed="64"/>
      </patternFill>
    </fill>
    <fill>
      <patternFill patternType="solid">
        <fgColor rgb="FFFEF36A"/>
        <bgColor indexed="64"/>
      </patternFill>
    </fill>
    <fill>
      <patternFill patternType="solid">
        <fgColor theme="0" tint="-0.14996795556505021"/>
        <bgColor indexed="64"/>
      </patternFill>
    </fill>
    <fill>
      <patternFill patternType="solid">
        <fgColor theme="3"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theme="2"/>
        <bgColor indexed="64"/>
      </patternFill>
    </fill>
    <fill>
      <patternFill patternType="solid">
        <fgColor theme="1" tint="0.249977111117893"/>
        <bgColor indexed="64"/>
      </patternFill>
    </fill>
    <fill>
      <patternFill patternType="solid">
        <fgColor theme="8" tint="-0.249977111117893"/>
        <bgColor indexed="64"/>
      </patternFill>
    </fill>
    <fill>
      <patternFill patternType="solid">
        <fgColor rgb="FFFF0000"/>
        <bgColor indexed="64"/>
      </patternFill>
    </fill>
    <fill>
      <patternFill patternType="solid">
        <fgColor theme="7" tint="0.59999389629810485"/>
        <bgColor indexed="64"/>
      </patternFill>
    </fill>
    <fill>
      <patternFill patternType="solid">
        <fgColor rgb="FFC6D9F1"/>
        <bgColor indexed="64"/>
      </patternFill>
    </fill>
    <fill>
      <patternFill patternType="solid">
        <fgColor theme="1" tint="0.499984740745262"/>
        <bgColor indexed="64"/>
      </patternFill>
    </fill>
    <fill>
      <patternFill patternType="solid">
        <fgColor rgb="FFFAFAFA"/>
        <bgColor indexed="64"/>
      </patternFill>
    </fill>
    <fill>
      <patternFill patternType="solid">
        <fgColor theme="0" tint="-0.14999847407452621"/>
        <bgColor rgb="FF000000"/>
      </patternFill>
    </fill>
    <fill>
      <patternFill patternType="solid">
        <fgColor theme="1"/>
        <bgColor indexed="64"/>
      </patternFill>
    </fill>
    <fill>
      <patternFill patternType="solid">
        <fgColor rgb="FF92D050"/>
        <bgColor indexed="64"/>
      </patternFill>
    </fill>
    <fill>
      <patternFill patternType="solid">
        <fgColor rgb="FF002060"/>
        <bgColor indexed="64"/>
      </patternFill>
    </fill>
    <fill>
      <patternFill patternType="solid">
        <fgColor theme="4" tint="-0.499984740745262"/>
        <bgColor indexed="64"/>
      </patternFill>
    </fill>
    <fill>
      <patternFill patternType="solid">
        <fgColor theme="1" tint="4.9989318521683403E-2"/>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9" tint="0.39997558519241921"/>
        <bgColor indexed="64"/>
      </patternFill>
    </fill>
    <fill>
      <gradientFill type="path" left="0.5" right="0.5" top="0.5" bottom="0.5">
        <stop position="0">
          <color theme="0"/>
        </stop>
        <stop position="1">
          <color theme="9" tint="0.40000610370189521"/>
        </stop>
      </gradientFill>
    </fill>
    <fill>
      <gradientFill type="path" left="0.5" right="0.5" top="0.5" bottom="0.5">
        <stop position="0">
          <color theme="0"/>
        </stop>
        <stop position="1">
          <color theme="5" tint="0.59999389629810485"/>
        </stop>
      </gradientFill>
    </fill>
    <fill>
      <patternFill patternType="solid">
        <fgColor rgb="FF548235"/>
        <bgColor indexed="64"/>
      </patternFill>
    </fill>
  </fills>
  <borders count="407">
    <border>
      <left/>
      <right/>
      <top/>
      <bottom/>
      <diagonal/>
    </border>
    <border>
      <left/>
      <right/>
      <top/>
      <bottom style="thin">
        <color indexed="64"/>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indexed="64"/>
      </bottom>
      <diagonal/>
    </border>
    <border>
      <left style="thin">
        <color theme="1"/>
      </left>
      <right style="thin">
        <color theme="1"/>
      </right>
      <top style="thin">
        <color theme="1"/>
      </top>
      <bottom/>
      <diagonal/>
    </border>
    <border>
      <left style="thin">
        <color theme="1"/>
      </left>
      <right style="thin">
        <color theme="1"/>
      </right>
      <top style="thin">
        <color rgb="FF0070C0"/>
      </top>
      <bottom/>
      <diagonal/>
    </border>
    <border>
      <left style="thin">
        <color theme="1"/>
      </left>
      <right style="thin">
        <color theme="1"/>
      </right>
      <top style="thin">
        <color indexed="64"/>
      </top>
      <bottom/>
      <diagonal/>
    </border>
    <border>
      <left style="thin">
        <color theme="1"/>
      </left>
      <right style="thin">
        <color theme="1"/>
      </right>
      <top/>
      <bottom/>
      <diagonal/>
    </border>
    <border>
      <left style="thin">
        <color auto="1"/>
      </left>
      <right style="thin">
        <color auto="1"/>
      </right>
      <top style="thin">
        <color auto="1"/>
      </top>
      <bottom style="thin">
        <color rgb="FF0070C0"/>
      </bottom>
      <diagonal/>
    </border>
    <border diagonalUp="1">
      <left style="thin">
        <color auto="1"/>
      </left>
      <right style="thin">
        <color auto="1"/>
      </right>
      <top style="thin">
        <color auto="1"/>
      </top>
      <bottom style="thin">
        <color rgb="FF0070C0"/>
      </bottom>
      <diagonal style="thin">
        <color auto="1"/>
      </diagonal>
    </border>
    <border>
      <left style="thin">
        <color rgb="FF0070C0"/>
      </left>
      <right style="thin">
        <color rgb="FF0070C0"/>
      </right>
      <top style="thin">
        <color rgb="FF0070C0"/>
      </top>
      <bottom style="thin">
        <color rgb="FF0070C0"/>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top/>
      <bottom style="thin">
        <color rgb="FF007DC5"/>
      </bottom>
      <diagonal/>
    </border>
    <border>
      <left/>
      <right/>
      <top style="thin">
        <color theme="0" tint="-0.34998626667073579"/>
      </top>
      <bottom/>
      <diagonal/>
    </border>
    <border>
      <left style="thin">
        <color theme="0"/>
      </left>
      <right style="thin">
        <color theme="0"/>
      </right>
      <top style="thin">
        <color theme="0"/>
      </top>
      <bottom style="thin">
        <color theme="0"/>
      </bottom>
      <diagonal/>
    </border>
    <border>
      <left/>
      <right/>
      <top/>
      <bottom style="thin">
        <color theme="0"/>
      </bottom>
      <diagonal/>
    </border>
    <border>
      <left/>
      <right style="thin">
        <color theme="0"/>
      </right>
      <top style="thin">
        <color theme="0"/>
      </top>
      <bottom style="thin">
        <color theme="0"/>
      </bottom>
      <diagonal/>
    </border>
    <border>
      <left style="thin">
        <color theme="0" tint="-0.34998626667073579"/>
      </left>
      <right style="hair">
        <color theme="0" tint="-0.34998626667073579"/>
      </right>
      <top style="thin">
        <color theme="0" tint="-0.34998626667073579"/>
      </top>
      <bottom style="thin">
        <color theme="0" tint="-0.34998626667073579"/>
      </bottom>
      <diagonal/>
    </border>
    <border>
      <left/>
      <right style="hair">
        <color theme="0" tint="-0.34998626667073579"/>
      </right>
      <top style="thin">
        <color theme="0" tint="-0.34998626667073579"/>
      </top>
      <bottom style="thin">
        <color theme="0" tint="-0.34998626667073579"/>
      </bottom>
      <diagonal/>
    </border>
    <border>
      <left/>
      <right style="thin">
        <color theme="0" tint="-0.34998626667073579"/>
      </right>
      <top style="thin">
        <color theme="0" tint="-0.34998626667073579"/>
      </top>
      <bottom/>
      <diagonal/>
    </border>
    <border>
      <left style="thin">
        <color theme="0" tint="-0.34998626667073579"/>
      </left>
      <right style="thin">
        <color theme="0" tint="-0.34998626667073579"/>
      </right>
      <top style="thin">
        <color theme="0" tint="-0.34998626667073579"/>
      </top>
      <bottom/>
      <diagonal/>
    </border>
    <border>
      <left/>
      <right style="hair">
        <color theme="0" tint="-0.34998626667073579"/>
      </right>
      <top/>
      <bottom style="thin">
        <color theme="0" tint="-0.34998626667073579"/>
      </bottom>
      <diagonal/>
    </border>
    <border>
      <left style="thin">
        <color theme="0" tint="-0.34998626667073579"/>
      </left>
      <right/>
      <top style="thin">
        <color theme="0" tint="-0.34998626667073579"/>
      </top>
      <bottom/>
      <diagonal/>
    </border>
    <border>
      <left/>
      <right style="hair">
        <color theme="0" tint="-0.34998626667073579"/>
      </right>
      <top style="thin">
        <color theme="0" tint="-0.34998626667073579"/>
      </top>
      <bottom/>
      <diagonal/>
    </border>
    <border>
      <left/>
      <right style="thin">
        <color theme="0"/>
      </right>
      <top/>
      <bottom style="thin">
        <color theme="0"/>
      </bottom>
      <diagonal/>
    </border>
    <border>
      <left/>
      <right/>
      <top style="thin">
        <color theme="0"/>
      </top>
      <bottom style="thin">
        <color theme="0"/>
      </bottom>
      <diagonal/>
    </border>
    <border>
      <left/>
      <right style="thin">
        <color theme="0"/>
      </right>
      <top/>
      <bottom/>
      <diagonal/>
    </border>
    <border>
      <left/>
      <right/>
      <top style="thin">
        <color theme="0"/>
      </top>
      <bottom/>
      <diagonal/>
    </border>
    <border>
      <left/>
      <right style="thin">
        <color theme="0"/>
      </right>
      <top style="thin">
        <color theme="0"/>
      </top>
      <bottom/>
      <diagonal/>
    </border>
    <border>
      <left/>
      <right style="hair">
        <color theme="0" tint="-0.34998626667073579"/>
      </right>
      <top style="hair">
        <color theme="0" tint="-0.34998626667073579"/>
      </top>
      <bottom style="thin">
        <color theme="0" tint="-0.34998626667073579"/>
      </bottom>
      <diagonal/>
    </border>
    <border>
      <left style="hair">
        <color theme="0" tint="-0.34998626667073579"/>
      </left>
      <right style="hair">
        <color theme="0" tint="-0.34998626667073579"/>
      </right>
      <top style="hair">
        <color theme="0" tint="-0.34998626667073579"/>
      </top>
      <bottom style="thin">
        <color theme="0" tint="-0.34998626667073579"/>
      </bottom>
      <diagonal/>
    </border>
    <border>
      <left style="hair">
        <color theme="0" tint="-0.34998626667073579"/>
      </left>
      <right/>
      <top style="hair">
        <color theme="0" tint="-0.34998626667073579"/>
      </top>
      <bottom style="thin">
        <color theme="0" tint="-0.34998626667073579"/>
      </bottom>
      <diagonal/>
    </border>
    <border>
      <left/>
      <right/>
      <top style="hair">
        <color theme="0" tint="-0.34998626667073579"/>
      </top>
      <bottom style="thin">
        <color theme="0" tint="-0.34998626667073579"/>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hair">
        <color theme="0" tint="-0.34998626667073579"/>
      </left>
      <right/>
      <top style="thin">
        <color theme="0" tint="-0.34998626667073579"/>
      </top>
      <bottom style="thin">
        <color theme="0" tint="-0.34998626667073579"/>
      </bottom>
      <diagonal/>
    </border>
    <border>
      <left style="thin">
        <color rgb="FF007DC5"/>
      </left>
      <right/>
      <top/>
      <bottom/>
      <diagonal/>
    </border>
    <border>
      <left/>
      <right style="thin">
        <color rgb="FF007DC5"/>
      </right>
      <top/>
      <bottom/>
      <diagonal/>
    </border>
    <border>
      <left style="medium">
        <color indexed="64"/>
      </left>
      <right/>
      <top style="medium">
        <color indexed="64"/>
      </top>
      <bottom/>
      <diagonal/>
    </border>
    <border>
      <left style="medium">
        <color indexed="64"/>
      </left>
      <right/>
      <top style="medium">
        <color indexed="64"/>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thin">
        <color rgb="FFB2B2B2"/>
      </left>
      <right style="thin">
        <color rgb="FFB2B2B2"/>
      </right>
      <top style="thin">
        <color rgb="FFB2B2B2"/>
      </top>
      <bottom style="thin">
        <color rgb="FFB2B2B2"/>
      </bottom>
      <diagonal/>
    </border>
    <border>
      <left style="thin">
        <color auto="1"/>
      </left>
      <right style="double">
        <color auto="1"/>
      </right>
      <top style="thin">
        <color auto="1"/>
      </top>
      <bottom style="double">
        <color auto="1"/>
      </bottom>
      <diagonal/>
    </border>
    <border>
      <left/>
      <right style="thin">
        <color indexed="64"/>
      </right>
      <top style="thin">
        <color indexed="64"/>
      </top>
      <bottom style="double">
        <color indexed="64"/>
      </bottom>
      <diagonal/>
    </border>
    <border>
      <left style="thin">
        <color indexed="64"/>
      </left>
      <right style="thin">
        <color auto="1"/>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thin">
        <color indexed="64"/>
      </left>
      <right style="thin">
        <color indexed="64"/>
      </right>
      <top style="thin">
        <color indexed="64"/>
      </top>
      <bottom style="hair">
        <color indexed="64"/>
      </bottom>
      <diagonal/>
    </border>
    <border>
      <left style="thin">
        <color indexed="64"/>
      </left>
      <right style="medium">
        <color indexed="64"/>
      </right>
      <top style="thin">
        <color indexed="64"/>
      </top>
      <bottom style="hair">
        <color indexed="64"/>
      </bottom>
      <diagonal/>
    </border>
    <border>
      <left style="thin">
        <color indexed="64"/>
      </left>
      <right style="double">
        <color indexed="64"/>
      </right>
      <top/>
      <bottom style="hair">
        <color auto="1"/>
      </bottom>
      <diagonal/>
    </border>
    <border>
      <left/>
      <right style="thin">
        <color indexed="64"/>
      </right>
      <top/>
      <bottom style="hair">
        <color indexed="64"/>
      </bottom>
      <diagonal/>
    </border>
    <border>
      <left style="thin">
        <color indexed="64"/>
      </left>
      <right style="thin">
        <color indexed="64"/>
      </right>
      <top/>
      <bottom style="hair">
        <color auto="1"/>
      </bottom>
      <diagonal/>
    </border>
    <border>
      <left style="thin">
        <color indexed="64"/>
      </left>
      <right style="medium">
        <color indexed="64"/>
      </right>
      <top/>
      <bottom style="hair">
        <color auto="1"/>
      </bottom>
      <diagonal/>
    </border>
    <border>
      <left style="thin">
        <color indexed="64"/>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style="thin">
        <color indexed="64"/>
      </left>
      <right style="double">
        <color indexed="64"/>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double">
        <color indexed="64"/>
      </right>
      <top style="hair">
        <color auto="1"/>
      </top>
      <bottom style="medium">
        <color indexed="64"/>
      </bottom>
      <diagonal/>
    </border>
    <border>
      <left/>
      <right style="thin">
        <color auto="1"/>
      </right>
      <top style="hair">
        <color indexed="64"/>
      </top>
      <bottom style="medium">
        <color auto="1"/>
      </bottom>
      <diagonal/>
    </border>
    <border>
      <left style="thin">
        <color indexed="64"/>
      </left>
      <right style="thin">
        <color indexed="64"/>
      </right>
      <top style="hair">
        <color auto="1"/>
      </top>
      <bottom style="medium">
        <color indexed="64"/>
      </bottom>
      <diagonal/>
    </border>
    <border>
      <left style="thin">
        <color indexed="64"/>
      </left>
      <right style="medium">
        <color auto="1"/>
      </right>
      <top style="hair">
        <color indexed="64"/>
      </top>
      <bottom style="medium">
        <color auto="1"/>
      </bottom>
      <diagonal/>
    </border>
    <border>
      <left style="medium">
        <color indexed="64"/>
      </left>
      <right style="double">
        <color indexed="64"/>
      </right>
      <top style="medium">
        <color indexed="64"/>
      </top>
      <bottom style="hair">
        <color auto="1"/>
      </bottom>
      <diagonal/>
    </border>
    <border>
      <left style="double">
        <color indexed="64"/>
      </left>
      <right style="thin">
        <color indexed="64"/>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style="thin">
        <color indexed="64"/>
      </left>
      <right style="medium">
        <color indexed="64"/>
      </right>
      <top style="medium">
        <color indexed="64"/>
      </top>
      <bottom style="hair">
        <color indexed="64"/>
      </bottom>
      <diagonal/>
    </border>
    <border>
      <left style="medium">
        <color indexed="64"/>
      </left>
      <right style="double">
        <color indexed="64"/>
      </right>
      <top style="hair">
        <color indexed="64"/>
      </top>
      <bottom style="hair">
        <color indexed="64"/>
      </bottom>
      <diagonal/>
    </border>
    <border>
      <left style="double">
        <color indexed="64"/>
      </left>
      <right style="thin">
        <color indexed="64"/>
      </right>
      <top style="hair">
        <color indexed="64"/>
      </top>
      <bottom style="hair">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hair">
        <color auto="1"/>
      </bottom>
      <diagonal/>
    </border>
    <border>
      <left style="medium">
        <color indexed="64"/>
      </left>
      <right style="medium">
        <color indexed="64"/>
      </right>
      <top style="hair">
        <color auto="1"/>
      </top>
      <bottom style="hair">
        <color auto="1"/>
      </bottom>
      <diagonal/>
    </border>
    <border>
      <left style="medium">
        <color indexed="64"/>
      </left>
      <right style="double">
        <color indexed="64"/>
      </right>
      <top style="hair">
        <color auto="1"/>
      </top>
      <bottom style="medium">
        <color indexed="64"/>
      </bottom>
      <diagonal/>
    </border>
    <border>
      <left style="double">
        <color indexed="64"/>
      </left>
      <right style="thin">
        <color indexed="64"/>
      </right>
      <top style="hair">
        <color indexed="64"/>
      </top>
      <bottom style="medium">
        <color indexed="64"/>
      </bottom>
      <diagonal/>
    </border>
    <border>
      <left style="medium">
        <color indexed="64"/>
      </left>
      <right style="medium">
        <color indexed="64"/>
      </right>
      <top style="hair">
        <color auto="1"/>
      </top>
      <bottom/>
      <diagonal/>
    </border>
    <border>
      <left style="medium">
        <color indexed="64"/>
      </left>
      <right style="medium">
        <color indexed="64"/>
      </right>
      <top/>
      <bottom style="medium">
        <color indexed="64"/>
      </bottom>
      <diagonal/>
    </border>
    <border>
      <left style="medium">
        <color indexed="64"/>
      </left>
      <right style="medium">
        <color indexed="64"/>
      </right>
      <top style="hair">
        <color auto="1"/>
      </top>
      <bottom style="medium">
        <color indexed="64"/>
      </bottom>
      <diagonal/>
    </border>
    <border>
      <left style="thin">
        <color indexed="64"/>
      </left>
      <right style="double">
        <color indexed="64"/>
      </right>
      <top style="hair">
        <color indexed="64"/>
      </top>
      <bottom/>
      <diagonal/>
    </border>
    <border>
      <left/>
      <right style="thin">
        <color indexed="64"/>
      </right>
      <top style="hair">
        <color indexed="64"/>
      </top>
      <bottom/>
      <diagonal/>
    </border>
    <border>
      <left style="thin">
        <color auto="1"/>
      </left>
      <right style="double">
        <color indexed="64"/>
      </right>
      <top/>
      <bottom style="thin">
        <color auto="1"/>
      </bottom>
      <diagonal/>
    </border>
    <border>
      <left style="thin">
        <color indexed="64"/>
      </left>
      <right style="thin">
        <color indexed="64"/>
      </right>
      <top style="hair">
        <color indexed="64"/>
      </top>
      <bottom/>
      <diagonal/>
    </border>
    <border>
      <left/>
      <right style="thin">
        <color indexed="64"/>
      </right>
      <top style="medium">
        <color indexed="64"/>
      </top>
      <bottom style="hair">
        <color indexed="64"/>
      </bottom>
      <diagonal/>
    </border>
    <border>
      <left/>
      <right/>
      <top style="medium">
        <color auto="1"/>
      </top>
      <bottom style="hair">
        <color auto="1"/>
      </bottom>
      <diagonal/>
    </border>
    <border>
      <left/>
      <right/>
      <top style="hair">
        <color indexed="64"/>
      </top>
      <bottom style="medium">
        <color indexed="64"/>
      </bottom>
      <diagonal/>
    </border>
    <border>
      <left style="thin">
        <color auto="1"/>
      </left>
      <right/>
      <top style="medium">
        <color auto="1"/>
      </top>
      <bottom style="hair">
        <color auto="1"/>
      </bottom>
      <diagonal/>
    </border>
    <border>
      <left style="thin">
        <color auto="1"/>
      </left>
      <right/>
      <top style="hair">
        <color auto="1"/>
      </top>
      <bottom style="hair">
        <color auto="1"/>
      </bottom>
      <diagonal/>
    </border>
    <border>
      <left style="thin">
        <color auto="1"/>
      </left>
      <right/>
      <top style="hair">
        <color auto="1"/>
      </top>
      <bottom/>
      <diagonal/>
    </border>
    <border>
      <left/>
      <right/>
      <top style="hair">
        <color auto="1"/>
      </top>
      <bottom style="hair">
        <color auto="1"/>
      </bottom>
      <diagonal/>
    </border>
    <border>
      <left style="hair">
        <color theme="1"/>
      </left>
      <right style="medium">
        <color theme="0"/>
      </right>
      <top style="medium">
        <color auto="1"/>
      </top>
      <bottom style="hair">
        <color theme="1"/>
      </bottom>
      <diagonal/>
    </border>
    <border>
      <left style="hair">
        <color theme="1"/>
      </left>
      <right style="medium">
        <color theme="0"/>
      </right>
      <top style="hair">
        <color theme="1"/>
      </top>
      <bottom style="hair">
        <color theme="1"/>
      </bottom>
      <diagonal/>
    </border>
    <border>
      <left style="hair">
        <color theme="1"/>
      </left>
      <right style="medium">
        <color theme="0"/>
      </right>
      <top style="hair">
        <color theme="1"/>
      </top>
      <bottom/>
      <diagonal/>
    </border>
    <border>
      <left style="hair">
        <color auto="1"/>
      </left>
      <right/>
      <top style="hair">
        <color auto="1"/>
      </top>
      <bottom style="hair">
        <color auto="1"/>
      </bottom>
      <diagonal/>
    </border>
    <border>
      <left style="thin">
        <color auto="1"/>
      </left>
      <right/>
      <top style="hair">
        <color auto="1"/>
      </top>
      <bottom style="medium">
        <color auto="1"/>
      </bottom>
      <diagonal/>
    </border>
    <border>
      <left style="hair">
        <color auto="1"/>
      </left>
      <right/>
      <top style="hair">
        <color auto="1"/>
      </top>
      <bottom style="medium">
        <color auto="1"/>
      </bottom>
      <diagonal/>
    </border>
    <border>
      <left style="thin">
        <color auto="1"/>
      </left>
      <right/>
      <top/>
      <bottom style="hair">
        <color auto="1"/>
      </bottom>
      <diagonal/>
    </border>
    <border>
      <left/>
      <right/>
      <top/>
      <bottom style="thick">
        <color auto="1"/>
      </bottom>
      <diagonal/>
    </border>
    <border>
      <left/>
      <right/>
      <top style="thin">
        <color indexed="64"/>
      </top>
      <bottom style="medium">
        <color indexed="64"/>
      </bottom>
      <diagonal/>
    </border>
    <border>
      <left/>
      <right/>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
      <left style="medium">
        <color indexed="64"/>
      </left>
      <right style="thin">
        <color theme="1" tint="0.499984740745262"/>
      </right>
      <top style="medium">
        <color indexed="64"/>
      </top>
      <bottom style="medium">
        <color indexed="64"/>
      </bottom>
      <diagonal/>
    </border>
    <border>
      <left style="thin">
        <color theme="1" tint="0.499984740745262"/>
      </left>
      <right/>
      <top style="medium">
        <color indexed="64"/>
      </top>
      <bottom style="medium">
        <color indexed="64"/>
      </bottom>
      <diagonal/>
    </border>
    <border>
      <left style="thin">
        <color theme="1" tint="0.499984740745262"/>
      </left>
      <right style="thin">
        <color theme="1" tint="0.499984740745262"/>
      </right>
      <top style="medium">
        <color indexed="64"/>
      </top>
      <bottom style="medium">
        <color indexed="64"/>
      </bottom>
      <diagonal/>
    </border>
    <border>
      <left style="thin">
        <color theme="1" tint="0.499984740745262"/>
      </left>
      <right style="medium">
        <color indexed="64"/>
      </right>
      <top style="medium">
        <color indexed="64"/>
      </top>
      <bottom style="medium">
        <color indexed="64"/>
      </bottom>
      <diagonal/>
    </border>
    <border>
      <left style="thin">
        <color auto="1"/>
      </left>
      <right/>
      <top style="thin">
        <color theme="1" tint="0.499984740745262"/>
      </top>
      <bottom style="thin">
        <color theme="1"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indexed="64"/>
      </right>
      <top style="thin">
        <color theme="0" tint="-0.499984740745262"/>
      </top>
      <bottom style="thin">
        <color theme="0" tint="-0.499984740745262"/>
      </bottom>
      <diagonal/>
    </border>
    <border>
      <left style="thin">
        <color indexed="64"/>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1" tint="0.499984740745262"/>
      </left>
      <right style="thin">
        <color theme="1" tint="0.499984740745262"/>
      </right>
      <top style="thin">
        <color theme="1" tint="0.499984740745262"/>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bottom style="hair">
        <color theme="1"/>
      </bottom>
      <diagonal/>
    </border>
    <border>
      <left style="thin">
        <color theme="0"/>
      </left>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style="thin">
        <color theme="0"/>
      </left>
      <right style="thin">
        <color theme="0"/>
      </right>
      <top/>
      <bottom/>
      <diagonal/>
    </border>
    <border>
      <left/>
      <right/>
      <top style="medium">
        <color theme="1"/>
      </top>
      <bottom/>
      <diagonal/>
    </border>
    <border>
      <left/>
      <right/>
      <top/>
      <bottom style="medium">
        <color theme="1"/>
      </bottom>
      <diagonal/>
    </border>
    <border>
      <left style="thin">
        <color rgb="FF555555"/>
      </left>
      <right style="thin">
        <color rgb="FF555555"/>
      </right>
      <top style="thin">
        <color rgb="FF555555"/>
      </top>
      <bottom style="thin">
        <color rgb="FF555555"/>
      </bottom>
      <diagonal/>
    </border>
    <border>
      <left style="thin">
        <color rgb="FF555555"/>
      </left>
      <right/>
      <top style="thin">
        <color rgb="FF555555"/>
      </top>
      <bottom style="thin">
        <color rgb="FF555555"/>
      </bottom>
      <diagonal/>
    </border>
    <border>
      <left/>
      <right style="thin">
        <color rgb="FF555555"/>
      </right>
      <top style="thin">
        <color rgb="FF555555"/>
      </top>
      <bottom style="thin">
        <color rgb="FF555555"/>
      </bottom>
      <diagonal/>
    </border>
    <border>
      <left style="thin">
        <color rgb="FF555555"/>
      </left>
      <right style="thin">
        <color rgb="FF555555"/>
      </right>
      <top style="thin">
        <color rgb="FF555555"/>
      </top>
      <bottom/>
      <diagonal/>
    </border>
    <border>
      <left/>
      <right style="hair">
        <color rgb="FF555555"/>
      </right>
      <top style="thin">
        <color rgb="FF555555"/>
      </top>
      <bottom style="hair">
        <color rgb="FF555555"/>
      </bottom>
      <diagonal/>
    </border>
    <border>
      <left style="hair">
        <color rgb="FF555555"/>
      </left>
      <right style="hair">
        <color rgb="FF555555"/>
      </right>
      <top style="thin">
        <color rgb="FF555555"/>
      </top>
      <bottom style="hair">
        <color rgb="FF555555"/>
      </bottom>
      <diagonal/>
    </border>
    <border>
      <left style="hair">
        <color rgb="FF555555"/>
      </left>
      <right/>
      <top style="thin">
        <color rgb="FF555555"/>
      </top>
      <bottom style="hair">
        <color rgb="FF555555"/>
      </bottom>
      <diagonal/>
    </border>
    <border>
      <left/>
      <right style="hair">
        <color rgb="FF555555"/>
      </right>
      <top style="hair">
        <color rgb="FF555555"/>
      </top>
      <bottom style="hair">
        <color rgb="FF555555"/>
      </bottom>
      <diagonal/>
    </border>
    <border>
      <left style="hair">
        <color rgb="FF555555"/>
      </left>
      <right style="hair">
        <color rgb="FF555555"/>
      </right>
      <top style="hair">
        <color rgb="FF555555"/>
      </top>
      <bottom style="hair">
        <color rgb="FF555555"/>
      </bottom>
      <diagonal/>
    </border>
    <border>
      <left style="hair">
        <color rgb="FF555555"/>
      </left>
      <right/>
      <top style="hair">
        <color rgb="FF555555"/>
      </top>
      <bottom style="hair">
        <color rgb="FF555555"/>
      </bottom>
      <diagonal/>
    </border>
    <border>
      <left/>
      <right style="hair">
        <color rgb="FF555555"/>
      </right>
      <top style="hair">
        <color rgb="FF555555"/>
      </top>
      <bottom style="thin">
        <color rgb="FF555555"/>
      </bottom>
      <diagonal/>
    </border>
    <border>
      <left style="hair">
        <color rgb="FF555555"/>
      </left>
      <right style="hair">
        <color rgb="FF555555"/>
      </right>
      <top style="hair">
        <color rgb="FF555555"/>
      </top>
      <bottom style="thin">
        <color rgb="FF555555"/>
      </bottom>
      <diagonal/>
    </border>
    <border>
      <left style="hair">
        <color rgb="FF555555"/>
      </left>
      <right/>
      <top style="hair">
        <color rgb="FF555555"/>
      </top>
      <bottom style="thin">
        <color rgb="FF555555"/>
      </bottom>
      <diagonal/>
    </border>
    <border>
      <left style="double">
        <color auto="1"/>
      </left>
      <right style="thin">
        <color auto="1"/>
      </right>
      <top style="double">
        <color auto="1"/>
      </top>
      <bottom style="thin">
        <color auto="1"/>
      </bottom>
      <diagonal/>
    </border>
    <border>
      <left style="thin">
        <color auto="1"/>
      </left>
      <right style="thin">
        <color auto="1"/>
      </right>
      <top style="double">
        <color auto="1"/>
      </top>
      <bottom style="thin">
        <color auto="1"/>
      </bottom>
      <diagonal/>
    </border>
    <border>
      <left style="thin">
        <color auto="1"/>
      </left>
      <right style="double">
        <color auto="1"/>
      </right>
      <top style="double">
        <color auto="1"/>
      </top>
      <bottom style="thin">
        <color auto="1"/>
      </bottom>
      <diagonal/>
    </border>
    <border>
      <left style="double">
        <color auto="1"/>
      </left>
      <right style="thin">
        <color auto="1"/>
      </right>
      <top/>
      <bottom style="thin">
        <color auto="1"/>
      </bottom>
      <diagonal/>
    </border>
    <border>
      <left/>
      <right style="double">
        <color auto="1"/>
      </right>
      <top style="thin">
        <color auto="1"/>
      </top>
      <bottom style="thin">
        <color auto="1"/>
      </bottom>
      <diagonal/>
    </border>
    <border>
      <left style="double">
        <color auto="1"/>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double">
        <color auto="1"/>
      </left>
      <right style="thin">
        <color auto="1"/>
      </right>
      <top style="thin">
        <color auto="1"/>
      </top>
      <bottom style="double">
        <color auto="1"/>
      </bottom>
      <diagonal/>
    </border>
    <border>
      <left style="double">
        <color auto="1"/>
      </left>
      <right style="thin">
        <color auto="1"/>
      </right>
      <top/>
      <bottom style="double">
        <color auto="1"/>
      </bottom>
      <diagonal/>
    </border>
    <border>
      <left style="thin">
        <color auto="1"/>
      </left>
      <right/>
      <top/>
      <bottom style="double">
        <color auto="1"/>
      </bottom>
      <diagonal/>
    </border>
    <border>
      <left/>
      <right style="double">
        <color auto="1"/>
      </right>
      <top/>
      <bottom style="double">
        <color auto="1"/>
      </bottom>
      <diagonal/>
    </border>
    <border>
      <left/>
      <right/>
      <top style="dotted">
        <color auto="1"/>
      </top>
      <bottom style="dotted">
        <color auto="1"/>
      </bottom>
      <diagonal/>
    </border>
    <border>
      <left/>
      <right style="dotted">
        <color auto="1"/>
      </right>
      <top style="dotted">
        <color auto="1"/>
      </top>
      <bottom style="dotted">
        <color auto="1"/>
      </bottom>
      <diagonal/>
    </border>
    <border>
      <left style="dotted">
        <color auto="1"/>
      </left>
      <right style="dotted">
        <color auto="1"/>
      </right>
      <top style="dotted">
        <color auto="1"/>
      </top>
      <bottom style="dotted">
        <color auto="1"/>
      </bottom>
      <diagonal/>
    </border>
    <border>
      <left style="dotted">
        <color auto="1"/>
      </left>
      <right/>
      <top style="dotted">
        <color auto="1"/>
      </top>
      <bottom style="dotted">
        <color auto="1"/>
      </bottom>
      <diagonal/>
    </border>
    <border>
      <left/>
      <right style="dotted">
        <color auto="1"/>
      </right>
      <top style="dotted">
        <color auto="1"/>
      </top>
      <bottom style="medium">
        <color auto="1"/>
      </bottom>
      <diagonal/>
    </border>
    <border>
      <left style="dotted">
        <color auto="1"/>
      </left>
      <right style="dotted">
        <color auto="1"/>
      </right>
      <top style="dotted">
        <color auto="1"/>
      </top>
      <bottom style="medium">
        <color auto="1"/>
      </bottom>
      <diagonal/>
    </border>
    <border>
      <left style="dotted">
        <color auto="1"/>
      </left>
      <right/>
      <top style="dotted">
        <color auto="1"/>
      </top>
      <bottom style="medium">
        <color auto="1"/>
      </bottom>
      <diagonal/>
    </border>
    <border>
      <left style="dotted">
        <color auto="1"/>
      </left>
      <right style="dotted">
        <color auto="1"/>
      </right>
      <top/>
      <bottom style="dotted">
        <color auto="1"/>
      </bottom>
      <diagonal/>
    </border>
    <border>
      <left/>
      <right/>
      <top/>
      <bottom style="dotted">
        <color auto="1"/>
      </bottom>
      <diagonal/>
    </border>
    <border>
      <left/>
      <right/>
      <top style="dotted">
        <color auto="1"/>
      </top>
      <bottom style="medium">
        <color auto="1"/>
      </bottom>
      <diagonal/>
    </border>
    <border>
      <left/>
      <right style="dotted">
        <color auto="1"/>
      </right>
      <top style="medium">
        <color indexed="64"/>
      </top>
      <bottom style="dotted">
        <color auto="1"/>
      </bottom>
      <diagonal/>
    </border>
    <border>
      <left style="dotted">
        <color auto="1"/>
      </left>
      <right style="dotted">
        <color auto="1"/>
      </right>
      <top style="medium">
        <color indexed="64"/>
      </top>
      <bottom style="dotted">
        <color auto="1"/>
      </bottom>
      <diagonal/>
    </border>
    <border>
      <left style="dotted">
        <color auto="1"/>
      </left>
      <right/>
      <top style="medium">
        <color indexed="64"/>
      </top>
      <bottom style="dotted">
        <color auto="1"/>
      </bottom>
      <diagonal/>
    </border>
    <border>
      <left style="dotted">
        <color auto="1"/>
      </left>
      <right style="dotted">
        <color auto="1"/>
      </right>
      <top/>
      <bottom style="medium">
        <color indexed="64"/>
      </bottom>
      <diagonal/>
    </border>
    <border>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auto="1"/>
      </left>
      <right/>
      <top style="medium">
        <color auto="1"/>
      </top>
      <bottom style="hair">
        <color auto="1"/>
      </bottom>
      <diagonal/>
    </border>
    <border>
      <left style="thin">
        <color indexed="64"/>
      </left>
      <right style="thin">
        <color indexed="64"/>
      </right>
      <top style="medium">
        <color indexed="64"/>
      </top>
      <bottom style="medium">
        <color indexed="64"/>
      </bottom>
      <diagonal/>
    </border>
    <border>
      <left style="medium">
        <color theme="0" tint="-0.34998626667073579"/>
      </left>
      <right style="thin">
        <color theme="0" tint="-0.34998626667073579"/>
      </right>
      <top style="medium">
        <color theme="0" tint="-0.34998626667073579"/>
      </top>
      <bottom/>
      <diagonal/>
    </border>
    <border>
      <left style="thin">
        <color theme="0" tint="-0.34998626667073579"/>
      </left>
      <right style="thin">
        <color theme="0" tint="-0.34998626667073579"/>
      </right>
      <top style="medium">
        <color theme="0" tint="-0.34998626667073579"/>
      </top>
      <bottom/>
      <diagonal/>
    </border>
    <border>
      <left style="thin">
        <color theme="0" tint="-0.34998626667073579"/>
      </left>
      <right style="medium">
        <color theme="0" tint="-0.34998626667073579"/>
      </right>
      <top style="medium">
        <color theme="0" tint="-0.34998626667073579"/>
      </top>
      <bottom/>
      <diagonal/>
    </border>
    <border>
      <left style="medium">
        <color theme="0" tint="-0.34998626667073579"/>
      </left>
      <right style="medium">
        <color theme="0" tint="-0.34998626667073579"/>
      </right>
      <top style="medium">
        <color theme="0" tint="-0.34998626667073579"/>
      </top>
      <bottom style="medium">
        <color theme="0" tint="-0.34998626667073579"/>
      </bottom>
      <diagonal/>
    </border>
    <border>
      <left/>
      <right style="thin">
        <color theme="0" tint="-0.34998626667073579"/>
      </right>
      <top style="medium">
        <color theme="0" tint="-0.34998626667073579"/>
      </top>
      <bottom style="medium">
        <color theme="0" tint="-0.34998626667073579"/>
      </bottom>
      <diagonal/>
    </border>
    <border>
      <left style="thin">
        <color theme="0" tint="-0.34998626667073579"/>
      </left>
      <right style="medium">
        <color theme="0" tint="-0.34998626667073579"/>
      </right>
      <top style="medium">
        <color theme="0" tint="-0.34998626667073579"/>
      </top>
      <bottom style="medium">
        <color theme="0" tint="-0.34998626667073579"/>
      </bottom>
      <diagonal/>
    </border>
    <border>
      <left style="medium">
        <color theme="0" tint="-0.34998626667073579"/>
      </left>
      <right style="medium">
        <color theme="0" tint="-0.34998626667073579"/>
      </right>
      <top style="medium">
        <color theme="0" tint="-0.34998626667073579"/>
      </top>
      <bottom/>
      <diagonal/>
    </border>
    <border>
      <left/>
      <right style="thin">
        <color theme="0" tint="-0.34998626667073579"/>
      </right>
      <top style="medium">
        <color theme="0" tint="-0.34998626667073579"/>
      </top>
      <bottom/>
      <diagonal/>
    </border>
    <border>
      <left style="medium">
        <color theme="0" tint="-0.34998626667073579"/>
      </left>
      <right style="medium">
        <color theme="0" tint="-0.34998626667073579"/>
      </right>
      <top/>
      <bottom style="thin">
        <color theme="0" tint="-0.34998626667073579"/>
      </bottom>
      <diagonal/>
    </border>
    <border>
      <left style="thin">
        <color theme="0" tint="-0.34998626667073579"/>
      </left>
      <right style="medium">
        <color theme="0" tint="-0.34998626667073579"/>
      </right>
      <top style="thin">
        <color theme="0" tint="-0.34998626667073579"/>
      </top>
      <bottom style="thin">
        <color theme="0" tint="-0.34998626667073579"/>
      </bottom>
      <diagonal/>
    </border>
    <border>
      <left style="medium">
        <color theme="0" tint="-0.34998626667073579"/>
      </left>
      <right style="medium">
        <color theme="0" tint="-0.34998626667073579"/>
      </right>
      <top style="medium">
        <color theme="0" tint="-0.34998626667073579"/>
      </top>
      <bottom style="thin">
        <color theme="0" tint="-0.34998626667073579"/>
      </bottom>
      <diagonal/>
    </border>
    <border>
      <left/>
      <right style="thin">
        <color theme="0" tint="-0.34998626667073579"/>
      </right>
      <top style="medium">
        <color theme="0" tint="-0.34998626667073579"/>
      </top>
      <bottom style="thin">
        <color theme="0" tint="-0.34998626667073579"/>
      </bottom>
      <diagonal/>
    </border>
    <border>
      <left style="thin">
        <color theme="0" tint="-0.34998626667073579"/>
      </left>
      <right style="medium">
        <color theme="0" tint="-0.34998626667073579"/>
      </right>
      <top style="medium">
        <color theme="0" tint="-0.34998626667073579"/>
      </top>
      <bottom style="thin">
        <color theme="0" tint="-0.34998626667073579"/>
      </bottom>
      <diagonal/>
    </border>
    <border>
      <left/>
      <right style="medium">
        <color theme="0" tint="-0.34998626667073579"/>
      </right>
      <top style="medium">
        <color theme="0" tint="-0.34998626667073579"/>
      </top>
      <bottom/>
      <diagonal/>
    </border>
    <border>
      <left style="medium">
        <color theme="0" tint="-0.34998626667073579"/>
      </left>
      <right style="medium">
        <color theme="0" tint="-0.34998626667073579"/>
      </right>
      <top style="thin">
        <color theme="0" tint="-0.34998626667073579"/>
      </top>
      <bottom style="thin">
        <color theme="0" tint="-0.34998626667073579"/>
      </bottom>
      <diagonal/>
    </border>
    <border>
      <left style="medium">
        <color theme="0" tint="-0.34998626667073579"/>
      </left>
      <right style="medium">
        <color theme="0" tint="-0.34998626667073579"/>
      </right>
      <top/>
      <bottom/>
      <diagonal/>
    </border>
    <border>
      <left/>
      <right style="medium">
        <color theme="0" tint="-0.34998626667073579"/>
      </right>
      <top/>
      <bottom/>
      <diagonal/>
    </border>
    <border>
      <left style="medium">
        <color theme="0" tint="-0.34998626667073579"/>
      </left>
      <right style="medium">
        <color theme="0" tint="-0.34998626667073579"/>
      </right>
      <top style="thin">
        <color theme="0" tint="-0.34998626667073579"/>
      </top>
      <bottom/>
      <diagonal/>
    </border>
    <border>
      <left style="thin">
        <color theme="0" tint="-0.34998626667073579"/>
      </left>
      <right style="medium">
        <color theme="0" tint="-0.34998626667073579"/>
      </right>
      <top style="thin">
        <color theme="0" tint="-0.34998626667073579"/>
      </top>
      <bottom/>
      <diagonal/>
    </border>
    <border>
      <left style="medium">
        <color theme="0" tint="-0.34998626667073579"/>
      </left>
      <right style="medium">
        <color theme="0" tint="-0.34998626667073579"/>
      </right>
      <top style="thin">
        <color theme="0" tint="-0.34998626667073579"/>
      </top>
      <bottom style="medium">
        <color theme="0" tint="-0.34998626667073579"/>
      </bottom>
      <diagonal/>
    </border>
    <border>
      <left/>
      <right style="thin">
        <color theme="0" tint="-0.34998626667073579"/>
      </right>
      <top style="thin">
        <color theme="0" tint="-0.34998626667073579"/>
      </top>
      <bottom style="medium">
        <color theme="0" tint="-0.34998626667073579"/>
      </bottom>
      <diagonal/>
    </border>
    <border>
      <left style="thin">
        <color theme="0" tint="-0.34998626667073579"/>
      </left>
      <right style="medium">
        <color theme="0" tint="-0.34998626667073579"/>
      </right>
      <top style="thin">
        <color theme="0" tint="-0.34998626667073579"/>
      </top>
      <bottom style="medium">
        <color theme="0" tint="-0.34998626667073579"/>
      </bottom>
      <diagonal/>
    </border>
    <border>
      <left/>
      <right style="medium">
        <color theme="0" tint="-0.34998626667073579"/>
      </right>
      <top/>
      <bottom style="thin">
        <color theme="0" tint="-0.34998626667073579"/>
      </bottom>
      <diagonal/>
    </border>
    <border>
      <left style="medium">
        <color theme="0" tint="-0.34998626667073579"/>
      </left>
      <right style="thin">
        <color theme="0" tint="-0.34998626667073579"/>
      </right>
      <top/>
      <bottom style="medium">
        <color theme="0" tint="-0.34998626667073579"/>
      </bottom>
      <diagonal/>
    </border>
    <border>
      <left style="thin">
        <color theme="0" tint="-0.34998626667073579"/>
      </left>
      <right style="thin">
        <color theme="0" tint="-0.34998626667073579"/>
      </right>
      <top/>
      <bottom style="medium">
        <color theme="0" tint="-0.34998626667073579"/>
      </bottom>
      <diagonal/>
    </border>
    <border>
      <left style="thin">
        <color theme="0" tint="-0.34998626667073579"/>
      </left>
      <right style="medium">
        <color theme="0" tint="-0.34998626667073579"/>
      </right>
      <top/>
      <bottom style="medium">
        <color theme="0" tint="-0.34998626667073579"/>
      </bottom>
      <diagonal/>
    </border>
    <border>
      <left/>
      <right style="medium">
        <color theme="0" tint="-0.34998626667073579"/>
      </right>
      <top style="thin">
        <color theme="0" tint="-0.34998626667073579"/>
      </top>
      <bottom style="thin">
        <color theme="0" tint="-0.34998626667073579"/>
      </bottom>
      <diagonal/>
    </border>
    <border>
      <left style="thin">
        <color theme="0" tint="-0.34998626667073579"/>
      </left>
      <right style="medium">
        <color theme="0" tint="-0.34998626667073579"/>
      </right>
      <top/>
      <bottom style="thin">
        <color theme="0" tint="-0.34998626667073579"/>
      </bottom>
      <diagonal/>
    </border>
    <border>
      <left style="medium">
        <color theme="0" tint="-0.34998626667073579"/>
      </left>
      <right style="medium">
        <color theme="0" tint="-0.34998626667073579"/>
      </right>
      <top/>
      <bottom style="medium">
        <color theme="0" tint="-0.34998626667073579"/>
      </bottom>
      <diagonal/>
    </border>
    <border>
      <left/>
      <right style="medium">
        <color theme="0" tint="-0.34998626667073579"/>
      </right>
      <top style="thin">
        <color theme="0" tint="-0.34998626667073579"/>
      </top>
      <bottom style="medium">
        <color theme="0" tint="-0.34998626667073579"/>
      </bottom>
      <diagonal/>
    </border>
    <border>
      <left/>
      <right style="dotted">
        <color indexed="64"/>
      </right>
      <top style="medium">
        <color indexed="64"/>
      </top>
      <bottom style="medium">
        <color indexed="64"/>
      </bottom>
      <diagonal/>
    </border>
    <border>
      <left style="dotted">
        <color indexed="64"/>
      </left>
      <right/>
      <top style="medium">
        <color indexed="64"/>
      </top>
      <bottom style="medium">
        <color indexed="64"/>
      </bottom>
      <diagonal/>
    </border>
    <border>
      <left style="thin">
        <color theme="0"/>
      </left>
      <right/>
      <top/>
      <bottom/>
      <diagonal/>
    </border>
    <border>
      <left style="thin">
        <color theme="0"/>
      </left>
      <right/>
      <top style="thin">
        <color theme="0"/>
      </top>
      <bottom/>
      <diagonal/>
    </border>
    <border>
      <left style="thin">
        <color theme="0"/>
      </left>
      <right/>
      <top/>
      <bottom style="thin">
        <color theme="0"/>
      </bottom>
      <diagonal/>
    </border>
    <border>
      <left/>
      <right style="hair">
        <color theme="0" tint="-0.34998626667073579"/>
      </right>
      <top style="medium">
        <color theme="0" tint="-0.34998626667073579"/>
      </top>
      <bottom style="hair">
        <color theme="0" tint="-0.34998626667073579"/>
      </bottom>
      <diagonal/>
    </border>
    <border>
      <left style="hair">
        <color theme="0" tint="-0.34998626667073579"/>
      </left>
      <right style="hair">
        <color theme="0" tint="-0.34998626667073579"/>
      </right>
      <top style="medium">
        <color theme="0" tint="-0.34998626667073579"/>
      </top>
      <bottom style="hair">
        <color theme="0" tint="-0.34998626667073579"/>
      </bottom>
      <diagonal/>
    </border>
    <border>
      <left style="hair">
        <color theme="0" tint="-0.34998626667073579"/>
      </left>
      <right/>
      <top style="medium">
        <color theme="0" tint="-0.34998626667073579"/>
      </top>
      <bottom style="hair">
        <color theme="0" tint="-0.34998626667073579"/>
      </bottom>
      <diagonal/>
    </border>
    <border>
      <left/>
      <right style="hair">
        <color theme="0" tint="-0.34998626667073579"/>
      </right>
      <top style="hair">
        <color theme="0" tint="-0.34998626667073579"/>
      </top>
      <bottom style="hair">
        <color theme="0" tint="-0.34998626667073579"/>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style="hair">
        <color theme="0" tint="-0.34998626667073579"/>
      </left>
      <right/>
      <top style="hair">
        <color theme="0" tint="-0.34998626667073579"/>
      </top>
      <bottom style="hair">
        <color theme="0" tint="-0.34998626667073579"/>
      </bottom>
      <diagonal/>
    </border>
    <border>
      <left/>
      <right style="hair">
        <color theme="0" tint="-0.34998626667073579"/>
      </right>
      <top style="hair">
        <color theme="0" tint="-0.34998626667073579"/>
      </top>
      <bottom style="medium">
        <color theme="0" tint="-0.34998626667073579"/>
      </bottom>
      <diagonal/>
    </border>
    <border>
      <left style="hair">
        <color theme="0" tint="-0.34998626667073579"/>
      </left>
      <right style="hair">
        <color theme="0" tint="-0.34998626667073579"/>
      </right>
      <top style="hair">
        <color theme="0" tint="-0.34998626667073579"/>
      </top>
      <bottom style="medium">
        <color theme="0" tint="-0.34998626667073579"/>
      </bottom>
      <diagonal/>
    </border>
    <border>
      <left style="hair">
        <color theme="0" tint="-0.34998626667073579"/>
      </left>
      <right/>
      <top style="hair">
        <color theme="0" tint="-0.34998626667073579"/>
      </top>
      <bottom style="medium">
        <color theme="0" tint="-0.34998626667073579"/>
      </bottom>
      <diagonal/>
    </border>
    <border>
      <left/>
      <right style="thin">
        <color auto="1"/>
      </right>
      <top style="medium">
        <color auto="1"/>
      </top>
      <bottom/>
      <diagonal/>
    </border>
    <border>
      <left style="thin">
        <color auto="1"/>
      </left>
      <right style="thin">
        <color auto="1"/>
      </right>
      <top style="medium">
        <color auto="1"/>
      </top>
      <bottom/>
      <diagonal/>
    </border>
    <border>
      <left style="thin">
        <color indexed="64"/>
      </left>
      <right/>
      <top style="medium">
        <color auto="1"/>
      </top>
      <bottom/>
      <diagonal/>
    </border>
    <border>
      <left style="thin">
        <color auto="1"/>
      </left>
      <right style="thin">
        <color auto="1"/>
      </right>
      <top/>
      <bottom style="medium">
        <color auto="1"/>
      </bottom>
      <diagonal/>
    </border>
    <border>
      <left style="thin">
        <color indexed="64"/>
      </left>
      <right/>
      <top/>
      <bottom style="medium">
        <color auto="1"/>
      </bottom>
      <diagonal/>
    </border>
    <border>
      <left/>
      <right style="dotted">
        <color auto="1"/>
      </right>
      <top style="medium">
        <color indexed="64"/>
      </top>
      <bottom/>
      <diagonal/>
    </border>
    <border>
      <left style="dotted">
        <color auto="1"/>
      </left>
      <right style="dotted">
        <color auto="1"/>
      </right>
      <top style="medium">
        <color indexed="64"/>
      </top>
      <bottom/>
      <diagonal/>
    </border>
    <border>
      <left style="dotted">
        <color auto="1"/>
      </left>
      <right/>
      <top style="medium">
        <color indexed="64"/>
      </top>
      <bottom/>
      <diagonal/>
    </border>
    <border diagonalUp="1" diagonalDown="1">
      <left style="thin">
        <color auto="1"/>
      </left>
      <right style="thin">
        <color auto="1"/>
      </right>
      <top style="thin">
        <color auto="1"/>
      </top>
      <bottom style="thin">
        <color auto="1"/>
      </bottom>
      <diagonal style="thin">
        <color auto="1"/>
      </diagonal>
    </border>
    <border>
      <left/>
      <right style="hair">
        <color indexed="64"/>
      </right>
      <top style="medium">
        <color indexed="64"/>
      </top>
      <bottom/>
      <diagonal/>
    </border>
    <border>
      <left/>
      <right style="hair">
        <color indexed="64"/>
      </right>
      <top/>
      <bottom style="medium">
        <color indexed="64"/>
      </bottom>
      <diagonal/>
    </border>
    <border>
      <left/>
      <right style="hair">
        <color auto="1"/>
      </right>
      <top style="thin">
        <color auto="1"/>
      </top>
      <bottom style="hair">
        <color auto="1"/>
      </bottom>
      <diagonal/>
    </border>
    <border>
      <left style="hair">
        <color auto="1"/>
      </left>
      <right style="hair">
        <color auto="1"/>
      </right>
      <top style="thin">
        <color auto="1"/>
      </top>
      <bottom style="hair">
        <color auto="1"/>
      </bottom>
      <diagonal/>
    </border>
    <border>
      <left style="hair">
        <color auto="1"/>
      </left>
      <right/>
      <top style="thin">
        <color auto="1"/>
      </top>
      <bottom style="hair">
        <color auto="1"/>
      </bottom>
      <diagonal/>
    </border>
    <border>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style="hair">
        <color auto="1"/>
      </left>
      <right/>
      <top style="hair">
        <color auto="1"/>
      </top>
      <bottom style="thin">
        <color auto="1"/>
      </bottom>
      <diagonal/>
    </border>
    <border diagonalUp="1" diagonalDown="1">
      <left style="medium">
        <color indexed="64"/>
      </left>
      <right style="medium">
        <color indexed="64"/>
      </right>
      <top style="medium">
        <color indexed="64"/>
      </top>
      <bottom style="medium">
        <color indexed="64"/>
      </bottom>
      <diagonal style="slantDashDot">
        <color indexed="64"/>
      </diagonal>
    </border>
    <border>
      <left style="thin">
        <color theme="1"/>
      </left>
      <right style="thin">
        <color theme="1"/>
      </right>
      <top/>
      <bottom style="thin">
        <color theme="1"/>
      </bottom>
      <diagonal/>
    </border>
    <border>
      <left/>
      <right/>
      <top style="hair">
        <color indexed="64"/>
      </top>
      <bottom/>
      <diagonal/>
    </border>
    <border>
      <left/>
      <right/>
      <top style="thin">
        <color auto="1"/>
      </top>
      <bottom style="hair">
        <color auto="1"/>
      </bottom>
      <diagonal/>
    </border>
    <border>
      <left/>
      <right/>
      <top/>
      <bottom style="medium">
        <color theme="2"/>
      </bottom>
      <diagonal/>
    </border>
    <border>
      <left/>
      <right style="medium">
        <color theme="2"/>
      </right>
      <top style="medium">
        <color theme="2"/>
      </top>
      <bottom style="medium">
        <color theme="2"/>
      </bottom>
      <diagonal/>
    </border>
    <border>
      <left style="medium">
        <color theme="2"/>
      </left>
      <right style="medium">
        <color theme="2"/>
      </right>
      <top style="medium">
        <color theme="2"/>
      </top>
      <bottom style="medium">
        <color theme="2"/>
      </bottom>
      <diagonal/>
    </border>
    <border>
      <left style="medium">
        <color theme="2"/>
      </left>
      <right/>
      <top style="medium">
        <color theme="2"/>
      </top>
      <bottom style="medium">
        <color theme="2"/>
      </bottom>
      <diagonal/>
    </border>
    <border>
      <left style="medium">
        <color theme="2"/>
      </left>
      <right style="medium">
        <color theme="2"/>
      </right>
      <top style="medium">
        <color theme="2"/>
      </top>
      <bottom/>
      <diagonal/>
    </border>
    <border>
      <left/>
      <right style="medium">
        <color theme="2"/>
      </right>
      <top/>
      <bottom/>
      <diagonal/>
    </border>
    <border>
      <left/>
      <right style="thin">
        <color indexed="64"/>
      </right>
      <top/>
      <bottom style="medium">
        <color auto="1"/>
      </bottom>
      <diagonal/>
    </border>
    <border>
      <left style="medium">
        <color theme="2"/>
      </left>
      <right style="medium">
        <color theme="2"/>
      </right>
      <top/>
      <bottom/>
      <diagonal/>
    </border>
    <border>
      <left style="medium">
        <color theme="2"/>
      </left>
      <right/>
      <top/>
      <bottom/>
      <diagonal/>
    </border>
    <border>
      <left style="medium">
        <color theme="9" tint="-0.24994659260841701"/>
      </left>
      <right/>
      <top style="medium">
        <color theme="9" tint="-0.24994659260841701"/>
      </top>
      <bottom style="thin">
        <color theme="0" tint="-0.34998626667073579"/>
      </bottom>
      <diagonal/>
    </border>
    <border>
      <left/>
      <right/>
      <top style="medium">
        <color theme="9" tint="-0.24994659260841701"/>
      </top>
      <bottom style="thin">
        <color theme="0" tint="-0.34998626667073579"/>
      </bottom>
      <diagonal/>
    </border>
    <border>
      <left/>
      <right style="thin">
        <color theme="0" tint="-0.34998626667073579"/>
      </right>
      <top style="medium">
        <color theme="9" tint="-0.24994659260841701"/>
      </top>
      <bottom style="thin">
        <color theme="0" tint="-0.34998626667073579"/>
      </bottom>
      <diagonal/>
    </border>
    <border>
      <left/>
      <right style="medium">
        <color theme="9" tint="-0.24994659260841701"/>
      </right>
      <top style="medium">
        <color theme="9" tint="-0.24994659260841701"/>
      </top>
      <bottom style="thin">
        <color theme="0" tint="-0.34998626667073579"/>
      </bottom>
      <diagonal/>
    </border>
    <border>
      <left style="medium">
        <color theme="9" tint="-0.24994659260841701"/>
      </left>
      <right/>
      <top style="thin">
        <color theme="0" tint="-0.34998626667073579"/>
      </top>
      <bottom style="thin">
        <color theme="0" tint="-0.34998626667073579"/>
      </bottom>
      <diagonal/>
    </border>
    <border>
      <left/>
      <right style="medium">
        <color theme="9" tint="-0.24994659260841701"/>
      </right>
      <top style="thin">
        <color theme="0" tint="-0.34998626667073579"/>
      </top>
      <bottom style="thin">
        <color theme="0" tint="-0.34998626667073579"/>
      </bottom>
      <diagonal/>
    </border>
    <border>
      <left style="medium">
        <color theme="9" tint="-0.24994659260841701"/>
      </left>
      <right/>
      <top style="thin">
        <color theme="0" tint="-0.34998626667073579"/>
      </top>
      <bottom style="medium">
        <color theme="9" tint="-0.24994659260841701"/>
      </bottom>
      <diagonal/>
    </border>
    <border>
      <left/>
      <right/>
      <top style="thin">
        <color theme="0" tint="-0.34998626667073579"/>
      </top>
      <bottom style="medium">
        <color theme="9" tint="-0.24994659260841701"/>
      </bottom>
      <diagonal/>
    </border>
    <border>
      <left/>
      <right style="medium">
        <color theme="9" tint="-0.24994659260841701"/>
      </right>
      <top style="thin">
        <color theme="0" tint="-0.34998626667073579"/>
      </top>
      <bottom style="medium">
        <color theme="9" tint="-0.24994659260841701"/>
      </bottom>
      <diagonal/>
    </border>
    <border>
      <left style="hair">
        <color theme="0" tint="-0.34998626667073579"/>
      </left>
      <right/>
      <top/>
      <bottom style="thin">
        <color theme="0" tint="-0.34998626667073579"/>
      </bottom>
      <diagonal/>
    </border>
    <border>
      <left style="medium">
        <color theme="9" tint="-0.24994659260841701"/>
      </left>
      <right style="thin">
        <color theme="0" tint="-0.34998626667073579"/>
      </right>
      <top style="medium">
        <color theme="9" tint="-0.24994659260841701"/>
      </top>
      <bottom style="thin">
        <color theme="0" tint="-0.34998626667073579"/>
      </bottom>
      <diagonal/>
    </border>
    <border>
      <left style="thin">
        <color theme="0" tint="-0.34998626667073579"/>
      </left>
      <right style="thin">
        <color theme="0" tint="-0.34998626667073579"/>
      </right>
      <top style="medium">
        <color theme="9" tint="-0.24994659260841701"/>
      </top>
      <bottom style="thin">
        <color theme="0" tint="-0.34998626667073579"/>
      </bottom>
      <diagonal/>
    </border>
    <border>
      <left style="thin">
        <color theme="0" tint="-0.34998626667073579"/>
      </left>
      <right/>
      <top style="medium">
        <color theme="9" tint="-0.24994659260841701"/>
      </top>
      <bottom style="thin">
        <color theme="0" tint="-0.34998626667073579"/>
      </bottom>
      <diagonal/>
    </border>
    <border>
      <left style="medium">
        <color theme="9" tint="-0.24994659260841701"/>
      </left>
      <right style="thin">
        <color theme="0" tint="-0.34998626667073579"/>
      </right>
      <top style="thin">
        <color theme="0" tint="-0.34998626667073579"/>
      </top>
      <bottom style="medium">
        <color theme="9" tint="-0.24994659260841701"/>
      </bottom>
      <diagonal/>
    </border>
    <border>
      <left style="thin">
        <color theme="0" tint="-0.34998626667073579"/>
      </left>
      <right style="thin">
        <color theme="0" tint="-0.34998626667073579"/>
      </right>
      <top style="thin">
        <color theme="0" tint="-0.34998626667073579"/>
      </top>
      <bottom style="medium">
        <color theme="9" tint="-0.24994659260841701"/>
      </bottom>
      <diagonal/>
    </border>
    <border>
      <left style="thin">
        <color theme="0" tint="-0.34998626667073579"/>
      </left>
      <right/>
      <top style="thin">
        <color theme="0" tint="-0.34998626667073579"/>
      </top>
      <bottom style="medium">
        <color theme="9" tint="-0.24994659260841701"/>
      </bottom>
      <diagonal/>
    </border>
    <border>
      <left style="thin">
        <color theme="9" tint="-0.24994659260841701"/>
      </left>
      <right style="thin">
        <color theme="9" tint="-0.24994659260841701"/>
      </right>
      <top style="thin">
        <color theme="9" tint="-0.24994659260841701"/>
      </top>
      <bottom style="thin">
        <color theme="9" tint="-0.24994659260841701"/>
      </bottom>
      <diagonal/>
    </border>
    <border>
      <left/>
      <right/>
      <top style="thin">
        <color theme="9" tint="-0.24994659260841701"/>
      </top>
      <bottom/>
      <diagonal/>
    </border>
    <border>
      <left/>
      <right style="thin">
        <color theme="9" tint="-0.24994659260841701"/>
      </right>
      <top style="thin">
        <color theme="9" tint="-0.24994659260841701"/>
      </top>
      <bottom/>
      <diagonal/>
    </border>
    <border>
      <left/>
      <right/>
      <top/>
      <bottom style="thin">
        <color theme="9" tint="-0.24994659260841701"/>
      </bottom>
      <diagonal/>
    </border>
    <border>
      <left/>
      <right/>
      <top style="medium">
        <color theme="9" tint="-0.24994659260841701"/>
      </top>
      <bottom/>
      <diagonal/>
    </border>
    <border>
      <left/>
      <right/>
      <top/>
      <bottom style="medium">
        <color theme="9" tint="-0.24994659260841701"/>
      </bottom>
      <diagonal/>
    </border>
    <border>
      <left/>
      <right/>
      <top style="medium">
        <color theme="9" tint="-0.24994659260841701"/>
      </top>
      <bottom style="thin">
        <color theme="0"/>
      </bottom>
      <diagonal/>
    </border>
    <border>
      <left/>
      <right style="thin">
        <color theme="0"/>
      </right>
      <top style="medium">
        <color theme="9" tint="-0.24994659260841701"/>
      </top>
      <bottom style="thin">
        <color theme="0"/>
      </bottom>
      <diagonal/>
    </border>
    <border>
      <left style="thin">
        <color rgb="FF007DC5"/>
      </left>
      <right style="thin">
        <color rgb="FF007DC5"/>
      </right>
      <top style="medium">
        <color theme="9" tint="-0.24994659260841701"/>
      </top>
      <bottom style="thin">
        <color rgb="FF007DC5"/>
      </bottom>
      <diagonal/>
    </border>
    <border>
      <left/>
      <right style="thin">
        <color theme="0"/>
      </right>
      <top style="thin">
        <color theme="0"/>
      </top>
      <bottom style="medium">
        <color theme="9" tint="-0.24994659260841701"/>
      </bottom>
      <diagonal/>
    </border>
    <border>
      <left style="thin">
        <color theme="0"/>
      </left>
      <right style="thin">
        <color theme="0"/>
      </right>
      <top style="thin">
        <color theme="0"/>
      </top>
      <bottom style="medium">
        <color theme="9" tint="-0.24994659260841701"/>
      </bottom>
      <diagonal/>
    </border>
    <border>
      <left style="thin">
        <color theme="0"/>
      </left>
      <right/>
      <top style="thin">
        <color theme="9" tint="-0.24994659260841701"/>
      </top>
      <bottom style="thin">
        <color theme="9" tint="-0.24994659260841701"/>
      </bottom>
      <diagonal/>
    </border>
    <border>
      <left style="thin">
        <color theme="0"/>
      </left>
      <right style="thin">
        <color rgb="FF007DC5"/>
      </right>
      <top style="medium">
        <color theme="9" tint="-0.24994659260841701"/>
      </top>
      <bottom/>
      <diagonal/>
    </border>
    <border>
      <left style="thin">
        <color rgb="FF007DC5"/>
      </left>
      <right style="thin">
        <color rgb="FF007DC5"/>
      </right>
      <top style="medium">
        <color theme="9" tint="-0.24994659260841701"/>
      </top>
      <bottom/>
      <diagonal/>
    </border>
    <border>
      <left style="thin">
        <color rgb="FF007DC5"/>
      </left>
      <right/>
      <top style="medium">
        <color theme="9" tint="-0.24994659260841701"/>
      </top>
      <bottom/>
      <diagonal/>
    </border>
    <border>
      <left style="thin">
        <color theme="0"/>
      </left>
      <right style="thin">
        <color rgb="FF007DC5"/>
      </right>
      <top style="thin">
        <color theme="9" tint="-0.24994659260841701"/>
      </top>
      <bottom style="thin">
        <color theme="9" tint="-0.24994659260841701"/>
      </bottom>
      <diagonal/>
    </border>
    <border>
      <left style="thin">
        <color rgb="FF007DC5"/>
      </left>
      <right style="thin">
        <color rgb="FF007DC5"/>
      </right>
      <top style="thin">
        <color theme="9" tint="-0.24994659260841701"/>
      </top>
      <bottom style="thin">
        <color theme="9" tint="-0.24994659260841701"/>
      </bottom>
      <diagonal/>
    </border>
    <border>
      <left style="thin">
        <color rgb="FF007DC5"/>
      </left>
      <right/>
      <top style="thin">
        <color theme="9" tint="-0.24994659260841701"/>
      </top>
      <bottom style="thin">
        <color theme="9" tint="-0.24994659260841701"/>
      </bottom>
      <diagonal/>
    </border>
    <border>
      <left style="thin">
        <color theme="0"/>
      </left>
      <right style="thin">
        <color rgb="FF007DC5"/>
      </right>
      <top/>
      <bottom/>
      <diagonal/>
    </border>
    <border>
      <left style="thin">
        <color rgb="FF007DC5"/>
      </left>
      <right style="thin">
        <color rgb="FF007DC5"/>
      </right>
      <top/>
      <bottom/>
      <diagonal/>
    </border>
    <border>
      <left/>
      <right/>
      <top style="thin">
        <color theme="9" tint="-0.24994659260841701"/>
      </top>
      <bottom style="thin">
        <color theme="9" tint="-0.24994659260841701"/>
      </bottom>
      <diagonal/>
    </border>
    <border>
      <left/>
      <right style="thin">
        <color theme="0"/>
      </right>
      <top style="thin">
        <color theme="9" tint="-0.24994659260841701"/>
      </top>
      <bottom style="thin">
        <color theme="9" tint="-0.24994659260841701"/>
      </bottom>
      <diagonal/>
    </border>
    <border>
      <left style="thin">
        <color theme="0"/>
      </left>
      <right style="thin">
        <color rgb="FF007DC5"/>
      </right>
      <top/>
      <bottom style="medium">
        <color theme="9" tint="-0.24994659260841701"/>
      </bottom>
      <diagonal/>
    </border>
    <border>
      <left style="thin">
        <color rgb="FF007DC5"/>
      </left>
      <right style="thin">
        <color rgb="FF007DC5"/>
      </right>
      <top/>
      <bottom style="medium">
        <color theme="9" tint="-0.24994659260841701"/>
      </bottom>
      <diagonal/>
    </border>
    <border>
      <left style="thin">
        <color rgb="FF007DC5"/>
      </left>
      <right/>
      <top/>
      <bottom style="medium">
        <color theme="9" tint="-0.24994659260841701"/>
      </bottom>
      <diagonal/>
    </border>
    <border>
      <left/>
      <right style="thin">
        <color rgb="FF007DC5"/>
      </right>
      <top style="medium">
        <color theme="9" tint="-0.24994659260841701"/>
      </top>
      <bottom style="thin">
        <color theme="0"/>
      </bottom>
      <diagonal/>
    </border>
    <border>
      <left style="thin">
        <color rgb="FF007DC5"/>
      </left>
      <right style="thin">
        <color rgb="FF007DC5"/>
      </right>
      <top style="medium">
        <color theme="9" tint="-0.24994659260841701"/>
      </top>
      <bottom style="thin">
        <color theme="0"/>
      </bottom>
      <diagonal/>
    </border>
    <border>
      <left style="thin">
        <color rgb="FF007DC5"/>
      </left>
      <right style="thin">
        <color theme="0"/>
      </right>
      <top style="medium">
        <color theme="9" tint="-0.24994659260841701"/>
      </top>
      <bottom style="thin">
        <color theme="0"/>
      </bottom>
      <diagonal/>
    </border>
    <border>
      <left/>
      <right style="thin">
        <color rgb="FF007DC5"/>
      </right>
      <top style="medium">
        <color theme="9" tint="-0.24994659260841701"/>
      </top>
      <bottom/>
      <diagonal/>
    </border>
    <border>
      <left/>
      <right style="thin">
        <color rgb="FF007DC5"/>
      </right>
      <top/>
      <bottom style="medium">
        <color theme="9" tint="-0.24994659260841701"/>
      </bottom>
      <diagonal/>
    </border>
    <border>
      <left/>
      <right style="thin">
        <color rgb="FF007DC5"/>
      </right>
      <top style="thin">
        <color theme="9" tint="-0.24994659260841701"/>
      </top>
      <bottom style="thin">
        <color theme="9" tint="-0.24994659260841701"/>
      </bottom>
      <diagonal/>
    </border>
    <border>
      <left/>
      <right style="thin">
        <color theme="0"/>
      </right>
      <top style="medium">
        <color theme="9" tint="-0.24994659260841701"/>
      </top>
      <bottom/>
      <diagonal/>
    </border>
    <border>
      <left style="thin">
        <color theme="0"/>
      </left>
      <right style="thin">
        <color theme="9" tint="-0.24994659260841701"/>
      </right>
      <top style="thin">
        <color theme="9" tint="-0.24994659260841701"/>
      </top>
      <bottom style="thin">
        <color theme="9" tint="-0.24994659260841701"/>
      </bottom>
      <diagonal/>
    </border>
    <border>
      <left style="thin">
        <color theme="9" tint="-0.24994659260841701"/>
      </left>
      <right/>
      <top style="thin">
        <color theme="9" tint="-0.24994659260841701"/>
      </top>
      <bottom style="thin">
        <color theme="9" tint="-0.24994659260841701"/>
      </bottom>
      <diagonal/>
    </border>
    <border>
      <left style="thin">
        <color theme="0"/>
      </left>
      <right style="thin">
        <color theme="0"/>
      </right>
      <top style="medium">
        <color theme="9" tint="-0.24994659260841701"/>
      </top>
      <bottom style="thin">
        <color theme="0"/>
      </bottom>
      <diagonal/>
    </border>
    <border>
      <left style="thin">
        <color theme="0"/>
      </left>
      <right/>
      <top style="thin">
        <color theme="0"/>
      </top>
      <bottom style="medium">
        <color theme="9" tint="-0.24994659260841701"/>
      </bottom>
      <diagonal/>
    </border>
    <border>
      <left/>
      <right/>
      <top style="thin">
        <color theme="0"/>
      </top>
      <bottom style="medium">
        <color theme="9" tint="-0.24994659260841701"/>
      </bottom>
      <diagonal/>
    </border>
    <border>
      <left style="thin">
        <color rgb="FF0070C0"/>
      </left>
      <right style="thin">
        <color rgb="FF0070C0"/>
      </right>
      <top/>
      <bottom style="medium">
        <color theme="9" tint="-0.24994659260841701"/>
      </bottom>
      <diagonal/>
    </border>
    <border>
      <left style="thin">
        <color rgb="FF007DC5"/>
      </left>
      <right style="thin">
        <color rgb="FF007DC5"/>
      </right>
      <top style="thin">
        <color rgb="FF007DC5"/>
      </top>
      <bottom style="thin">
        <color theme="9" tint="-0.24994659260841701"/>
      </bottom>
      <diagonal/>
    </border>
    <border>
      <left style="thin">
        <color rgb="FF007DC5"/>
      </left>
      <right style="thin">
        <color theme="9" tint="-0.24994659260841701"/>
      </right>
      <top style="thin">
        <color theme="9" tint="-0.24994659260841701"/>
      </top>
      <bottom style="thin">
        <color theme="9" tint="-0.24994659260841701"/>
      </bottom>
      <diagonal/>
    </border>
    <border>
      <left style="thin">
        <color theme="0"/>
      </left>
      <right style="thin">
        <color rgb="FF007DC5"/>
      </right>
      <top style="medium">
        <color theme="9" tint="-0.24994659260841701"/>
      </top>
      <bottom style="thin">
        <color theme="9" tint="-0.24994659260841701"/>
      </bottom>
      <diagonal/>
    </border>
    <border>
      <left style="thin">
        <color rgb="FF007DC5"/>
      </left>
      <right style="thin">
        <color rgb="FF007DC5"/>
      </right>
      <top style="medium">
        <color theme="9" tint="-0.24994659260841701"/>
      </top>
      <bottom style="thin">
        <color theme="9" tint="-0.24994659260841701"/>
      </bottom>
      <diagonal/>
    </border>
    <border>
      <left style="thin">
        <color rgb="FF007DC5"/>
      </left>
      <right/>
      <top style="medium">
        <color theme="9" tint="-0.24994659260841701"/>
      </top>
      <bottom style="thin">
        <color theme="9" tint="-0.24994659260841701"/>
      </bottom>
      <diagonal/>
    </border>
    <border>
      <left style="thin">
        <color theme="0"/>
      </left>
      <right style="thin">
        <color rgb="FF007DC5"/>
      </right>
      <top style="thin">
        <color theme="9" tint="-0.24994659260841701"/>
      </top>
      <bottom style="medium">
        <color theme="9" tint="-0.24994659260841701"/>
      </bottom>
      <diagonal/>
    </border>
    <border>
      <left style="thin">
        <color rgb="FF007DC5"/>
      </left>
      <right style="thin">
        <color rgb="FF007DC5"/>
      </right>
      <top style="thin">
        <color theme="9" tint="-0.24994659260841701"/>
      </top>
      <bottom style="medium">
        <color theme="9" tint="-0.24994659260841701"/>
      </bottom>
      <diagonal/>
    </border>
    <border>
      <left style="thin">
        <color rgb="FF007DC5"/>
      </left>
      <right/>
      <top style="thin">
        <color theme="9" tint="-0.24994659260841701"/>
      </top>
      <bottom style="medium">
        <color theme="9" tint="-0.24994659260841701"/>
      </bottom>
      <diagonal/>
    </border>
    <border>
      <left style="thin">
        <color rgb="FF007DC5"/>
      </left>
      <right style="thin">
        <color theme="9" tint="-0.24994659260841701"/>
      </right>
      <top style="medium">
        <color theme="9" tint="-0.24994659260841701"/>
      </top>
      <bottom style="thin">
        <color theme="9" tint="-0.24994659260841701"/>
      </bottom>
      <diagonal/>
    </border>
    <border>
      <left style="thin">
        <color rgb="FF007DC5"/>
      </left>
      <right style="thin">
        <color theme="9" tint="-0.24994659260841701"/>
      </right>
      <top style="thin">
        <color theme="9" tint="-0.24994659260841701"/>
      </top>
      <bottom style="medium">
        <color theme="9" tint="-0.24994659260841701"/>
      </bottom>
      <diagonal/>
    </border>
    <border>
      <left style="thin">
        <color theme="9" tint="-0.24994659260841701"/>
      </left>
      <right style="thin">
        <color theme="9" tint="-0.24994659260841701"/>
      </right>
      <top style="medium">
        <color theme="9" tint="-0.24994659260841701"/>
      </top>
      <bottom style="thin">
        <color theme="9" tint="-0.24994659260841701"/>
      </bottom>
      <diagonal/>
    </border>
    <border>
      <left style="thin">
        <color theme="9" tint="-0.24994659260841701"/>
      </left>
      <right style="thin">
        <color theme="9" tint="-0.24994659260841701"/>
      </right>
      <top style="thin">
        <color theme="9" tint="-0.24994659260841701"/>
      </top>
      <bottom style="medium">
        <color theme="9" tint="-0.24994659260841701"/>
      </bottom>
      <diagonal/>
    </border>
    <border>
      <left style="thin">
        <color theme="9" tint="-0.24994659260841701"/>
      </left>
      <right/>
      <top style="medium">
        <color theme="9" tint="-0.24994659260841701"/>
      </top>
      <bottom style="thin">
        <color theme="9" tint="-0.24994659260841701"/>
      </bottom>
      <diagonal/>
    </border>
    <border>
      <left style="thin">
        <color theme="9" tint="-0.24994659260841701"/>
      </left>
      <right/>
      <top style="thin">
        <color theme="9" tint="-0.24994659260841701"/>
      </top>
      <bottom style="medium">
        <color theme="9" tint="-0.24994659260841701"/>
      </bottom>
      <diagonal/>
    </border>
    <border>
      <left style="thin">
        <color theme="0"/>
      </left>
      <right style="thin">
        <color theme="9" tint="-0.24994659260841701"/>
      </right>
      <top style="medium">
        <color theme="9" tint="-0.24994659260841701"/>
      </top>
      <bottom style="thin">
        <color theme="9" tint="-0.24994659260841701"/>
      </bottom>
      <diagonal/>
    </border>
    <border>
      <left style="thin">
        <color theme="0"/>
      </left>
      <right style="thin">
        <color theme="9" tint="-0.24994659260841701"/>
      </right>
      <top style="thin">
        <color theme="9" tint="-0.24994659260841701"/>
      </top>
      <bottom style="medium">
        <color theme="9" tint="-0.24994659260841701"/>
      </bottom>
      <diagonal/>
    </border>
    <border>
      <left/>
      <right style="thin">
        <color rgb="FF007DC5"/>
      </right>
      <top style="thin">
        <color theme="9" tint="-0.24994659260841701"/>
      </top>
      <bottom style="thin">
        <color theme="0"/>
      </bottom>
      <diagonal/>
    </border>
    <border>
      <left style="thin">
        <color rgb="FF007DC5"/>
      </left>
      <right style="thin">
        <color rgb="FF007DC5"/>
      </right>
      <top style="thin">
        <color theme="9" tint="-0.24994659260841701"/>
      </top>
      <bottom style="thin">
        <color theme="0"/>
      </bottom>
      <diagonal/>
    </border>
    <border>
      <left style="thin">
        <color theme="0"/>
      </left>
      <right/>
      <top/>
      <bottom style="thin">
        <color theme="9" tint="-0.24994659260841701"/>
      </bottom>
      <diagonal/>
    </border>
    <border>
      <left style="thin">
        <color theme="0"/>
      </left>
      <right style="thin">
        <color rgb="FF007DC5"/>
      </right>
      <top/>
      <bottom style="thin">
        <color theme="9" tint="-0.24994659260841701"/>
      </bottom>
      <diagonal/>
    </border>
    <border>
      <left style="thin">
        <color rgb="FF007DC5"/>
      </left>
      <right style="thin">
        <color rgb="FF007DC5"/>
      </right>
      <top/>
      <bottom style="thin">
        <color theme="9" tint="-0.24994659260841701"/>
      </bottom>
      <diagonal/>
    </border>
    <border>
      <left style="thin">
        <color rgb="FF007DC5"/>
      </left>
      <right/>
      <top/>
      <bottom style="thin">
        <color theme="9" tint="-0.24994659260841701"/>
      </bottom>
      <diagonal/>
    </border>
    <border>
      <left/>
      <right style="thin">
        <color rgb="FF007DC5"/>
      </right>
      <top style="thin">
        <color theme="0"/>
      </top>
      <bottom style="thin">
        <color theme="9" tint="-0.24994659260841701"/>
      </bottom>
      <diagonal/>
    </border>
    <border>
      <left style="thin">
        <color rgb="FF007DC5"/>
      </left>
      <right style="thin">
        <color rgb="FF007DC5"/>
      </right>
      <top style="thin">
        <color theme="0"/>
      </top>
      <bottom style="thin">
        <color theme="9" tint="-0.24994659260841701"/>
      </bottom>
      <diagonal/>
    </border>
    <border>
      <left style="thin">
        <color theme="0"/>
      </left>
      <right style="thin">
        <color rgb="FF007DC5"/>
      </right>
      <top style="thin">
        <color theme="9" tint="-0.24994659260841701"/>
      </top>
      <bottom/>
      <diagonal/>
    </border>
    <border>
      <left style="thin">
        <color rgb="FF007DC5"/>
      </left>
      <right style="thin">
        <color rgb="FF007DC5"/>
      </right>
      <top style="thin">
        <color theme="9" tint="-0.24994659260841701"/>
      </top>
      <bottom/>
      <diagonal/>
    </border>
    <border>
      <left style="thin">
        <color rgb="FF007DC5"/>
      </left>
      <right/>
      <top style="thin">
        <color theme="9" tint="-0.24994659260841701"/>
      </top>
      <bottom/>
      <diagonal/>
    </border>
    <border>
      <left style="thin">
        <color theme="0"/>
      </left>
      <right style="thin">
        <color rgb="FF007DC5"/>
      </right>
      <top style="thin">
        <color theme="9" tint="-0.24994659260841701"/>
      </top>
      <bottom style="thin">
        <color theme="0"/>
      </bottom>
      <diagonal/>
    </border>
    <border>
      <left style="thin">
        <color rgb="FF007DC5"/>
      </left>
      <right/>
      <top style="thin">
        <color theme="9" tint="-0.24994659260841701"/>
      </top>
      <bottom style="thin">
        <color theme="0"/>
      </bottom>
      <diagonal/>
    </border>
    <border>
      <left style="thin">
        <color rgb="FF007DC5"/>
      </left>
      <right style="thin">
        <color theme="9" tint="-0.24994659260841701"/>
      </right>
      <top style="thin">
        <color theme="0"/>
      </top>
      <bottom style="thin">
        <color theme="9" tint="-0.24994659260841701"/>
      </bottom>
      <diagonal/>
    </border>
    <border>
      <left style="thin">
        <color rgb="FF007DC5"/>
      </left>
      <right style="thin">
        <color theme="9" tint="-0.24994659260841701"/>
      </right>
      <top style="thin">
        <color theme="9" tint="-0.24994659260841701"/>
      </top>
      <bottom style="thin">
        <color theme="0"/>
      </bottom>
      <diagonal/>
    </border>
    <border>
      <left/>
      <right style="thin">
        <color theme="0"/>
      </right>
      <top/>
      <bottom style="medium">
        <color theme="9" tint="-0.24994659260841701"/>
      </bottom>
      <diagonal/>
    </border>
    <border>
      <left style="thin">
        <color theme="0"/>
      </left>
      <right/>
      <top/>
      <bottom style="medium">
        <color theme="9" tint="-0.24994659260841701"/>
      </bottom>
      <diagonal/>
    </border>
    <border>
      <left style="thin">
        <color theme="0"/>
      </left>
      <right/>
      <top style="medium">
        <color theme="9" tint="-0.24994659260841701"/>
      </top>
      <bottom style="thin">
        <color theme="9" tint="-0.24994659260841701"/>
      </bottom>
      <diagonal/>
    </border>
    <border>
      <left/>
      <right/>
      <top style="medium">
        <color theme="9" tint="-0.24994659260841701"/>
      </top>
      <bottom style="thin">
        <color theme="9" tint="-0.24994659260841701"/>
      </bottom>
      <diagonal/>
    </border>
    <border>
      <left style="thin">
        <color theme="0"/>
      </left>
      <right/>
      <top style="medium">
        <color theme="9" tint="-0.24994659260841701"/>
      </top>
      <bottom/>
      <diagonal/>
    </border>
    <border>
      <left style="thin">
        <color theme="0"/>
      </left>
      <right/>
      <top style="thin">
        <color theme="9" tint="-0.24994659260841701"/>
      </top>
      <bottom/>
      <diagonal/>
    </border>
    <border>
      <left/>
      <right style="thin">
        <color theme="9" tint="-0.24994659260841701"/>
      </right>
      <top/>
      <bottom style="thin">
        <color theme="0"/>
      </bottom>
      <diagonal/>
    </border>
    <border>
      <left style="thin">
        <color rgb="FF007DC5"/>
      </left>
      <right style="medium">
        <color theme="9" tint="-0.24994659260841701"/>
      </right>
      <top style="medium">
        <color theme="9" tint="-0.24994659260841701"/>
      </top>
      <bottom style="thin">
        <color theme="9" tint="-0.24994659260841701"/>
      </bottom>
      <diagonal/>
    </border>
    <border>
      <left style="thin">
        <color rgb="FF007DC5"/>
      </left>
      <right style="medium">
        <color theme="9" tint="-0.24994659260841701"/>
      </right>
      <top style="thin">
        <color theme="9" tint="-0.24994659260841701"/>
      </top>
      <bottom style="thin">
        <color theme="9" tint="-0.24994659260841701"/>
      </bottom>
      <diagonal/>
    </border>
    <border>
      <left style="thin">
        <color rgb="FF007DC5"/>
      </left>
      <right style="medium">
        <color theme="9" tint="-0.24994659260841701"/>
      </right>
      <top style="thin">
        <color theme="9" tint="-0.24994659260841701"/>
      </top>
      <bottom style="medium">
        <color theme="9" tint="-0.24994659260841701"/>
      </bottom>
      <diagonal/>
    </border>
    <border>
      <left style="thin">
        <color rgb="FF00B0F0"/>
      </left>
      <right style="thin">
        <color rgb="FF00B0F0"/>
      </right>
      <top/>
      <bottom style="medium">
        <color theme="9" tint="-0.24994659260841701"/>
      </bottom>
      <diagonal/>
    </border>
    <border>
      <left style="thin">
        <color rgb="FF00B0F0"/>
      </left>
      <right/>
      <top/>
      <bottom style="medium">
        <color theme="9" tint="-0.24994659260841701"/>
      </bottom>
      <diagonal/>
    </border>
    <border>
      <left/>
      <right style="thin">
        <color theme="9" tint="-0.24994659260841701"/>
      </right>
      <top style="thin">
        <color theme="9" tint="-0.24994659260841701"/>
      </top>
      <bottom style="thin">
        <color theme="9" tint="-0.24994659260841701"/>
      </bottom>
      <diagonal/>
    </border>
    <border>
      <left style="medium">
        <color theme="9" tint="-0.24994659260841701"/>
      </left>
      <right/>
      <top style="medium">
        <color rgb="FF007DC5"/>
      </top>
      <bottom/>
      <diagonal/>
    </border>
    <border>
      <left/>
      <right style="medium">
        <color theme="9" tint="-0.24994659260841701"/>
      </right>
      <top style="medium">
        <color rgb="FF007DC5"/>
      </top>
      <bottom/>
      <diagonal/>
    </border>
    <border>
      <left style="medium">
        <color theme="9" tint="-0.24994659260841701"/>
      </left>
      <right/>
      <top/>
      <bottom/>
      <diagonal/>
    </border>
    <border>
      <left/>
      <right style="medium">
        <color theme="9" tint="-0.24994659260841701"/>
      </right>
      <top/>
      <bottom/>
      <diagonal/>
    </border>
    <border>
      <left style="medium">
        <color theme="9" tint="-0.24994659260841701"/>
      </left>
      <right/>
      <top/>
      <bottom style="medium">
        <color theme="9" tint="-0.24994659260841701"/>
      </bottom>
      <diagonal/>
    </border>
    <border>
      <left/>
      <right style="medium">
        <color theme="9" tint="-0.24994659260841701"/>
      </right>
      <top/>
      <bottom style="medium">
        <color theme="9" tint="-0.24994659260841701"/>
      </bottom>
      <diagonal/>
    </border>
    <border>
      <left style="thin">
        <color rgb="FF0070C0"/>
      </left>
      <right/>
      <top/>
      <bottom style="medium">
        <color theme="9" tint="-0.24994659260841701"/>
      </bottom>
      <diagonal/>
    </border>
    <border>
      <left style="medium">
        <color theme="9" tint="-0.24994659260841701"/>
      </left>
      <right style="medium">
        <color theme="9" tint="-0.24994659260841701"/>
      </right>
      <top style="medium">
        <color theme="9" tint="-0.24994659260841701"/>
      </top>
      <bottom style="medium">
        <color theme="9" tint="-0.24994659260841701"/>
      </bottom>
      <diagonal/>
    </border>
    <border>
      <left/>
      <right/>
      <top style="medium">
        <color theme="9" tint="-0.24994659260841701"/>
      </top>
      <bottom style="medium">
        <color theme="9" tint="-0.24994659260841701"/>
      </bottom>
      <diagonal/>
    </border>
    <border>
      <left/>
      <right style="medium">
        <color theme="9" tint="-0.24994659260841701"/>
      </right>
      <top style="medium">
        <color theme="9" tint="-0.24994659260841701"/>
      </top>
      <bottom style="medium">
        <color theme="9" tint="-0.24994659260841701"/>
      </bottom>
      <diagonal/>
    </border>
    <border>
      <left style="thin">
        <color theme="3"/>
      </left>
      <right style="thin">
        <color theme="3"/>
      </right>
      <top style="thin">
        <color theme="3"/>
      </top>
      <bottom style="thin">
        <color theme="3"/>
      </bottom>
      <diagonal/>
    </border>
    <border>
      <left style="thin">
        <color theme="3"/>
      </left>
      <right style="thin">
        <color theme="3"/>
      </right>
      <top style="thin">
        <color theme="3"/>
      </top>
      <bottom style="thick">
        <color theme="9" tint="-0.24994659260841701"/>
      </bottom>
      <diagonal/>
    </border>
    <border>
      <left style="thin">
        <color theme="3"/>
      </left>
      <right style="thin">
        <color theme="3"/>
      </right>
      <top style="thin">
        <color theme="9" tint="-0.24994659260841701"/>
      </top>
      <bottom style="thin">
        <color theme="9" tint="-0.24994659260841701"/>
      </bottom>
      <diagonal/>
    </border>
    <border>
      <left style="thin">
        <color theme="3"/>
      </left>
      <right style="thin">
        <color theme="3"/>
      </right>
      <top style="thin">
        <color theme="9" tint="-0.24994659260841701"/>
      </top>
      <bottom style="thin">
        <color theme="3"/>
      </bottom>
      <diagonal/>
    </border>
    <border>
      <left style="thin">
        <color theme="3"/>
      </left>
      <right style="thin">
        <color theme="3"/>
      </right>
      <top style="thin">
        <color theme="3"/>
      </top>
      <bottom/>
      <diagonal/>
    </border>
    <border>
      <left style="thin">
        <color theme="0"/>
      </left>
      <right style="medium">
        <color theme="9" tint="-0.24994659260841701"/>
      </right>
      <top style="thin">
        <color theme="0"/>
      </top>
      <bottom style="thin">
        <color theme="0"/>
      </bottom>
      <diagonal/>
    </border>
    <border>
      <left style="medium">
        <color rgb="FF548235"/>
      </left>
      <right style="medium">
        <color rgb="FF548235"/>
      </right>
      <top style="medium">
        <color rgb="FF548235"/>
      </top>
      <bottom style="medium">
        <color rgb="FF548235"/>
      </bottom>
      <diagonal/>
    </border>
    <border>
      <left style="medium">
        <color rgb="FF548235"/>
      </left>
      <right/>
      <top style="medium">
        <color rgb="FF548235"/>
      </top>
      <bottom style="medium">
        <color rgb="FF548235"/>
      </bottom>
      <diagonal/>
    </border>
    <border>
      <left/>
      <right/>
      <top style="medium">
        <color rgb="FF548235"/>
      </top>
      <bottom style="medium">
        <color rgb="FF548235"/>
      </bottom>
      <diagonal/>
    </border>
    <border>
      <left/>
      <right style="medium">
        <color rgb="FF548235"/>
      </right>
      <top style="medium">
        <color rgb="FF548235"/>
      </top>
      <bottom style="medium">
        <color rgb="FF548235"/>
      </bottom>
      <diagonal/>
    </border>
    <border>
      <left style="hair">
        <color indexed="64"/>
      </left>
      <right style="hair">
        <color indexed="64"/>
      </right>
      <top style="hair">
        <color indexed="64"/>
      </top>
      <bottom/>
      <diagonal/>
    </border>
    <border>
      <left style="hair">
        <color auto="1"/>
      </left>
      <right/>
      <top style="hair">
        <color auto="1"/>
      </top>
      <bottom/>
      <diagonal/>
    </border>
    <border>
      <left style="hair">
        <color indexed="64"/>
      </left>
      <right style="hair">
        <color indexed="64"/>
      </right>
      <top/>
      <bottom style="hair">
        <color indexed="64"/>
      </bottom>
      <diagonal/>
    </border>
    <border>
      <left style="hair">
        <color auto="1"/>
      </left>
      <right/>
      <top/>
      <bottom style="hair">
        <color auto="1"/>
      </bottom>
      <diagonal/>
    </border>
    <border>
      <left/>
      <right style="hair">
        <color indexed="64"/>
      </right>
      <top style="medium">
        <color indexed="64"/>
      </top>
      <bottom style="medium">
        <color indexed="64"/>
      </bottom>
      <diagonal/>
    </border>
    <border>
      <left style="hair">
        <color auto="1"/>
      </left>
      <right/>
      <top style="medium">
        <color indexed="64"/>
      </top>
      <bottom style="medium">
        <color indexed="64"/>
      </bottom>
      <diagonal/>
    </border>
    <border>
      <left/>
      <right/>
      <top style="medium">
        <color indexed="64"/>
      </top>
      <bottom style="thin">
        <color theme="1" tint="0.499984740745262"/>
      </bottom>
      <diagonal/>
    </border>
    <border>
      <left/>
      <right style="thin">
        <color theme="0"/>
      </right>
      <top style="thin">
        <color theme="9" tint="-0.24994659260841701"/>
      </top>
      <bottom/>
      <diagonal/>
    </border>
    <border>
      <left/>
      <right style="thin">
        <color theme="0"/>
      </right>
      <top/>
      <bottom style="thin">
        <color theme="9" tint="-0.24994659260841701"/>
      </bottom>
      <diagonal/>
    </border>
    <border>
      <left style="thin">
        <color theme="0"/>
      </left>
      <right style="thin">
        <color theme="0"/>
      </right>
      <top/>
      <bottom style="thin">
        <color theme="9" tint="-0.24994659260841701"/>
      </bottom>
      <diagonal/>
    </border>
    <border>
      <left style="thin">
        <color theme="0"/>
      </left>
      <right style="medium">
        <color theme="9" tint="-0.24994659260841701"/>
      </right>
      <top/>
      <bottom style="thin">
        <color theme="0"/>
      </bottom>
      <diagonal/>
    </border>
  </borders>
  <cellStyleXfs count="13">
    <xf numFmtId="0" fontId="0" fillId="0" borderId="0">
      <alignment vertical="center"/>
    </xf>
    <xf numFmtId="41" fontId="1" fillId="0" borderId="0" applyFont="0" applyFill="0" applyBorder="0" applyAlignment="0" applyProtection="0">
      <alignment vertical="center"/>
    </xf>
    <xf numFmtId="9" fontId="1" fillId="0" borderId="0" applyFont="0" applyFill="0" applyBorder="0" applyAlignment="0" applyProtection="0">
      <alignment vertical="center"/>
    </xf>
    <xf numFmtId="191" fontId="26" fillId="8" borderId="0" applyNumberFormat="0" applyBorder="0" applyAlignment="0" applyProtection="0">
      <alignment vertical="center"/>
    </xf>
    <xf numFmtId="0" fontId="1" fillId="25" borderId="62" applyNumberFormat="0" applyFont="0" applyAlignment="0" applyProtection="0">
      <alignment vertical="center"/>
    </xf>
    <xf numFmtId="0" fontId="70" fillId="0" borderId="0">
      <alignment vertical="center"/>
    </xf>
    <xf numFmtId="41" fontId="75" fillId="0" borderId="0" applyFont="0" applyFill="0" applyBorder="0" applyAlignment="0" applyProtection="0"/>
    <xf numFmtId="0" fontId="78" fillId="0" borderId="0"/>
    <xf numFmtId="200" fontId="69" fillId="0" borderId="0">
      <alignment vertical="center"/>
    </xf>
    <xf numFmtId="201" fontId="69" fillId="0" borderId="0" applyFont="0" applyFill="0" applyBorder="0" applyAlignment="0" applyProtection="0">
      <alignment vertical="center"/>
    </xf>
    <xf numFmtId="200" fontId="110" fillId="0" borderId="0" applyNumberFormat="0" applyFill="0" applyBorder="0" applyAlignment="0" applyProtection="0"/>
    <xf numFmtId="42" fontId="1" fillId="0" borderId="0" applyFont="0" applyFill="0" applyBorder="0" applyAlignment="0" applyProtection="0">
      <alignment vertical="center"/>
    </xf>
    <xf numFmtId="0" fontId="184" fillId="0" borderId="0" applyNumberFormat="0" applyFill="0" applyBorder="0" applyAlignment="0" applyProtection="0">
      <alignment vertical="center"/>
    </xf>
  </cellStyleXfs>
  <cellXfs count="2583">
    <xf numFmtId="0" fontId="0" fillId="0" borderId="0" xfId="0">
      <alignment vertical="center"/>
    </xf>
    <xf numFmtId="0" fontId="5" fillId="0" borderId="0" xfId="0" applyFont="1" applyAlignment="1" applyProtection="1">
      <alignment horizontal="center" vertical="center"/>
      <protection locked="0"/>
    </xf>
    <xf numFmtId="0" fontId="5" fillId="4" borderId="10" xfId="0" applyFont="1" applyFill="1" applyBorder="1" applyAlignment="1" applyProtection="1">
      <alignment horizontal="center" vertical="center"/>
      <protection locked="0"/>
    </xf>
    <xf numFmtId="41" fontId="5" fillId="4" borderId="10" xfId="1" applyFont="1" applyFill="1" applyBorder="1" applyAlignment="1" applyProtection="1">
      <alignment horizontal="center" vertical="center"/>
      <protection locked="0"/>
    </xf>
    <xf numFmtId="9" fontId="5" fillId="4" borderId="10" xfId="2" applyFont="1" applyFill="1" applyBorder="1" applyAlignment="1" applyProtection="1">
      <alignment horizontal="center" vertical="center"/>
      <protection locked="0"/>
    </xf>
    <xf numFmtId="0" fontId="11" fillId="3" borderId="5" xfId="0" applyFont="1" applyFill="1" applyBorder="1" applyAlignment="1" applyProtection="1">
      <alignment horizontal="center" vertical="center"/>
      <protection locked="0"/>
    </xf>
    <xf numFmtId="41" fontId="11" fillId="3" borderId="5" xfId="1" applyFont="1" applyFill="1" applyBorder="1" applyAlignment="1" applyProtection="1">
      <alignment horizontal="center" vertical="center"/>
      <protection locked="0"/>
    </xf>
    <xf numFmtId="0" fontId="11" fillId="3" borderId="15" xfId="0" applyFont="1" applyFill="1" applyBorder="1" applyAlignment="1" applyProtection="1">
      <alignment horizontal="center" vertical="center"/>
      <protection locked="0"/>
    </xf>
    <xf numFmtId="183" fontId="11" fillId="3" borderId="5" xfId="0" applyNumberFormat="1" applyFont="1" applyFill="1" applyBorder="1" applyAlignment="1" applyProtection="1">
      <alignment horizontal="center" vertical="center"/>
      <protection locked="0"/>
    </xf>
    <xf numFmtId="0" fontId="14" fillId="4" borderId="5" xfId="1" applyNumberFormat="1" applyFont="1" applyFill="1" applyBorder="1" applyAlignment="1" applyProtection="1">
      <alignment horizontal="center" vertical="center"/>
      <protection locked="0"/>
    </xf>
    <xf numFmtId="41" fontId="9" fillId="4" borderId="4" xfId="1" applyFont="1" applyFill="1" applyBorder="1" applyAlignment="1" applyProtection="1">
      <alignment horizontal="center" vertical="center" shrinkToFit="1"/>
      <protection locked="0"/>
    </xf>
    <xf numFmtId="178" fontId="9" fillId="4" borderId="10" xfId="2" applyNumberFormat="1" applyFont="1" applyFill="1" applyBorder="1" applyAlignment="1" applyProtection="1">
      <alignment vertical="center" shrinkToFit="1"/>
      <protection locked="0"/>
    </xf>
    <xf numFmtId="0" fontId="14" fillId="4" borderId="8" xfId="0" applyFont="1" applyFill="1" applyBorder="1" applyAlignment="1" applyProtection="1">
      <alignment horizontal="center" vertical="center"/>
      <protection locked="0"/>
    </xf>
    <xf numFmtId="179" fontId="14" fillId="4" borderId="10" xfId="2" applyNumberFormat="1" applyFont="1" applyFill="1" applyBorder="1" applyAlignment="1" applyProtection="1">
      <alignment horizontal="center" vertical="center"/>
      <protection locked="0"/>
    </xf>
    <xf numFmtId="41" fontId="14" fillId="4" borderId="10" xfId="1" applyFont="1" applyFill="1" applyBorder="1" applyAlignment="1" applyProtection="1">
      <alignment horizontal="center" vertical="center"/>
      <protection locked="0"/>
    </xf>
    <xf numFmtId="41" fontId="14" fillId="4" borderId="0" xfId="1" applyFont="1" applyFill="1" applyBorder="1" applyAlignment="1" applyProtection="1">
      <alignment horizontal="center" vertical="center"/>
      <protection locked="0"/>
    </xf>
    <xf numFmtId="41" fontId="14" fillId="4" borderId="4" xfId="1" applyFont="1" applyFill="1" applyBorder="1" applyAlignment="1" applyProtection="1">
      <alignment horizontal="center" vertical="center"/>
      <protection locked="0"/>
    </xf>
    <xf numFmtId="41" fontId="9" fillId="4" borderId="10" xfId="1" applyFont="1" applyFill="1" applyBorder="1" applyAlignment="1" applyProtection="1">
      <alignment vertical="center" shrinkToFit="1"/>
      <protection locked="0"/>
    </xf>
    <xf numFmtId="0" fontId="14" fillId="4" borderId="2" xfId="0" applyFont="1" applyFill="1" applyBorder="1" applyAlignment="1" applyProtection="1">
      <alignment horizontal="center" vertical="center"/>
      <protection locked="0"/>
    </xf>
    <xf numFmtId="41" fontId="14" fillId="4" borderId="14" xfId="1" applyFont="1" applyFill="1" applyBorder="1" applyAlignment="1" applyProtection="1">
      <alignment horizontal="center" vertical="center"/>
      <protection locked="0"/>
    </xf>
    <xf numFmtId="41" fontId="9" fillId="4" borderId="14" xfId="1" applyFont="1" applyFill="1" applyBorder="1" applyAlignment="1" applyProtection="1">
      <alignment horizontal="center" vertical="center"/>
      <protection locked="0"/>
    </xf>
    <xf numFmtId="41" fontId="9" fillId="4" borderId="0" xfId="1" applyFont="1" applyFill="1" applyBorder="1" applyAlignment="1" applyProtection="1">
      <alignment horizontal="center" vertical="center"/>
      <protection locked="0"/>
    </xf>
    <xf numFmtId="0" fontId="14" fillId="4" borderId="12" xfId="0" applyFont="1" applyFill="1" applyBorder="1" applyAlignment="1" applyProtection="1">
      <alignment horizontal="center" vertical="center"/>
      <protection locked="0"/>
    </xf>
    <xf numFmtId="179" fontId="14" fillId="4" borderId="11" xfId="2" applyNumberFormat="1" applyFont="1" applyFill="1" applyBorder="1" applyAlignment="1" applyProtection="1">
      <alignment horizontal="center" vertical="center"/>
      <protection locked="0"/>
    </xf>
    <xf numFmtId="41" fontId="14" fillId="4" borderId="1" xfId="1" applyFont="1" applyFill="1" applyBorder="1" applyAlignment="1" applyProtection="1">
      <alignment horizontal="center" vertical="center"/>
      <protection locked="0"/>
    </xf>
    <xf numFmtId="41" fontId="9" fillId="4" borderId="1" xfId="1" applyFont="1" applyFill="1" applyBorder="1" applyAlignment="1" applyProtection="1">
      <alignment horizontal="center" vertical="center"/>
      <protection locked="0"/>
    </xf>
    <xf numFmtId="41" fontId="14" fillId="4" borderId="11" xfId="1" applyFont="1" applyFill="1" applyBorder="1" applyAlignment="1" applyProtection="1">
      <alignment horizontal="center" vertical="center"/>
      <protection locked="0"/>
    </xf>
    <xf numFmtId="41" fontId="9" fillId="4" borderId="11" xfId="1" applyFont="1" applyFill="1" applyBorder="1" applyAlignment="1" applyProtection="1">
      <alignment vertical="center" shrinkToFit="1"/>
      <protection locked="0"/>
    </xf>
    <xf numFmtId="0" fontId="11" fillId="3" borderId="0" xfId="0" applyFont="1" applyFill="1" applyAlignment="1" applyProtection="1">
      <alignment horizontal="center" vertical="center"/>
      <protection locked="0"/>
    </xf>
    <xf numFmtId="0" fontId="0" fillId="6" borderId="0" xfId="0" applyFill="1">
      <alignment vertical="center"/>
    </xf>
    <xf numFmtId="181" fontId="9" fillId="4" borderId="10" xfId="2" applyNumberFormat="1" applyFont="1" applyFill="1" applyBorder="1" applyAlignment="1" applyProtection="1">
      <alignment vertical="center" shrinkToFit="1"/>
      <protection locked="0"/>
    </xf>
    <xf numFmtId="41" fontId="20" fillId="10" borderId="5" xfId="1" applyFont="1" applyFill="1" applyBorder="1" applyAlignment="1" applyProtection="1">
      <alignment horizontal="center" vertical="center" shrinkToFit="1"/>
      <protection locked="0"/>
    </xf>
    <xf numFmtId="178" fontId="20" fillId="10" borderId="10" xfId="2" applyNumberFormat="1" applyFont="1" applyFill="1" applyBorder="1" applyAlignment="1" applyProtection="1">
      <alignment vertical="center" shrinkToFit="1"/>
      <protection locked="0"/>
    </xf>
    <xf numFmtId="41" fontId="20" fillId="10" borderId="10" xfId="1" applyFont="1" applyFill="1" applyBorder="1" applyAlignment="1" applyProtection="1">
      <alignment vertical="center" shrinkToFit="1"/>
      <protection locked="0"/>
    </xf>
    <xf numFmtId="41" fontId="20" fillId="10" borderId="11" xfId="1" applyFont="1" applyFill="1" applyBorder="1" applyAlignment="1" applyProtection="1">
      <alignment vertical="center" shrinkToFit="1"/>
      <protection locked="0"/>
    </xf>
    <xf numFmtId="0" fontId="25" fillId="0" borderId="0" xfId="0" applyFont="1" applyProtection="1">
      <alignment vertical="center"/>
      <protection hidden="1"/>
    </xf>
    <xf numFmtId="0" fontId="26" fillId="0" borderId="0" xfId="0" applyFont="1">
      <alignment vertical="center"/>
    </xf>
    <xf numFmtId="0" fontId="35" fillId="0" borderId="0" xfId="0" applyFont="1">
      <alignment vertical="center"/>
    </xf>
    <xf numFmtId="0" fontId="35" fillId="6" borderId="0" xfId="0" applyFont="1" applyFill="1" applyAlignment="1">
      <alignment horizontal="center" vertical="center"/>
    </xf>
    <xf numFmtId="0" fontId="35" fillId="6" borderId="0" xfId="0" applyFont="1" applyFill="1">
      <alignment vertical="center"/>
    </xf>
    <xf numFmtId="0" fontId="35" fillId="5" borderId="0" xfId="0" applyFont="1" applyFill="1">
      <alignment vertical="center"/>
    </xf>
    <xf numFmtId="187" fontId="26" fillId="0" borderId="0" xfId="0" applyNumberFormat="1" applyFont="1">
      <alignment vertical="center"/>
    </xf>
    <xf numFmtId="0" fontId="26" fillId="0" borderId="0" xfId="0" applyFont="1" applyProtection="1">
      <alignment vertical="center"/>
      <protection hidden="1"/>
    </xf>
    <xf numFmtId="0" fontId="26" fillId="0" borderId="25" xfId="0" applyFont="1" applyBorder="1">
      <alignment vertical="center"/>
    </xf>
    <xf numFmtId="0" fontId="33" fillId="0" borderId="25" xfId="0" applyFont="1" applyBorder="1">
      <alignment vertical="center"/>
    </xf>
    <xf numFmtId="0" fontId="26" fillId="0" borderId="0" xfId="0" applyFont="1" applyAlignment="1" applyProtection="1">
      <alignment horizontal="center" vertical="center"/>
      <protection hidden="1"/>
    </xf>
    <xf numFmtId="0" fontId="26" fillId="0" borderId="0" xfId="0" applyFont="1" applyAlignment="1">
      <alignment horizontal="center" vertical="center"/>
    </xf>
    <xf numFmtId="0" fontId="33" fillId="0" borderId="0" xfId="0" applyFont="1">
      <alignment vertical="center"/>
    </xf>
    <xf numFmtId="10" fontId="26" fillId="0" borderId="0" xfId="0" applyNumberFormat="1" applyFont="1">
      <alignment vertical="center"/>
    </xf>
    <xf numFmtId="187" fontId="33" fillId="0" borderId="31" xfId="0" applyNumberFormat="1" applyFont="1" applyBorder="1">
      <alignment vertical="center"/>
    </xf>
    <xf numFmtId="187" fontId="33" fillId="0" borderId="0" xfId="0" applyNumberFormat="1" applyFont="1">
      <alignment vertical="center"/>
    </xf>
    <xf numFmtId="0" fontId="33" fillId="0" borderId="0" xfId="0" applyFont="1" applyAlignment="1">
      <alignment horizontal="left" vertical="center"/>
    </xf>
    <xf numFmtId="0" fontId="50" fillId="0" borderId="0" xfId="0" applyFont="1">
      <alignment vertical="center"/>
    </xf>
    <xf numFmtId="0" fontId="50" fillId="0" borderId="0" xfId="0" applyFont="1" applyProtection="1">
      <alignment vertical="center"/>
      <protection hidden="1"/>
    </xf>
    <xf numFmtId="179" fontId="26" fillId="0" borderId="0" xfId="0" applyNumberFormat="1" applyFont="1">
      <alignment vertical="center"/>
    </xf>
    <xf numFmtId="192" fontId="26" fillId="0" borderId="0" xfId="0" applyNumberFormat="1" applyFont="1">
      <alignment vertical="center"/>
    </xf>
    <xf numFmtId="0" fontId="26" fillId="0" borderId="0" xfId="0" applyFont="1" applyAlignment="1">
      <alignment horizontal="right" vertical="center"/>
    </xf>
    <xf numFmtId="0" fontId="51" fillId="0" borderId="0" xfId="0" applyFont="1" applyProtection="1">
      <alignment vertical="center"/>
      <protection hidden="1"/>
    </xf>
    <xf numFmtId="0" fontId="50" fillId="0" borderId="0" xfId="0" applyFont="1" applyAlignment="1" applyProtection="1">
      <alignment horizontal="center" vertical="center"/>
      <protection hidden="1"/>
    </xf>
    <xf numFmtId="0" fontId="50" fillId="0" borderId="0" xfId="0" applyFont="1" applyAlignment="1">
      <alignment horizontal="center" vertical="center"/>
    </xf>
    <xf numFmtId="0" fontId="26" fillId="0" borderId="0" xfId="0" applyFont="1" applyAlignment="1" applyProtection="1">
      <alignment horizontal="right" vertical="center"/>
      <protection hidden="1"/>
    </xf>
    <xf numFmtId="0" fontId="26" fillId="16" borderId="0" xfId="0" applyFont="1" applyFill="1">
      <alignment vertical="center"/>
    </xf>
    <xf numFmtId="0" fontId="26" fillId="0" borderId="0" xfId="0" applyFont="1" applyAlignment="1">
      <alignment horizontal="center" vertical="center" wrapText="1"/>
    </xf>
    <xf numFmtId="0" fontId="55" fillId="9" borderId="10" xfId="0" applyFont="1" applyFill="1" applyBorder="1" applyAlignment="1" applyProtection="1">
      <alignment horizontal="center" vertical="center"/>
      <protection locked="0"/>
    </xf>
    <xf numFmtId="41" fontId="55" fillId="9" borderId="10" xfId="1" applyFont="1" applyFill="1" applyBorder="1" applyAlignment="1" applyProtection="1">
      <alignment horizontal="center" vertical="center"/>
      <protection locked="0"/>
    </xf>
    <xf numFmtId="9" fontId="55" fillId="9" borderId="10" xfId="2" applyFont="1" applyFill="1" applyBorder="1" applyAlignment="1" applyProtection="1">
      <alignment horizontal="center" vertical="center"/>
      <protection locked="0"/>
    </xf>
    <xf numFmtId="0" fontId="45" fillId="0" borderId="0" xfId="0" applyFont="1">
      <alignment vertical="center"/>
    </xf>
    <xf numFmtId="0" fontId="56" fillId="0" borderId="0" xfId="0" applyFont="1" applyAlignment="1">
      <alignment horizontal="right"/>
    </xf>
    <xf numFmtId="0" fontId="33" fillId="0" borderId="0" xfId="0" applyFont="1" applyAlignment="1">
      <alignment horizontal="left" vertical="center" indent="1"/>
    </xf>
    <xf numFmtId="0" fontId="26" fillId="0" borderId="0" xfId="0" applyFont="1" applyAlignment="1">
      <alignment horizontal="left" vertical="center" indent="1"/>
    </xf>
    <xf numFmtId="186" fontId="33" fillId="0" borderId="0" xfId="0" applyNumberFormat="1" applyFont="1" applyAlignment="1">
      <alignment horizontal="left" vertical="center"/>
    </xf>
    <xf numFmtId="187" fontId="26" fillId="0" borderId="0" xfId="0" applyNumberFormat="1" applyFont="1" applyAlignment="1">
      <alignment horizontal="left" vertical="center" indent="1"/>
    </xf>
    <xf numFmtId="185" fontId="45" fillId="0" borderId="0" xfId="0" applyNumberFormat="1" applyFont="1" applyAlignment="1">
      <alignment horizontal="center" vertical="center"/>
    </xf>
    <xf numFmtId="188" fontId="45" fillId="0" borderId="0" xfId="0" applyNumberFormat="1" applyFont="1" applyAlignment="1">
      <alignment horizontal="center" vertical="center"/>
    </xf>
    <xf numFmtId="187" fontId="44" fillId="0" borderId="0" xfId="1" applyNumberFormat="1" applyFont="1" applyBorder="1" applyAlignment="1">
      <alignment horizontal="right" vertical="center" indent="1"/>
    </xf>
    <xf numFmtId="187" fontId="26" fillId="0" borderId="0" xfId="1" applyNumberFormat="1" applyFont="1" applyBorder="1" applyAlignment="1">
      <alignment horizontal="right" vertical="center" indent="1"/>
    </xf>
    <xf numFmtId="187" fontId="26" fillId="0" borderId="0" xfId="0" applyNumberFormat="1" applyFont="1" applyAlignment="1">
      <alignment horizontal="right" vertical="center" indent="1"/>
    </xf>
    <xf numFmtId="187" fontId="44" fillId="0" borderId="0" xfId="1" applyNumberFormat="1" applyFont="1" applyFill="1" applyBorder="1" applyAlignment="1">
      <alignment horizontal="right" vertical="center" indent="1"/>
    </xf>
    <xf numFmtId="187" fontId="26" fillId="0" borderId="0" xfId="1" applyNumberFormat="1" applyFont="1" applyFill="1" applyBorder="1" applyAlignment="1">
      <alignment horizontal="right" vertical="center" indent="1"/>
    </xf>
    <xf numFmtId="187" fontId="49" fillId="0" borderId="0" xfId="0" applyNumberFormat="1" applyFont="1" applyAlignment="1">
      <alignment horizontal="center" vertical="center"/>
    </xf>
    <xf numFmtId="0" fontId="33" fillId="0" borderId="0" xfId="0" applyFont="1" applyAlignment="1">
      <alignment horizontal="center" vertical="center"/>
    </xf>
    <xf numFmtId="0" fontId="57" fillId="0" borderId="0" xfId="0" applyFont="1" applyAlignment="1">
      <alignment horizontal="right"/>
    </xf>
    <xf numFmtId="0" fontId="33" fillId="0" borderId="33" xfId="0" applyFont="1" applyBorder="1" applyAlignment="1">
      <alignment horizontal="distributed" vertical="center" indent="1"/>
    </xf>
    <xf numFmtId="187" fontId="33" fillId="0" borderId="33" xfId="0" applyNumberFormat="1" applyFont="1" applyBorder="1" applyAlignment="1">
      <alignment horizontal="right" vertical="center"/>
    </xf>
    <xf numFmtId="0" fontId="33" fillId="0" borderId="33" xfId="0" applyFont="1" applyBorder="1">
      <alignment vertical="center"/>
    </xf>
    <xf numFmtId="0" fontId="47" fillId="0" borderId="33" xfId="0" applyFont="1" applyBorder="1" applyAlignment="1">
      <alignment horizontal="distributed" vertical="center" indent="1"/>
    </xf>
    <xf numFmtId="187" fontId="47" fillId="0" borderId="33" xfId="0" applyNumberFormat="1" applyFont="1" applyBorder="1" applyAlignment="1">
      <alignment horizontal="right" vertical="center" shrinkToFit="1"/>
    </xf>
    <xf numFmtId="0" fontId="37" fillId="0" borderId="33" xfId="0" applyFont="1" applyBorder="1" applyAlignment="1">
      <alignment horizontal="center" vertical="center"/>
    </xf>
    <xf numFmtId="0" fontId="30" fillId="0" borderId="0" xfId="0" applyFont="1">
      <alignment vertical="center"/>
    </xf>
    <xf numFmtId="0" fontId="37" fillId="0" borderId="31" xfId="0" applyFont="1" applyBorder="1">
      <alignment vertical="center"/>
    </xf>
    <xf numFmtId="0" fontId="60" fillId="0" borderId="0" xfId="0" applyFont="1" applyAlignment="1">
      <alignment horizontal="right"/>
    </xf>
    <xf numFmtId="0" fontId="20" fillId="4" borderId="4" xfId="1" applyNumberFormat="1" applyFont="1" applyFill="1" applyBorder="1" applyAlignment="1" applyProtection="1">
      <alignment horizontal="center" vertical="center" shrinkToFit="1"/>
      <protection locked="0"/>
    </xf>
    <xf numFmtId="41" fontId="20" fillId="4" borderId="10" xfId="1" applyFont="1" applyFill="1" applyBorder="1" applyAlignment="1" applyProtection="1">
      <alignment horizontal="center" vertical="center" shrinkToFit="1"/>
      <protection locked="0"/>
    </xf>
    <xf numFmtId="0" fontId="20" fillId="4" borderId="5" xfId="0" applyFont="1" applyFill="1" applyBorder="1" applyAlignment="1" applyProtection="1">
      <alignment horizontal="left" vertical="center" indent="1" shrinkToFit="1"/>
      <protection locked="0"/>
    </xf>
    <xf numFmtId="0" fontId="20" fillId="4" borderId="10" xfId="0" applyFont="1" applyFill="1" applyBorder="1" applyAlignment="1" applyProtection="1">
      <alignment horizontal="left" vertical="center" indent="1" shrinkToFit="1"/>
      <protection locked="0"/>
    </xf>
    <xf numFmtId="0" fontId="20" fillId="4" borderId="11" xfId="0" applyFont="1" applyFill="1" applyBorder="1" applyAlignment="1" applyProtection="1">
      <alignment horizontal="left" vertical="center" indent="1" shrinkToFit="1"/>
      <protection locked="0"/>
    </xf>
    <xf numFmtId="0" fontId="21" fillId="4" borderId="5" xfId="1" applyNumberFormat="1" applyFont="1" applyFill="1" applyBorder="1" applyAlignment="1" applyProtection="1">
      <alignment horizontal="center" vertical="center"/>
      <protection locked="0"/>
    </xf>
    <xf numFmtId="0" fontId="21" fillId="4" borderId="15" xfId="1" applyNumberFormat="1" applyFont="1" applyFill="1" applyBorder="1" applyAlignment="1" applyProtection="1">
      <alignment vertical="center"/>
      <protection locked="0"/>
    </xf>
    <xf numFmtId="0" fontId="21" fillId="4" borderId="6" xfId="1" applyNumberFormat="1" applyFont="1" applyFill="1" applyBorder="1" applyAlignment="1" applyProtection="1">
      <alignment vertical="center"/>
      <protection locked="0"/>
    </xf>
    <xf numFmtId="0" fontId="21" fillId="4" borderId="7" xfId="1" applyNumberFormat="1" applyFont="1" applyFill="1" applyBorder="1" applyAlignment="1" applyProtection="1">
      <alignment vertical="center"/>
      <protection locked="0"/>
    </xf>
    <xf numFmtId="0" fontId="22" fillId="4" borderId="5" xfId="1" applyNumberFormat="1" applyFont="1" applyFill="1" applyBorder="1" applyAlignment="1" applyProtection="1">
      <alignment horizontal="center" vertical="center" shrinkToFit="1"/>
      <protection locked="0"/>
    </xf>
    <xf numFmtId="0" fontId="21" fillId="4" borderId="10" xfId="0" applyFont="1" applyFill="1" applyBorder="1" applyAlignment="1" applyProtection="1">
      <alignment horizontal="center" vertical="center"/>
      <protection locked="0"/>
    </xf>
    <xf numFmtId="179" fontId="21" fillId="4" borderId="10" xfId="2" applyNumberFormat="1" applyFont="1" applyFill="1" applyBorder="1" applyAlignment="1" applyProtection="1">
      <alignment horizontal="center" vertical="center"/>
      <protection locked="0"/>
    </xf>
    <xf numFmtId="41" fontId="21" fillId="4" borderId="10" xfId="1" applyFont="1" applyFill="1" applyBorder="1" applyAlignment="1" applyProtection="1">
      <alignment horizontal="center" vertical="center"/>
      <protection locked="0"/>
    </xf>
    <xf numFmtId="41" fontId="22" fillId="4" borderId="10" xfId="1" applyFont="1" applyFill="1" applyBorder="1" applyAlignment="1" applyProtection="1">
      <alignment horizontal="center" vertical="center" shrinkToFit="1"/>
      <protection locked="0"/>
    </xf>
    <xf numFmtId="41" fontId="22" fillId="4" borderId="10" xfId="1" applyFont="1" applyFill="1" applyBorder="1" applyAlignment="1" applyProtection="1">
      <alignment horizontal="center" vertical="center"/>
      <protection locked="0"/>
    </xf>
    <xf numFmtId="41" fontId="21" fillId="4" borderId="4" xfId="1" applyFont="1" applyFill="1" applyBorder="1" applyAlignment="1" applyProtection="1">
      <alignment horizontal="center" vertical="center"/>
      <protection locked="0"/>
    </xf>
    <xf numFmtId="0" fontId="21" fillId="4" borderId="4" xfId="0" applyFont="1" applyFill="1" applyBorder="1" applyAlignment="1" applyProtection="1">
      <alignment horizontal="center" vertical="center"/>
      <protection locked="0"/>
    </xf>
    <xf numFmtId="179" fontId="21" fillId="4" borderId="4" xfId="2" applyNumberFormat="1" applyFont="1" applyFill="1" applyBorder="1" applyAlignment="1" applyProtection="1">
      <alignment horizontal="center" vertical="center"/>
      <protection locked="0"/>
    </xf>
    <xf numFmtId="41" fontId="22" fillId="4" borderId="4" xfId="1" applyFont="1" applyFill="1" applyBorder="1" applyAlignment="1" applyProtection="1">
      <alignment horizontal="center" vertical="center" shrinkToFit="1"/>
      <protection locked="0"/>
    </xf>
    <xf numFmtId="41" fontId="20" fillId="4" borderId="4" xfId="1" applyFont="1" applyFill="1" applyBorder="1" applyAlignment="1" applyProtection="1">
      <alignment horizontal="center" vertical="center" shrinkToFit="1"/>
      <protection locked="0"/>
    </xf>
    <xf numFmtId="41" fontId="22" fillId="4" borderId="4" xfId="1" applyFont="1" applyFill="1" applyBorder="1" applyAlignment="1" applyProtection="1">
      <alignment horizontal="center" vertical="center"/>
      <protection locked="0"/>
    </xf>
    <xf numFmtId="0" fontId="21" fillId="4" borderId="11" xfId="0" applyFont="1" applyFill="1" applyBorder="1" applyAlignment="1" applyProtection="1">
      <alignment horizontal="center" vertical="center"/>
      <protection locked="0"/>
    </xf>
    <xf numFmtId="179" fontId="21" fillId="4" borderId="11" xfId="2" applyNumberFormat="1" applyFont="1" applyFill="1" applyBorder="1" applyAlignment="1" applyProtection="1">
      <alignment horizontal="center" vertical="center"/>
      <protection locked="0"/>
    </xf>
    <xf numFmtId="41" fontId="21" fillId="4" borderId="11" xfId="1" applyFont="1" applyFill="1" applyBorder="1" applyAlignment="1" applyProtection="1">
      <alignment horizontal="center" vertical="center"/>
      <protection locked="0"/>
    </xf>
    <xf numFmtId="41" fontId="22" fillId="4" borderId="11" xfId="1" applyFont="1" applyFill="1" applyBorder="1" applyAlignment="1" applyProtection="1">
      <alignment horizontal="center" vertical="center" shrinkToFit="1"/>
      <protection locked="0"/>
    </xf>
    <xf numFmtId="41" fontId="20" fillId="4" borderId="11" xfId="1" applyFont="1" applyFill="1" applyBorder="1" applyAlignment="1" applyProtection="1">
      <alignment horizontal="center" vertical="center" shrinkToFit="1"/>
      <protection locked="0"/>
    </xf>
    <xf numFmtId="41" fontId="22" fillId="4" borderId="11" xfId="1" applyFont="1" applyFill="1" applyBorder="1" applyAlignment="1" applyProtection="1">
      <alignment horizontal="center" vertical="center"/>
      <protection locked="0"/>
    </xf>
    <xf numFmtId="187" fontId="48" fillId="0" borderId="0" xfId="0" applyNumberFormat="1" applyFont="1" applyAlignment="1">
      <alignment vertical="center" shrinkToFit="1"/>
    </xf>
    <xf numFmtId="0" fontId="27" fillId="0" borderId="0" xfId="0" applyFont="1">
      <alignment vertical="center"/>
    </xf>
    <xf numFmtId="0" fontId="26" fillId="6" borderId="0" xfId="0" applyFont="1" applyFill="1">
      <alignment vertical="center"/>
    </xf>
    <xf numFmtId="0" fontId="14" fillId="4" borderId="4" xfId="1" applyNumberFormat="1" applyFont="1" applyFill="1" applyBorder="1" applyAlignment="1" applyProtection="1">
      <alignment horizontal="center" vertical="center"/>
      <protection locked="0"/>
    </xf>
    <xf numFmtId="0" fontId="14" fillId="4" borderId="6" xfId="1" applyNumberFormat="1" applyFont="1" applyFill="1" applyBorder="1" applyAlignment="1" applyProtection="1">
      <alignment horizontal="center" vertical="center"/>
      <protection locked="0"/>
    </xf>
    <xf numFmtId="0" fontId="21" fillId="4" borderId="4" xfId="1" applyNumberFormat="1" applyFont="1" applyFill="1" applyBorder="1" applyAlignment="1" applyProtection="1">
      <alignment horizontal="center" vertical="center"/>
      <protection locked="0"/>
    </xf>
    <xf numFmtId="0" fontId="0" fillId="6" borderId="0" xfId="0" applyFill="1" applyProtection="1">
      <alignment vertical="center"/>
      <protection locked="0"/>
    </xf>
    <xf numFmtId="10" fontId="0" fillId="6" borderId="0" xfId="2" applyNumberFormat="1" applyFont="1" applyFill="1" applyProtection="1">
      <alignment vertical="center"/>
      <protection locked="0"/>
    </xf>
    <xf numFmtId="0" fontId="63" fillId="6" borderId="0" xfId="0" applyFont="1" applyFill="1" applyProtection="1">
      <alignment vertical="center"/>
      <protection locked="0"/>
    </xf>
    <xf numFmtId="0" fontId="35" fillId="0" borderId="0" xfId="0" applyFont="1" applyProtection="1">
      <alignment vertical="center"/>
      <protection locked="0"/>
    </xf>
    <xf numFmtId="0" fontId="26" fillId="0" borderId="0" xfId="0" applyFont="1" applyProtection="1">
      <alignment vertical="center"/>
      <protection locked="0"/>
    </xf>
    <xf numFmtId="0" fontId="35" fillId="6" borderId="0" xfId="0" applyFont="1" applyFill="1" applyProtection="1">
      <alignment vertical="center"/>
      <protection locked="0"/>
    </xf>
    <xf numFmtId="0" fontId="35" fillId="5" borderId="0" xfId="0" applyFont="1" applyFill="1" applyProtection="1">
      <alignment vertical="center"/>
      <protection locked="0"/>
    </xf>
    <xf numFmtId="0" fontId="26" fillId="16" borderId="0" xfId="0" applyFont="1" applyFill="1" applyProtection="1">
      <alignment vertical="center"/>
      <protection locked="0"/>
    </xf>
    <xf numFmtId="0" fontId="26" fillId="0" borderId="5" xfId="0" applyFont="1" applyBorder="1" applyProtection="1">
      <alignment vertical="center"/>
      <protection locked="0"/>
    </xf>
    <xf numFmtId="0" fontId="26" fillId="16" borderId="5" xfId="0" applyFont="1" applyFill="1" applyBorder="1" applyProtection="1">
      <alignment vertical="center"/>
      <protection locked="0"/>
    </xf>
    <xf numFmtId="179" fontId="26" fillId="0" borderId="0" xfId="0" applyNumberFormat="1" applyFont="1" applyProtection="1">
      <alignment vertical="center"/>
      <protection locked="0"/>
    </xf>
    <xf numFmtId="41" fontId="26" fillId="0" borderId="0" xfId="0" applyNumberFormat="1" applyFont="1" applyProtection="1">
      <alignment vertical="center"/>
      <protection locked="0"/>
    </xf>
    <xf numFmtId="41" fontId="26" fillId="0" borderId="0" xfId="1" applyFont="1" applyAlignment="1" applyProtection="1">
      <alignment vertical="center"/>
      <protection locked="0"/>
    </xf>
    <xf numFmtId="192" fontId="26" fillId="0" borderId="0" xfId="0" applyNumberFormat="1" applyFont="1" applyProtection="1">
      <alignment vertical="center"/>
      <protection locked="0"/>
    </xf>
    <xf numFmtId="9" fontId="26" fillId="0" borderId="0" xfId="0" applyNumberFormat="1" applyFont="1" applyProtection="1">
      <alignment vertical="center"/>
      <protection locked="0"/>
    </xf>
    <xf numFmtId="41" fontId="26" fillId="5" borderId="0" xfId="0" applyNumberFormat="1" applyFont="1" applyFill="1" applyProtection="1">
      <alignment vertical="center"/>
      <protection locked="0"/>
    </xf>
    <xf numFmtId="195" fontId="26" fillId="0" borderId="0" xfId="1" applyNumberFormat="1" applyFont="1" applyBorder="1" applyAlignment="1" applyProtection="1">
      <alignment vertical="center"/>
      <protection locked="0"/>
    </xf>
    <xf numFmtId="195" fontId="26" fillId="0" borderId="0" xfId="0" applyNumberFormat="1" applyFont="1" applyProtection="1">
      <alignment vertical="center"/>
      <protection locked="0"/>
    </xf>
    <xf numFmtId="41" fontId="26" fillId="0" borderId="0" xfId="1" applyFont="1" applyBorder="1" applyAlignment="1" applyProtection="1">
      <alignment vertical="center"/>
      <protection locked="0"/>
    </xf>
    <xf numFmtId="0" fontId="26" fillId="0" borderId="45" xfId="0" applyFont="1" applyBorder="1" applyProtection="1">
      <alignment vertical="center"/>
      <protection locked="0"/>
    </xf>
    <xf numFmtId="0" fontId="26" fillId="0" borderId="36" xfId="0" applyFont="1" applyBorder="1" applyProtection="1">
      <alignment vertical="center"/>
      <protection locked="0"/>
    </xf>
    <xf numFmtId="0" fontId="26" fillId="0" borderId="7" xfId="0" applyFont="1" applyBorder="1" applyProtection="1">
      <alignment vertical="center"/>
      <protection locked="0"/>
    </xf>
    <xf numFmtId="41" fontId="27" fillId="0" borderId="0" xfId="0" applyNumberFormat="1" applyFont="1" applyProtection="1">
      <alignment vertical="center"/>
      <protection locked="0"/>
    </xf>
    <xf numFmtId="187" fontId="26" fillId="0" borderId="46" xfId="0" applyNumberFormat="1" applyFont="1" applyBorder="1" applyProtection="1">
      <alignment vertical="center"/>
      <protection locked="0"/>
    </xf>
    <xf numFmtId="187" fontId="26" fillId="0" borderId="36" xfId="0" applyNumberFormat="1" applyFont="1" applyBorder="1" applyProtection="1">
      <alignment vertical="center"/>
      <protection locked="0"/>
    </xf>
    <xf numFmtId="10" fontId="26" fillId="0" borderId="0" xfId="0" applyNumberFormat="1" applyFont="1" applyProtection="1">
      <alignment vertical="center"/>
      <protection locked="0"/>
    </xf>
    <xf numFmtId="0" fontId="26" fillId="0" borderId="0" xfId="0" applyFont="1" applyAlignment="1" applyProtection="1">
      <alignment horizontal="center" vertical="center"/>
      <protection locked="0" hidden="1"/>
    </xf>
    <xf numFmtId="190" fontId="26" fillId="0" borderId="0" xfId="0" applyNumberFormat="1" applyFont="1" applyProtection="1">
      <alignment vertical="center"/>
      <protection locked="0"/>
    </xf>
    <xf numFmtId="187" fontId="26" fillId="0" borderId="0" xfId="0" applyNumberFormat="1" applyFont="1" applyProtection="1">
      <alignment vertical="center"/>
      <protection locked="0"/>
    </xf>
    <xf numFmtId="178" fontId="26" fillId="0" borderId="0" xfId="2" applyNumberFormat="1" applyFont="1" applyAlignment="1" applyProtection="1">
      <alignment vertical="center"/>
      <protection locked="0"/>
    </xf>
    <xf numFmtId="178" fontId="26" fillId="0" borderId="0" xfId="2" applyNumberFormat="1" applyFont="1" applyBorder="1" applyAlignment="1" applyProtection="1">
      <alignment vertical="center"/>
      <protection locked="0"/>
    </xf>
    <xf numFmtId="178" fontId="26" fillId="0" borderId="0" xfId="0" applyNumberFormat="1" applyFont="1" applyProtection="1">
      <alignment vertical="center"/>
      <protection locked="0"/>
    </xf>
    <xf numFmtId="180" fontId="26" fillId="0" borderId="0" xfId="0" applyNumberFormat="1" applyFont="1" applyProtection="1">
      <alignment vertical="center"/>
      <protection locked="0"/>
    </xf>
    <xf numFmtId="0" fontId="9" fillId="0" borderId="0" xfId="0" applyFont="1" applyAlignment="1" applyProtection="1">
      <alignment horizontal="center" vertical="center"/>
      <protection locked="0"/>
    </xf>
    <xf numFmtId="0" fontId="6" fillId="6" borderId="0" xfId="0" applyFont="1" applyFill="1" applyAlignment="1" applyProtection="1">
      <alignment horizontal="center" vertical="center"/>
      <protection locked="0"/>
    </xf>
    <xf numFmtId="0" fontId="9" fillId="6" borderId="0" xfId="0" applyFont="1" applyFill="1" applyAlignment="1" applyProtection="1">
      <alignment horizontal="center" vertical="center"/>
      <protection locked="0"/>
    </xf>
    <xf numFmtId="9" fontId="9" fillId="0" borderId="0" xfId="0" applyNumberFormat="1" applyFont="1" applyAlignment="1" applyProtection="1">
      <alignment horizontal="center" vertical="center"/>
      <protection locked="0"/>
    </xf>
    <xf numFmtId="0" fontId="9" fillId="0" borderId="0" xfId="0" applyFont="1" applyAlignment="1" applyProtection="1">
      <alignment horizontal="left" vertical="center" indent="1"/>
      <protection locked="0"/>
    </xf>
    <xf numFmtId="0" fontId="9" fillId="6" borderId="0" xfId="0" applyFont="1" applyFill="1" applyAlignment="1" applyProtection="1">
      <alignment horizontal="left" vertical="center" indent="1"/>
      <protection locked="0"/>
    </xf>
    <xf numFmtId="0" fontId="9" fillId="0" borderId="0" xfId="0" applyFont="1" applyProtection="1">
      <alignment vertical="center"/>
      <protection locked="0"/>
    </xf>
    <xf numFmtId="0" fontId="13" fillId="0" borderId="1" xfId="0" applyFont="1" applyBorder="1" applyProtection="1">
      <alignment vertical="center"/>
      <protection locked="0"/>
    </xf>
    <xf numFmtId="0" fontId="13" fillId="0" borderId="1" xfId="0" applyFont="1" applyBorder="1" applyAlignment="1" applyProtection="1">
      <alignment horizontal="center" vertical="center"/>
      <protection locked="0"/>
    </xf>
    <xf numFmtId="0" fontId="13" fillId="0" borderId="0" xfId="0" applyFont="1" applyAlignment="1" applyProtection="1">
      <alignment horizontal="left" vertical="center"/>
      <protection locked="0"/>
    </xf>
    <xf numFmtId="0" fontId="8" fillId="6" borderId="0" xfId="0" applyFont="1" applyFill="1" applyAlignment="1" applyProtection="1">
      <alignment horizontal="left" vertical="center"/>
      <protection locked="0"/>
    </xf>
    <xf numFmtId="0" fontId="13" fillId="6" borderId="0" xfId="0" applyFont="1" applyFill="1" applyAlignment="1" applyProtection="1">
      <alignment horizontal="left" vertical="center"/>
      <protection locked="0"/>
    </xf>
    <xf numFmtId="0" fontId="9" fillId="6" borderId="0" xfId="0" applyFont="1" applyFill="1" applyAlignment="1" applyProtection="1">
      <alignment horizontal="left" vertical="center"/>
      <protection locked="0"/>
    </xf>
    <xf numFmtId="0" fontId="9" fillId="0" borderId="1" xfId="0" applyFont="1" applyBorder="1" applyProtection="1">
      <alignment vertical="center"/>
      <protection locked="0"/>
    </xf>
    <xf numFmtId="0" fontId="9" fillId="4" borderId="2" xfId="0" applyFont="1" applyFill="1" applyBorder="1" applyAlignment="1" applyProtection="1">
      <alignment horizontal="right" vertical="center" indent="1"/>
      <protection locked="0"/>
    </xf>
    <xf numFmtId="41" fontId="9" fillId="4" borderId="2" xfId="1" applyFont="1" applyFill="1" applyBorder="1" applyAlignment="1" applyProtection="1">
      <alignment horizontal="center" vertical="center"/>
      <protection locked="0"/>
    </xf>
    <xf numFmtId="41" fontId="9" fillId="4" borderId="3" xfId="0" applyNumberFormat="1" applyFont="1" applyFill="1" applyBorder="1" applyAlignment="1" applyProtection="1">
      <alignment horizontal="center" vertical="center"/>
      <protection locked="0"/>
    </xf>
    <xf numFmtId="41" fontId="9" fillId="4" borderId="0" xfId="0" applyNumberFormat="1" applyFont="1" applyFill="1" applyAlignment="1" applyProtection="1">
      <alignment horizontal="center" vertical="center"/>
      <protection locked="0"/>
    </xf>
    <xf numFmtId="41" fontId="9" fillId="6" borderId="0" xfId="0" applyNumberFormat="1" applyFont="1" applyFill="1" applyAlignment="1" applyProtection="1">
      <alignment horizontal="center" vertical="center"/>
      <protection locked="0"/>
    </xf>
    <xf numFmtId="41" fontId="9" fillId="0" borderId="0" xfId="0" applyNumberFormat="1" applyFont="1" applyAlignment="1" applyProtection="1">
      <alignment horizontal="center" vertical="center"/>
      <protection locked="0"/>
    </xf>
    <xf numFmtId="0" fontId="9" fillId="4" borderId="4" xfId="0" applyFont="1" applyFill="1" applyBorder="1" applyAlignment="1" applyProtection="1">
      <alignment horizontal="right" vertical="center" indent="1"/>
      <protection locked="0"/>
    </xf>
    <xf numFmtId="9" fontId="9" fillId="6" borderId="0" xfId="2" applyFont="1" applyFill="1" applyBorder="1" applyAlignment="1" applyProtection="1">
      <alignment horizontal="center" vertical="center"/>
      <protection locked="0"/>
    </xf>
    <xf numFmtId="0" fontId="9" fillId="4" borderId="2" xfId="0" applyFont="1" applyFill="1" applyBorder="1" applyAlignment="1" applyProtection="1">
      <alignment horizontal="center" vertical="center"/>
      <protection locked="0"/>
    </xf>
    <xf numFmtId="41" fontId="9" fillId="4" borderId="3" xfId="1" applyFont="1" applyFill="1" applyBorder="1" applyAlignment="1" applyProtection="1">
      <alignment horizontal="left" vertical="center" indent="1"/>
      <protection locked="0"/>
    </xf>
    <xf numFmtId="41" fontId="9" fillId="6" borderId="0" xfId="1" applyFont="1" applyFill="1" applyBorder="1" applyAlignment="1" applyProtection="1">
      <alignment horizontal="left" vertical="center" indent="1"/>
      <protection locked="0"/>
    </xf>
    <xf numFmtId="0" fontId="9" fillId="4" borderId="4" xfId="0" applyFont="1" applyFill="1" applyBorder="1" applyAlignment="1" applyProtection="1">
      <alignment horizontal="center" vertical="center"/>
      <protection locked="0"/>
    </xf>
    <xf numFmtId="0" fontId="9" fillId="4" borderId="4" xfId="0" applyFont="1" applyFill="1" applyBorder="1" applyProtection="1">
      <alignment vertical="center"/>
      <protection locked="0"/>
    </xf>
    <xf numFmtId="0" fontId="9" fillId="4" borderId="2" xfId="0" applyFont="1" applyFill="1" applyBorder="1" applyProtection="1">
      <alignment vertical="center"/>
      <protection locked="0"/>
    </xf>
    <xf numFmtId="41" fontId="9" fillId="4" borderId="3" xfId="1" applyFont="1" applyFill="1" applyBorder="1" applyAlignment="1" applyProtection="1">
      <alignment vertical="center"/>
      <protection locked="0"/>
    </xf>
    <xf numFmtId="0" fontId="9" fillId="4" borderId="5" xfId="0" applyFont="1" applyFill="1" applyBorder="1" applyAlignment="1" applyProtection="1">
      <alignment horizontal="center" vertical="center"/>
      <protection locked="0"/>
    </xf>
    <xf numFmtId="0" fontId="9" fillId="4" borderId="7" xfId="0" applyFont="1" applyFill="1" applyBorder="1" applyAlignment="1" applyProtection="1">
      <alignment horizontal="center" vertical="center"/>
      <protection locked="0"/>
    </xf>
    <xf numFmtId="0" fontId="9" fillId="4" borderId="8" xfId="0" applyFont="1" applyFill="1" applyBorder="1" applyAlignment="1" applyProtection="1">
      <alignment horizontal="right" vertical="center" indent="1"/>
      <protection locked="0"/>
    </xf>
    <xf numFmtId="0" fontId="9" fillId="4" borderId="8" xfId="0" applyFont="1" applyFill="1" applyBorder="1" applyAlignment="1" applyProtection="1">
      <alignment horizontal="center" vertical="center"/>
      <protection locked="0"/>
    </xf>
    <xf numFmtId="0" fontId="9" fillId="4" borderId="9" xfId="0" applyFont="1" applyFill="1" applyBorder="1" applyAlignment="1" applyProtection="1">
      <alignment horizontal="center" vertical="center"/>
      <protection locked="0"/>
    </xf>
    <xf numFmtId="0" fontId="9" fillId="4" borderId="0" xfId="0" applyFont="1" applyFill="1" applyAlignment="1" applyProtection="1">
      <alignment horizontal="center" vertical="center"/>
      <protection locked="0"/>
    </xf>
    <xf numFmtId="0" fontId="9" fillId="4" borderId="10" xfId="0" applyFont="1" applyFill="1" applyBorder="1" applyAlignment="1" applyProtection="1">
      <alignment horizontal="right" vertical="center" indent="1"/>
      <protection locked="0"/>
    </xf>
    <xf numFmtId="41" fontId="9" fillId="4" borderId="9" xfId="1" applyFont="1" applyFill="1" applyBorder="1" applyAlignment="1" applyProtection="1">
      <alignment horizontal="left" vertical="center" indent="1"/>
      <protection locked="0"/>
    </xf>
    <xf numFmtId="0" fontId="9" fillId="4" borderId="10" xfId="0" applyFont="1" applyFill="1" applyBorder="1" applyAlignment="1" applyProtection="1">
      <alignment horizontal="center" vertical="center"/>
      <protection locked="0"/>
    </xf>
    <xf numFmtId="176" fontId="9" fillId="4" borderId="10" xfId="0" applyNumberFormat="1" applyFont="1" applyFill="1" applyBorder="1" applyAlignment="1" applyProtection="1">
      <alignment horizontal="center" vertical="center"/>
      <protection locked="0"/>
    </xf>
    <xf numFmtId="177" fontId="9" fillId="4" borderId="10" xfId="0" applyNumberFormat="1" applyFont="1" applyFill="1" applyBorder="1" applyAlignment="1" applyProtection="1">
      <alignment horizontal="center" vertical="center"/>
      <protection locked="0"/>
    </xf>
    <xf numFmtId="0" fontId="9" fillId="4" borderId="10" xfId="0" applyFont="1" applyFill="1" applyBorder="1" applyProtection="1">
      <alignment vertical="center"/>
      <protection locked="0"/>
    </xf>
    <xf numFmtId="0" fontId="9" fillId="4" borderId="8" xfId="0" applyFont="1" applyFill="1" applyBorder="1" applyProtection="1">
      <alignment vertical="center"/>
      <protection locked="0"/>
    </xf>
    <xf numFmtId="178" fontId="9" fillId="4" borderId="9" xfId="0" applyNumberFormat="1" applyFont="1" applyFill="1" applyBorder="1" applyProtection="1">
      <alignment vertical="center"/>
      <protection locked="0"/>
    </xf>
    <xf numFmtId="0" fontId="9" fillId="4" borderId="9" xfId="0" applyFont="1" applyFill="1" applyBorder="1" applyAlignment="1" applyProtection="1">
      <alignment horizontal="left" vertical="center"/>
      <protection locked="0"/>
    </xf>
    <xf numFmtId="0" fontId="9" fillId="4" borderId="11" xfId="0" applyFont="1" applyFill="1" applyBorder="1" applyAlignment="1" applyProtection="1">
      <alignment horizontal="center" vertical="center"/>
      <protection locked="0"/>
    </xf>
    <xf numFmtId="177" fontId="9" fillId="4" borderId="11" xfId="0" applyNumberFormat="1" applyFont="1" applyFill="1" applyBorder="1" applyAlignment="1" applyProtection="1">
      <alignment horizontal="center" vertical="center"/>
      <protection locked="0"/>
    </xf>
    <xf numFmtId="0" fontId="9" fillId="4" borderId="12" xfId="0" applyFont="1" applyFill="1" applyBorder="1" applyProtection="1">
      <alignment vertical="center"/>
      <protection locked="0"/>
    </xf>
    <xf numFmtId="178" fontId="9" fillId="4" borderId="13" xfId="2" applyNumberFormat="1" applyFont="1" applyFill="1" applyBorder="1" applyAlignment="1" applyProtection="1">
      <alignment vertical="center"/>
      <protection locked="0"/>
    </xf>
    <xf numFmtId="9" fontId="13" fillId="6" borderId="0" xfId="0" applyNumberFormat="1" applyFont="1" applyFill="1" applyAlignment="1" applyProtection="1">
      <alignment horizontal="center" vertical="center"/>
      <protection locked="0"/>
    </xf>
    <xf numFmtId="41" fontId="9" fillId="4" borderId="10" xfId="0" applyNumberFormat="1" applyFont="1" applyFill="1" applyBorder="1" applyProtection="1">
      <alignment vertical="center"/>
      <protection locked="0"/>
    </xf>
    <xf numFmtId="0" fontId="9" fillId="4" borderId="9" xfId="0" applyFont="1" applyFill="1" applyBorder="1" applyAlignment="1" applyProtection="1">
      <alignment horizontal="left" vertical="center" shrinkToFit="1"/>
      <protection locked="0"/>
    </xf>
    <xf numFmtId="179" fontId="9" fillId="4" borderId="8" xfId="2" applyNumberFormat="1" applyFont="1" applyFill="1" applyBorder="1" applyAlignment="1" applyProtection="1">
      <alignment horizontal="center" vertical="center"/>
      <protection locked="0"/>
    </xf>
    <xf numFmtId="179" fontId="9" fillId="4" borderId="9" xfId="2" applyNumberFormat="1" applyFont="1" applyFill="1" applyBorder="1" applyAlignment="1" applyProtection="1">
      <alignment horizontal="center" vertical="center"/>
      <protection locked="0"/>
    </xf>
    <xf numFmtId="179" fontId="9" fillId="4" borderId="0" xfId="2" applyNumberFormat="1" applyFont="1" applyFill="1" applyBorder="1" applyAlignment="1" applyProtection="1">
      <alignment horizontal="center" vertical="center"/>
      <protection locked="0"/>
    </xf>
    <xf numFmtId="179" fontId="6" fillId="6" borderId="0" xfId="2" applyNumberFormat="1" applyFont="1" applyFill="1" applyBorder="1" applyAlignment="1" applyProtection="1">
      <alignment horizontal="center" vertical="center"/>
      <protection locked="0"/>
    </xf>
    <xf numFmtId="179" fontId="9" fillId="6" borderId="0" xfId="2" applyNumberFormat="1" applyFont="1" applyFill="1" applyBorder="1" applyAlignment="1" applyProtection="1">
      <alignment horizontal="center" vertical="center"/>
      <protection locked="0"/>
    </xf>
    <xf numFmtId="179" fontId="9" fillId="0" borderId="0" xfId="2" applyNumberFormat="1" applyFont="1" applyFill="1" applyBorder="1" applyAlignment="1" applyProtection="1">
      <alignment horizontal="center" vertical="center"/>
      <protection locked="0"/>
    </xf>
    <xf numFmtId="0" fontId="9" fillId="4" borderId="11" xfId="0" applyFont="1" applyFill="1" applyBorder="1" applyAlignment="1" applyProtection="1">
      <alignment horizontal="right" vertical="center" indent="1"/>
      <protection locked="0"/>
    </xf>
    <xf numFmtId="41" fontId="13" fillId="4" borderId="11" xfId="1" applyFont="1" applyFill="1" applyBorder="1" applyAlignment="1" applyProtection="1">
      <alignment horizontal="left" vertical="center" indent="1"/>
      <protection locked="0"/>
    </xf>
    <xf numFmtId="41" fontId="13" fillId="6" borderId="0" xfId="1" applyFont="1" applyFill="1" applyBorder="1" applyAlignment="1" applyProtection="1">
      <alignment horizontal="left" vertical="center" indent="1"/>
      <protection locked="0"/>
    </xf>
    <xf numFmtId="41" fontId="9" fillId="4" borderId="10" xfId="1" applyFont="1" applyFill="1" applyBorder="1" applyAlignment="1" applyProtection="1">
      <alignment vertical="center"/>
      <protection locked="0"/>
    </xf>
    <xf numFmtId="0" fontId="9" fillId="4" borderId="13" xfId="0" applyFont="1" applyFill="1" applyBorder="1" applyAlignment="1" applyProtection="1">
      <alignment horizontal="left" vertical="center"/>
      <protection locked="0"/>
    </xf>
    <xf numFmtId="41" fontId="9" fillId="4" borderId="8" xfId="1" applyFont="1" applyFill="1" applyBorder="1" applyAlignment="1" applyProtection="1">
      <alignment horizontal="center" vertical="center"/>
      <protection locked="0"/>
    </xf>
    <xf numFmtId="41" fontId="9" fillId="4" borderId="9" xfId="1" applyFont="1" applyFill="1" applyBorder="1" applyAlignment="1" applyProtection="1">
      <alignment horizontal="center" vertical="center"/>
      <protection locked="0"/>
    </xf>
    <xf numFmtId="41" fontId="6" fillId="6" borderId="0" xfId="1" applyFont="1" applyFill="1" applyBorder="1" applyAlignment="1" applyProtection="1">
      <alignment horizontal="center" vertical="center"/>
      <protection locked="0"/>
    </xf>
    <xf numFmtId="41" fontId="9" fillId="6" borderId="0" xfId="1" applyFont="1" applyFill="1" applyBorder="1" applyAlignment="1" applyProtection="1">
      <alignment horizontal="center" vertical="center"/>
      <protection locked="0"/>
    </xf>
    <xf numFmtId="41" fontId="9" fillId="0" borderId="0" xfId="1" applyFont="1" applyFill="1" applyBorder="1" applyAlignment="1" applyProtection="1">
      <alignment horizontal="center" vertical="center"/>
      <protection locked="0"/>
    </xf>
    <xf numFmtId="0" fontId="9" fillId="4" borderId="12" xfId="0" applyFont="1" applyFill="1" applyBorder="1" applyAlignment="1" applyProtection="1">
      <alignment horizontal="center" vertical="center"/>
      <protection locked="0"/>
    </xf>
    <xf numFmtId="0" fontId="9" fillId="4" borderId="13" xfId="0" applyFont="1" applyFill="1" applyBorder="1" applyAlignment="1" applyProtection="1">
      <alignment horizontal="center" vertical="center"/>
      <protection locked="0"/>
    </xf>
    <xf numFmtId="179" fontId="9" fillId="4" borderId="8" xfId="0" applyNumberFormat="1" applyFont="1" applyFill="1" applyBorder="1" applyAlignment="1" applyProtection="1">
      <alignment horizontal="center" vertical="center"/>
      <protection locked="0"/>
    </xf>
    <xf numFmtId="179" fontId="9" fillId="4" borderId="9" xfId="0" applyNumberFormat="1" applyFont="1" applyFill="1" applyBorder="1" applyAlignment="1" applyProtection="1">
      <alignment horizontal="center" vertical="center"/>
      <protection locked="0"/>
    </xf>
    <xf numFmtId="179" fontId="9" fillId="4" borderId="0" xfId="0" applyNumberFormat="1" applyFont="1" applyFill="1" applyAlignment="1" applyProtection="1">
      <alignment horizontal="center" vertical="center"/>
      <protection locked="0"/>
    </xf>
    <xf numFmtId="179" fontId="6" fillId="6" borderId="0" xfId="0" applyNumberFormat="1" applyFont="1" applyFill="1" applyAlignment="1" applyProtection="1">
      <alignment horizontal="center" vertical="center"/>
      <protection locked="0"/>
    </xf>
    <xf numFmtId="179" fontId="9" fillId="6" borderId="0" xfId="0" applyNumberFormat="1" applyFont="1" applyFill="1" applyAlignment="1" applyProtection="1">
      <alignment horizontal="center" vertical="center"/>
      <protection locked="0"/>
    </xf>
    <xf numFmtId="179" fontId="9" fillId="0" borderId="0" xfId="0" applyNumberFormat="1" applyFont="1" applyAlignment="1" applyProtection="1">
      <alignment horizontal="center" vertical="center"/>
      <protection locked="0"/>
    </xf>
    <xf numFmtId="41" fontId="9" fillId="4" borderId="4" xfId="1" applyFont="1" applyFill="1" applyBorder="1" applyAlignment="1" applyProtection="1">
      <alignment horizontal="center" vertical="center"/>
      <protection locked="0"/>
    </xf>
    <xf numFmtId="41" fontId="9" fillId="4" borderId="10" xfId="1" applyFont="1" applyFill="1" applyBorder="1" applyAlignment="1" applyProtection="1">
      <alignment horizontal="center" vertical="center"/>
      <protection locked="0"/>
    </xf>
    <xf numFmtId="0" fontId="9" fillId="4" borderId="3" xfId="0" applyFont="1" applyFill="1" applyBorder="1" applyAlignment="1" applyProtection="1">
      <alignment horizontal="center" vertical="center"/>
      <protection locked="0"/>
    </xf>
    <xf numFmtId="0" fontId="9" fillId="6" borderId="9" xfId="0" applyFont="1" applyFill="1" applyBorder="1" applyAlignment="1" applyProtection="1">
      <alignment horizontal="center" vertical="center"/>
      <protection locked="0"/>
    </xf>
    <xf numFmtId="0" fontId="13" fillId="4" borderId="11" xfId="0" applyFont="1" applyFill="1" applyBorder="1" applyAlignment="1" applyProtection="1">
      <alignment horizontal="center" vertical="center"/>
      <protection locked="0"/>
    </xf>
    <xf numFmtId="0" fontId="13" fillId="6" borderId="0" xfId="0" applyFont="1" applyFill="1" applyAlignment="1" applyProtection="1">
      <alignment horizontal="center" vertical="center"/>
      <protection locked="0"/>
    </xf>
    <xf numFmtId="180" fontId="9" fillId="4" borderId="8" xfId="0" applyNumberFormat="1" applyFont="1" applyFill="1" applyBorder="1" applyAlignment="1" applyProtection="1">
      <alignment horizontal="center" vertical="center"/>
      <protection locked="0"/>
    </xf>
    <xf numFmtId="10" fontId="9" fillId="4" borderId="9" xfId="0" applyNumberFormat="1" applyFont="1" applyFill="1" applyBorder="1" applyAlignment="1" applyProtection="1">
      <alignment horizontal="center" vertical="center"/>
      <protection locked="0"/>
    </xf>
    <xf numFmtId="10" fontId="6" fillId="6" borderId="0" xfId="0" applyNumberFormat="1" applyFont="1" applyFill="1" applyAlignment="1" applyProtection="1">
      <alignment horizontal="center" vertical="center"/>
      <protection locked="0"/>
    </xf>
    <xf numFmtId="10" fontId="9" fillId="4" borderId="0" xfId="0" applyNumberFormat="1" applyFont="1" applyFill="1" applyAlignment="1" applyProtection="1">
      <alignment horizontal="center" vertical="center"/>
      <protection locked="0"/>
    </xf>
    <xf numFmtId="10" fontId="9" fillId="6" borderId="0" xfId="0" applyNumberFormat="1" applyFont="1" applyFill="1" applyAlignment="1" applyProtection="1">
      <alignment horizontal="center" vertical="center"/>
      <protection locked="0"/>
    </xf>
    <xf numFmtId="9" fontId="9" fillId="4" borderId="4" xfId="0" applyNumberFormat="1" applyFont="1" applyFill="1" applyBorder="1" applyAlignment="1" applyProtection="1">
      <alignment horizontal="center" vertical="center"/>
      <protection locked="0"/>
    </xf>
    <xf numFmtId="9" fontId="9" fillId="6" borderId="0" xfId="0" applyNumberFormat="1" applyFont="1" applyFill="1" applyAlignment="1" applyProtection="1">
      <alignment horizontal="center" vertical="center"/>
      <protection locked="0"/>
    </xf>
    <xf numFmtId="41" fontId="9" fillId="6" borderId="9" xfId="1" applyFont="1" applyFill="1" applyBorder="1" applyAlignment="1" applyProtection="1">
      <alignment horizontal="center" vertical="center"/>
      <protection locked="0"/>
    </xf>
    <xf numFmtId="41" fontId="9" fillId="6" borderId="9" xfId="1" applyFont="1" applyFill="1" applyBorder="1" applyAlignment="1" applyProtection="1">
      <alignment horizontal="left" vertical="center" indent="1"/>
      <protection locked="0"/>
    </xf>
    <xf numFmtId="41" fontId="9" fillId="4" borderId="13" xfId="1" applyFont="1" applyFill="1" applyBorder="1" applyAlignment="1" applyProtection="1">
      <alignment horizontal="left" vertical="center" indent="1"/>
      <protection locked="0"/>
    </xf>
    <xf numFmtId="41" fontId="9" fillId="4" borderId="9" xfId="0" applyNumberFormat="1" applyFont="1" applyFill="1" applyBorder="1" applyAlignment="1" applyProtection="1">
      <alignment horizontal="center" vertical="center"/>
      <protection locked="0"/>
    </xf>
    <xf numFmtId="0" fontId="9" fillId="0" borderId="0" xfId="0" applyFont="1" applyAlignment="1" applyProtection="1">
      <alignment horizontal="right" vertical="center" indent="1"/>
      <protection locked="0"/>
    </xf>
    <xf numFmtId="0" fontId="13" fillId="0" borderId="0" xfId="0" applyFont="1" applyProtection="1">
      <alignment vertical="center"/>
      <protection locked="0"/>
    </xf>
    <xf numFmtId="0" fontId="9" fillId="4" borderId="12" xfId="0" applyFont="1" applyFill="1" applyBorder="1" applyAlignment="1" applyProtection="1">
      <alignment horizontal="right" vertical="center" indent="1"/>
      <protection locked="0"/>
    </xf>
    <xf numFmtId="9" fontId="9" fillId="4" borderId="12" xfId="0" applyNumberFormat="1" applyFont="1" applyFill="1" applyBorder="1" applyAlignment="1" applyProtection="1">
      <alignment horizontal="center" vertical="center"/>
      <protection locked="0"/>
    </xf>
    <xf numFmtId="10" fontId="8" fillId="6" borderId="0" xfId="0" applyNumberFormat="1" applyFont="1" applyFill="1" applyAlignment="1" applyProtection="1">
      <alignment horizontal="left" vertical="center" indent="1"/>
      <protection locked="0"/>
    </xf>
    <xf numFmtId="0" fontId="13" fillId="4" borderId="15" xfId="0" applyFont="1" applyFill="1" applyBorder="1" applyProtection="1">
      <alignment vertical="center"/>
      <protection locked="0"/>
    </xf>
    <xf numFmtId="0" fontId="13" fillId="4" borderId="5" xfId="0" applyFont="1" applyFill="1" applyBorder="1" applyAlignment="1" applyProtection="1">
      <alignment horizontal="center" vertical="center"/>
      <protection locked="0"/>
    </xf>
    <xf numFmtId="6" fontId="9" fillId="4" borderId="9" xfId="1" applyNumberFormat="1" applyFont="1" applyFill="1" applyBorder="1" applyAlignment="1" applyProtection="1">
      <alignment horizontal="left" vertical="center" indent="1"/>
      <protection locked="0"/>
    </xf>
    <xf numFmtId="10" fontId="9" fillId="4" borderId="10" xfId="0" applyNumberFormat="1" applyFont="1" applyFill="1" applyBorder="1" applyAlignment="1" applyProtection="1">
      <alignment horizontal="center" vertical="center"/>
      <protection locked="0"/>
    </xf>
    <xf numFmtId="181" fontId="9" fillId="4" borderId="9" xfId="2" applyNumberFormat="1" applyFont="1" applyFill="1" applyBorder="1" applyAlignment="1" applyProtection="1">
      <alignment horizontal="left" vertical="center" indent="1"/>
      <protection locked="0"/>
    </xf>
    <xf numFmtId="181" fontId="9" fillId="6" borderId="0" xfId="2" applyNumberFormat="1" applyFont="1" applyFill="1" applyBorder="1" applyAlignment="1" applyProtection="1">
      <alignment horizontal="left" vertical="center" indent="1"/>
      <protection locked="0"/>
    </xf>
    <xf numFmtId="178" fontId="9" fillId="4" borderId="9" xfId="0" applyNumberFormat="1" applyFont="1" applyFill="1" applyBorder="1" applyAlignment="1" applyProtection="1">
      <alignment horizontal="left" vertical="center" indent="1"/>
      <protection locked="0"/>
    </xf>
    <xf numFmtId="178" fontId="9" fillId="6" borderId="0" xfId="0" applyNumberFormat="1" applyFont="1" applyFill="1" applyAlignment="1" applyProtection="1">
      <alignment horizontal="left" vertical="center" indent="1"/>
      <protection locked="0"/>
    </xf>
    <xf numFmtId="9" fontId="9" fillId="4" borderId="10" xfId="0" applyNumberFormat="1" applyFont="1" applyFill="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0" fontId="9" fillId="0" borderId="0" xfId="0" applyFont="1" applyAlignment="1" applyProtection="1">
      <alignment horizontal="right" vertical="center" indent="2"/>
      <protection locked="0"/>
    </xf>
    <xf numFmtId="189" fontId="9" fillId="4" borderId="10" xfId="0" applyNumberFormat="1" applyFont="1" applyFill="1" applyBorder="1" applyAlignment="1" applyProtection="1">
      <alignment horizontal="center" vertical="center"/>
      <protection locked="0"/>
    </xf>
    <xf numFmtId="10" fontId="9" fillId="4" borderId="10" xfId="2" applyNumberFormat="1" applyFont="1" applyFill="1" applyBorder="1" applyAlignment="1" applyProtection="1">
      <alignment horizontal="center" vertical="center"/>
      <protection locked="0"/>
    </xf>
    <xf numFmtId="178" fontId="9" fillId="4" borderId="10" xfId="2" applyNumberFormat="1" applyFont="1" applyFill="1" applyBorder="1" applyAlignment="1" applyProtection="1">
      <alignment horizontal="center" vertical="center"/>
      <protection locked="0"/>
    </xf>
    <xf numFmtId="0" fontId="9" fillId="4" borderId="2" xfId="0" applyFont="1" applyFill="1" applyBorder="1" applyAlignment="1" applyProtection="1">
      <alignment horizontal="right" vertical="center" indent="2"/>
      <protection locked="0"/>
    </xf>
    <xf numFmtId="181" fontId="9" fillId="4" borderId="3" xfId="2" applyNumberFormat="1" applyFont="1" applyFill="1" applyBorder="1" applyAlignment="1" applyProtection="1">
      <alignment horizontal="left" vertical="center" indent="1"/>
      <protection locked="0"/>
    </xf>
    <xf numFmtId="41" fontId="9" fillId="4" borderId="11" xfId="1" applyFont="1" applyFill="1" applyBorder="1" applyAlignment="1" applyProtection="1">
      <alignment horizontal="center" vertical="center"/>
      <protection locked="0"/>
    </xf>
    <xf numFmtId="192" fontId="9" fillId="0" borderId="0" xfId="0" applyNumberFormat="1" applyFont="1" applyAlignment="1" applyProtection="1">
      <alignment horizontal="center" vertical="center"/>
      <protection locked="0"/>
    </xf>
    <xf numFmtId="0" fontId="9" fillId="4" borderId="12" xfId="0" applyFont="1" applyFill="1" applyBorder="1" applyAlignment="1" applyProtection="1">
      <alignment horizontal="right" vertical="center" indent="2"/>
      <protection locked="0"/>
    </xf>
    <xf numFmtId="181" fontId="9" fillId="4" borderId="13" xfId="0" applyNumberFormat="1" applyFont="1" applyFill="1" applyBorder="1" applyAlignment="1" applyProtection="1">
      <alignment horizontal="left" vertical="center" indent="1"/>
      <protection locked="0"/>
    </xf>
    <xf numFmtId="181" fontId="9" fillId="6" borderId="0" xfId="0" applyNumberFormat="1" applyFont="1" applyFill="1" applyAlignment="1" applyProtection="1">
      <alignment horizontal="left" vertical="center" indent="1"/>
      <protection locked="0"/>
    </xf>
    <xf numFmtId="10" fontId="9" fillId="12" borderId="0" xfId="0" applyNumberFormat="1" applyFont="1" applyFill="1" applyAlignment="1" applyProtection="1">
      <alignment horizontal="center" vertical="center"/>
      <protection locked="0"/>
    </xf>
    <xf numFmtId="41" fontId="9" fillId="0" borderId="5" xfId="1" applyFont="1" applyFill="1" applyBorder="1" applyAlignment="1" applyProtection="1">
      <alignment horizontal="center" vertical="center"/>
      <protection locked="0"/>
    </xf>
    <xf numFmtId="41" fontId="9" fillId="0" borderId="5" xfId="1" applyFont="1" applyFill="1" applyBorder="1" applyAlignment="1" applyProtection="1">
      <alignment horizontal="left" vertical="center" indent="1"/>
      <protection locked="0"/>
    </xf>
    <xf numFmtId="10" fontId="9" fillId="12" borderId="10" xfId="0" applyNumberFormat="1" applyFont="1" applyFill="1" applyBorder="1" applyAlignment="1" applyProtection="1">
      <alignment horizontal="center" vertical="center"/>
      <protection locked="0"/>
    </xf>
    <xf numFmtId="41" fontId="9" fillId="0" borderId="0" xfId="0" applyNumberFormat="1" applyFont="1" applyProtection="1">
      <alignment vertical="center"/>
      <protection locked="0"/>
    </xf>
    <xf numFmtId="193" fontId="9" fillId="0" borderId="0" xfId="0" applyNumberFormat="1" applyFont="1" applyAlignment="1" applyProtection="1">
      <alignment horizontal="center" vertical="center"/>
      <protection locked="0"/>
    </xf>
    <xf numFmtId="41" fontId="9" fillId="0" borderId="0" xfId="1" applyFont="1" applyAlignment="1" applyProtection="1">
      <alignment horizontal="center" vertical="center"/>
      <protection locked="0"/>
    </xf>
    <xf numFmtId="41" fontId="9" fillId="0" borderId="5" xfId="1" applyFont="1" applyFill="1" applyBorder="1" applyAlignment="1" applyProtection="1">
      <alignment vertical="center"/>
      <protection locked="0"/>
    </xf>
    <xf numFmtId="10" fontId="9" fillId="4" borderId="11" xfId="0" applyNumberFormat="1" applyFont="1" applyFill="1" applyBorder="1" applyAlignment="1" applyProtection="1">
      <alignment horizontal="center" vertical="center"/>
      <protection locked="0"/>
    </xf>
    <xf numFmtId="41" fontId="9" fillId="0" borderId="0" xfId="0" applyNumberFormat="1" applyFont="1" applyAlignment="1" applyProtection="1">
      <alignment horizontal="left" vertical="center" indent="1"/>
      <protection locked="0"/>
    </xf>
    <xf numFmtId="41" fontId="9" fillId="6" borderId="0" xfId="0" applyNumberFormat="1" applyFont="1" applyFill="1" applyAlignment="1" applyProtection="1">
      <alignment horizontal="left" vertical="center" indent="1"/>
      <protection locked="0"/>
    </xf>
    <xf numFmtId="6" fontId="9" fillId="0" borderId="0" xfId="0" applyNumberFormat="1" applyFont="1" applyAlignment="1" applyProtection="1">
      <alignment horizontal="left" vertical="center" indent="1"/>
      <protection locked="0"/>
    </xf>
    <xf numFmtId="196" fontId="9" fillId="0" borderId="0" xfId="0" applyNumberFormat="1" applyFont="1" applyAlignment="1" applyProtection="1">
      <alignment horizontal="center" vertical="center"/>
      <protection locked="0"/>
    </xf>
    <xf numFmtId="189" fontId="9" fillId="4" borderId="11" xfId="0" applyNumberFormat="1" applyFont="1" applyFill="1" applyBorder="1" applyAlignment="1" applyProtection="1">
      <alignment horizontal="center" vertical="center"/>
      <protection locked="0"/>
    </xf>
    <xf numFmtId="178" fontId="9" fillId="4" borderId="11" xfId="2" applyNumberFormat="1" applyFont="1" applyFill="1" applyBorder="1" applyAlignment="1" applyProtection="1">
      <alignment horizontal="center" vertical="center"/>
      <protection locked="0"/>
    </xf>
    <xf numFmtId="43" fontId="9" fillId="0" borderId="0" xfId="0" applyNumberFormat="1" applyFont="1" applyAlignment="1" applyProtection="1">
      <alignment horizontal="center" vertical="center"/>
      <protection locked="0"/>
    </xf>
    <xf numFmtId="179" fontId="9" fillId="0" borderId="0" xfId="0" applyNumberFormat="1" applyFont="1" applyProtection="1">
      <alignment vertical="center"/>
      <protection locked="0"/>
    </xf>
    <xf numFmtId="0" fontId="9" fillId="0" borderId="0" xfId="0" applyFont="1" applyAlignment="1" applyProtection="1">
      <alignment horizontal="left" vertical="center"/>
      <protection locked="0"/>
    </xf>
    <xf numFmtId="0" fontId="6" fillId="6" borderId="0" xfId="0" applyFont="1" applyFill="1" applyAlignment="1" applyProtection="1">
      <alignment horizontal="left" vertical="center"/>
      <protection locked="0"/>
    </xf>
    <xf numFmtId="10" fontId="9" fillId="4" borderId="4" xfId="0" applyNumberFormat="1" applyFont="1" applyFill="1" applyBorder="1" applyAlignment="1" applyProtection="1">
      <alignment horizontal="center" vertical="center"/>
      <protection locked="0"/>
    </xf>
    <xf numFmtId="41" fontId="9" fillId="4" borderId="4" xfId="0" applyNumberFormat="1" applyFont="1" applyFill="1" applyBorder="1" applyAlignment="1" applyProtection="1">
      <alignment horizontal="left" vertical="center"/>
      <protection locked="0"/>
    </xf>
    <xf numFmtId="10" fontId="5" fillId="4" borderId="10" xfId="0" applyNumberFormat="1" applyFont="1" applyFill="1" applyBorder="1" applyAlignment="1" applyProtection="1">
      <alignment horizontal="center" vertical="center"/>
      <protection locked="0"/>
    </xf>
    <xf numFmtId="10" fontId="9" fillId="6" borderId="0" xfId="2" applyNumberFormat="1" applyFont="1" applyFill="1" applyBorder="1" applyAlignment="1" applyProtection="1">
      <alignment horizontal="center" vertical="center"/>
      <protection locked="0"/>
    </xf>
    <xf numFmtId="0" fontId="9" fillId="4" borderId="59" xfId="0" applyFont="1" applyFill="1" applyBorder="1" applyAlignment="1" applyProtection="1">
      <alignment horizontal="center" vertical="center"/>
      <protection locked="0"/>
    </xf>
    <xf numFmtId="10" fontId="67" fillId="4" borderId="53" xfId="2" applyNumberFormat="1" applyFont="1" applyFill="1" applyBorder="1" applyProtection="1">
      <alignment vertical="center"/>
      <protection locked="0"/>
    </xf>
    <xf numFmtId="0" fontId="9" fillId="4" borderId="60" xfId="0" applyFont="1" applyFill="1" applyBorder="1" applyAlignment="1" applyProtection="1">
      <alignment horizontal="center" vertical="center"/>
      <protection locked="0"/>
    </xf>
    <xf numFmtId="10" fontId="9" fillId="4" borderId="61" xfId="0" applyNumberFormat="1" applyFont="1" applyFill="1" applyBorder="1" applyAlignment="1" applyProtection="1">
      <alignment horizontal="center" vertical="center"/>
      <protection locked="0"/>
    </xf>
    <xf numFmtId="10" fontId="9" fillId="4" borderId="5" xfId="0" applyNumberFormat="1" applyFont="1" applyFill="1" applyBorder="1" applyAlignment="1" applyProtection="1">
      <alignment horizontal="center" vertical="center"/>
      <protection locked="0"/>
    </xf>
    <xf numFmtId="41" fontId="9" fillId="4" borderId="5" xfId="1" applyFont="1" applyFill="1" applyBorder="1" applyAlignment="1" applyProtection="1">
      <alignment horizontal="center" vertical="center"/>
      <protection locked="0"/>
    </xf>
    <xf numFmtId="0" fontId="9" fillId="4" borderId="15" xfId="0" applyFont="1" applyFill="1" applyBorder="1" applyAlignment="1" applyProtection="1">
      <alignment horizontal="center" vertical="center"/>
      <protection locked="0"/>
    </xf>
    <xf numFmtId="10" fontId="9" fillId="4" borderId="7" xfId="0" applyNumberFormat="1" applyFont="1" applyFill="1" applyBorder="1" applyAlignment="1" applyProtection="1">
      <alignment horizontal="center" vertical="center"/>
      <protection locked="0"/>
    </xf>
    <xf numFmtId="0" fontId="9" fillId="6" borderId="0" xfId="0" applyFont="1" applyFill="1" applyProtection="1">
      <alignment vertical="center"/>
      <protection locked="0"/>
    </xf>
    <xf numFmtId="179" fontId="9" fillId="4" borderId="4" xfId="0" applyNumberFormat="1" applyFont="1" applyFill="1" applyBorder="1" applyAlignment="1" applyProtection="1">
      <alignment horizontal="center" vertical="center"/>
      <protection locked="0"/>
    </xf>
    <xf numFmtId="178" fontId="9" fillId="4" borderId="5" xfId="0" applyNumberFormat="1" applyFont="1" applyFill="1" applyBorder="1" applyAlignment="1" applyProtection="1">
      <alignment horizontal="center" vertical="center"/>
      <protection locked="0"/>
    </xf>
    <xf numFmtId="178" fontId="9" fillId="4" borderId="5" xfId="2" applyNumberFormat="1" applyFont="1" applyFill="1" applyBorder="1" applyAlignment="1" applyProtection="1">
      <alignment horizontal="center" vertical="center"/>
      <protection locked="0"/>
    </xf>
    <xf numFmtId="0" fontId="9" fillId="4" borderId="11" xfId="0" applyFont="1" applyFill="1" applyBorder="1" applyProtection="1">
      <alignment vertical="center"/>
      <protection locked="0"/>
    </xf>
    <xf numFmtId="41" fontId="9" fillId="4" borderId="11" xfId="0" applyNumberFormat="1" applyFont="1" applyFill="1" applyBorder="1" applyProtection="1">
      <alignment vertical="center"/>
      <protection locked="0"/>
    </xf>
    <xf numFmtId="10" fontId="9" fillId="4" borderId="5" xfId="2" applyNumberFormat="1" applyFont="1" applyFill="1" applyBorder="1" applyAlignment="1" applyProtection="1">
      <alignment horizontal="center" vertical="center"/>
      <protection locked="0"/>
    </xf>
    <xf numFmtId="0" fontId="6" fillId="6" borderId="0" xfId="0" applyFont="1" applyFill="1" applyProtection="1">
      <alignment vertical="center"/>
      <protection locked="0"/>
    </xf>
    <xf numFmtId="10" fontId="9" fillId="0" borderId="0" xfId="0" applyNumberFormat="1" applyFont="1" applyAlignment="1" applyProtection="1">
      <alignment horizontal="center" vertical="center"/>
      <protection locked="0"/>
    </xf>
    <xf numFmtId="10" fontId="9" fillId="0" borderId="0" xfId="2" applyNumberFormat="1" applyFont="1" applyAlignment="1" applyProtection="1">
      <alignment horizontal="center" vertical="center"/>
      <protection locked="0"/>
    </xf>
    <xf numFmtId="10" fontId="9" fillId="6" borderId="0" xfId="2" applyNumberFormat="1" applyFont="1" applyFill="1" applyAlignment="1" applyProtection="1">
      <alignment horizontal="center" vertical="center"/>
      <protection locked="0"/>
    </xf>
    <xf numFmtId="10" fontId="9" fillId="0" borderId="0" xfId="2" applyNumberFormat="1" applyFont="1" applyAlignment="1" applyProtection="1">
      <alignment horizontal="left" vertical="center" indent="1"/>
      <protection locked="0"/>
    </xf>
    <xf numFmtId="10" fontId="9" fillId="6" borderId="0" xfId="0" applyNumberFormat="1" applyFont="1" applyFill="1" applyAlignment="1" applyProtection="1">
      <alignment horizontal="left" vertical="center" indent="1"/>
      <protection locked="0"/>
    </xf>
    <xf numFmtId="0" fontId="18" fillId="0" borderId="0" xfId="0" applyFont="1" applyAlignment="1" applyProtection="1">
      <alignment horizontal="center" vertical="center"/>
      <protection locked="0"/>
    </xf>
    <xf numFmtId="0" fontId="19" fillId="0" borderId="0" xfId="0" applyFont="1" applyAlignment="1" applyProtection="1">
      <alignment horizontal="left" vertical="center"/>
      <protection locked="0"/>
    </xf>
    <xf numFmtId="0" fontId="18" fillId="0" borderId="0" xfId="0" applyFont="1" applyAlignment="1" applyProtection="1">
      <alignment horizontal="left" vertical="center" indent="1"/>
      <protection locked="0"/>
    </xf>
    <xf numFmtId="0" fontId="18" fillId="0" borderId="1" xfId="0" applyFont="1" applyBorder="1" applyProtection="1">
      <alignment vertical="center"/>
      <protection locked="0"/>
    </xf>
    <xf numFmtId="0" fontId="18" fillId="0" borderId="0" xfId="0" applyFont="1" applyProtection="1">
      <alignment vertical="center"/>
      <protection locked="0"/>
    </xf>
    <xf numFmtId="41" fontId="24" fillId="4" borderId="4" xfId="1" applyFont="1" applyFill="1" applyBorder="1" applyAlignment="1" applyProtection="1">
      <alignment horizontal="left" vertical="center" indent="1"/>
      <protection locked="0"/>
    </xf>
    <xf numFmtId="41" fontId="18" fillId="0" borderId="0" xfId="0" applyNumberFormat="1" applyFont="1" applyAlignment="1" applyProtection="1">
      <alignment horizontal="center" vertical="center"/>
      <protection locked="0"/>
    </xf>
    <xf numFmtId="0" fontId="18" fillId="4" borderId="4" xfId="0" applyFont="1" applyFill="1" applyBorder="1" applyAlignment="1" applyProtection="1">
      <alignment horizontal="center" vertical="center"/>
      <protection locked="0"/>
    </xf>
    <xf numFmtId="0" fontId="18" fillId="4" borderId="5" xfId="0" applyFont="1" applyFill="1" applyBorder="1" applyAlignment="1" applyProtection="1">
      <alignment horizontal="right" vertical="center" indent="1"/>
      <protection locked="0"/>
    </xf>
    <xf numFmtId="180" fontId="18" fillId="4" borderId="7" xfId="1" applyNumberFormat="1" applyFont="1" applyFill="1" applyBorder="1" applyAlignment="1" applyProtection="1">
      <alignment horizontal="left" vertical="center" indent="1"/>
      <protection locked="0"/>
    </xf>
    <xf numFmtId="0" fontId="18" fillId="4" borderId="5" xfId="0" applyFont="1" applyFill="1" applyBorder="1" applyAlignment="1" applyProtection="1">
      <alignment horizontal="center" vertical="center"/>
      <protection locked="0"/>
    </xf>
    <xf numFmtId="0" fontId="18" fillId="4" borderId="7" xfId="0" applyFont="1" applyFill="1" applyBorder="1" applyAlignment="1" applyProtection="1">
      <alignment horizontal="center" vertical="center"/>
      <protection locked="0"/>
    </xf>
    <xf numFmtId="0" fontId="18" fillId="10" borderId="5" xfId="0" applyFont="1" applyFill="1" applyBorder="1" applyAlignment="1" applyProtection="1">
      <alignment horizontal="center" vertical="center"/>
      <protection locked="0"/>
    </xf>
    <xf numFmtId="0" fontId="18" fillId="4" borderId="10" xfId="0" applyFont="1" applyFill="1" applyBorder="1" applyAlignment="1" applyProtection="1">
      <alignment horizontal="center" vertical="center"/>
      <protection locked="0"/>
    </xf>
    <xf numFmtId="41" fontId="18" fillId="4" borderId="10" xfId="1" applyFont="1" applyFill="1" applyBorder="1" applyAlignment="1" applyProtection="1">
      <alignment horizontal="center" vertical="center"/>
      <protection locked="0"/>
    </xf>
    <xf numFmtId="176" fontId="18" fillId="4" borderId="9" xfId="0" applyNumberFormat="1" applyFont="1" applyFill="1" applyBorder="1" applyAlignment="1" applyProtection="1">
      <alignment horizontal="center" vertical="center"/>
      <protection locked="0"/>
    </xf>
    <xf numFmtId="0" fontId="18" fillId="10" borderId="10" xfId="0" applyFont="1" applyFill="1" applyBorder="1" applyAlignment="1" applyProtection="1">
      <alignment horizontal="center" vertical="center"/>
      <protection locked="0"/>
    </xf>
    <xf numFmtId="0" fontId="18" fillId="4" borderId="4" xfId="0" applyFont="1" applyFill="1" applyBorder="1" applyAlignment="1" applyProtection="1">
      <alignment horizontal="right" vertical="center" indent="2"/>
      <protection locked="0"/>
    </xf>
    <xf numFmtId="179" fontId="18" fillId="4" borderId="10" xfId="2" applyNumberFormat="1" applyFont="1" applyFill="1" applyBorder="1" applyAlignment="1" applyProtection="1">
      <alignment horizontal="center" vertical="center"/>
      <protection locked="0"/>
    </xf>
    <xf numFmtId="179" fontId="18" fillId="0" borderId="0" xfId="2" applyNumberFormat="1" applyFont="1" applyFill="1" applyBorder="1" applyAlignment="1" applyProtection="1">
      <alignment horizontal="center" vertical="center"/>
      <protection locked="0"/>
    </xf>
    <xf numFmtId="0" fontId="18" fillId="4" borderId="10" xfId="0" applyFont="1" applyFill="1" applyBorder="1" applyAlignment="1" applyProtection="1">
      <alignment horizontal="right" vertical="center" indent="2"/>
      <protection locked="0"/>
    </xf>
    <xf numFmtId="180" fontId="18" fillId="4" borderId="9" xfId="0" applyNumberFormat="1" applyFont="1" applyFill="1" applyBorder="1" applyAlignment="1" applyProtection="1">
      <alignment horizontal="left" vertical="center" indent="1"/>
      <protection locked="0"/>
    </xf>
    <xf numFmtId="0" fontId="18" fillId="4" borderId="11" xfId="0" applyFont="1" applyFill="1" applyBorder="1" applyAlignment="1" applyProtection="1">
      <alignment horizontal="center" vertical="center"/>
      <protection locked="0"/>
    </xf>
    <xf numFmtId="176" fontId="18" fillId="4" borderId="13" xfId="0" applyNumberFormat="1" applyFont="1" applyFill="1" applyBorder="1" applyAlignment="1" applyProtection="1">
      <alignment horizontal="center" vertical="center"/>
      <protection locked="0"/>
    </xf>
    <xf numFmtId="41" fontId="18" fillId="0" borderId="0" xfId="1" applyFont="1" applyFill="1" applyBorder="1" applyAlignment="1" applyProtection="1">
      <alignment horizontal="center" vertical="center"/>
      <protection locked="0"/>
    </xf>
    <xf numFmtId="181" fontId="18" fillId="4" borderId="9" xfId="2" applyNumberFormat="1" applyFont="1" applyFill="1" applyBorder="1" applyAlignment="1" applyProtection="1">
      <alignment horizontal="left" vertical="center" indent="1"/>
      <protection locked="0"/>
    </xf>
    <xf numFmtId="179" fontId="18" fillId="4" borderId="10" xfId="0" applyNumberFormat="1" applyFont="1" applyFill="1" applyBorder="1" applyAlignment="1" applyProtection="1">
      <alignment horizontal="center" vertical="center"/>
      <protection locked="0"/>
    </xf>
    <xf numFmtId="179" fontId="18" fillId="0" borderId="0" xfId="0" applyNumberFormat="1" applyFont="1" applyAlignment="1" applyProtection="1">
      <alignment horizontal="center" vertical="center"/>
      <protection locked="0"/>
    </xf>
    <xf numFmtId="178" fontId="18" fillId="4" borderId="9" xfId="0" applyNumberFormat="1" applyFont="1" applyFill="1" applyBorder="1" applyAlignment="1" applyProtection="1">
      <alignment horizontal="left" vertical="center" indent="1"/>
      <protection locked="0"/>
    </xf>
    <xf numFmtId="41" fontId="18" fillId="4" borderId="11" xfId="1" applyFont="1" applyFill="1" applyBorder="1" applyAlignment="1" applyProtection="1">
      <alignment horizontal="center" vertical="center"/>
      <protection locked="0"/>
    </xf>
    <xf numFmtId="41" fontId="18" fillId="4" borderId="5" xfId="0" applyNumberFormat="1" applyFont="1" applyFill="1" applyBorder="1" applyAlignment="1" applyProtection="1">
      <alignment horizontal="center" vertical="center"/>
      <protection locked="0"/>
    </xf>
    <xf numFmtId="181" fontId="18" fillId="4" borderId="10" xfId="2" applyNumberFormat="1" applyFont="1" applyFill="1" applyBorder="1" applyAlignment="1" applyProtection="1">
      <alignment horizontal="left" vertical="center" indent="1"/>
      <protection locked="0"/>
    </xf>
    <xf numFmtId="180" fontId="18" fillId="4" borderId="10" xfId="0" applyNumberFormat="1" applyFont="1" applyFill="1" applyBorder="1" applyAlignment="1" applyProtection="1">
      <alignment horizontal="center" vertical="center"/>
      <protection locked="0"/>
    </xf>
    <xf numFmtId="0" fontId="18" fillId="4" borderId="11" xfId="0" applyFont="1" applyFill="1" applyBorder="1" applyAlignment="1" applyProtection="1">
      <alignment horizontal="right" vertical="center" indent="2"/>
      <protection locked="0"/>
    </xf>
    <xf numFmtId="181" fontId="18" fillId="4" borderId="11" xfId="0" applyNumberFormat="1" applyFont="1" applyFill="1" applyBorder="1" applyAlignment="1" applyProtection="1">
      <alignment horizontal="left" vertical="center" indent="1"/>
      <protection locked="0"/>
    </xf>
    <xf numFmtId="41" fontId="18" fillId="4" borderId="4" xfId="1" applyFont="1" applyFill="1" applyBorder="1" applyAlignment="1" applyProtection="1">
      <alignment horizontal="left" vertical="center" indent="1"/>
      <protection locked="0"/>
    </xf>
    <xf numFmtId="41" fontId="18" fillId="4" borderId="10" xfId="1" applyFont="1" applyFill="1" applyBorder="1" applyAlignment="1" applyProtection="1">
      <alignment horizontal="left" vertical="center" indent="1"/>
      <protection locked="0"/>
    </xf>
    <xf numFmtId="0" fontId="18" fillId="0" borderId="53" xfId="0" applyFont="1" applyBorder="1" applyProtection="1">
      <alignment vertical="center"/>
      <protection locked="0"/>
    </xf>
    <xf numFmtId="10" fontId="18" fillId="17" borderId="54" xfId="2" applyNumberFormat="1" applyFont="1" applyFill="1" applyBorder="1" applyAlignment="1" applyProtection="1">
      <alignment vertical="center"/>
      <protection locked="0"/>
    </xf>
    <xf numFmtId="178" fontId="23" fillId="4" borderId="3" xfId="0" applyNumberFormat="1" applyFont="1" applyFill="1" applyBorder="1" applyAlignment="1" applyProtection="1">
      <alignment horizontal="left" vertical="center" indent="1"/>
      <protection locked="0"/>
    </xf>
    <xf numFmtId="41" fontId="18" fillId="4" borderId="11" xfId="1" applyFont="1" applyFill="1" applyBorder="1" applyAlignment="1" applyProtection="1">
      <alignment horizontal="left" vertical="center" indent="1"/>
      <protection locked="0"/>
    </xf>
    <xf numFmtId="41" fontId="18" fillId="4" borderId="11" xfId="0" applyNumberFormat="1" applyFont="1" applyFill="1" applyBorder="1" applyAlignment="1" applyProtection="1">
      <alignment horizontal="center" vertical="center"/>
      <protection locked="0"/>
    </xf>
    <xf numFmtId="9" fontId="18" fillId="4" borderId="4" xfId="2" applyFont="1" applyFill="1" applyBorder="1" applyAlignment="1" applyProtection="1">
      <alignment horizontal="center" vertical="center"/>
      <protection locked="0"/>
    </xf>
    <xf numFmtId="41" fontId="18" fillId="4" borderId="4" xfId="0" applyNumberFormat="1" applyFont="1" applyFill="1" applyBorder="1" applyAlignment="1" applyProtection="1">
      <alignment horizontal="center" vertical="center"/>
      <protection locked="0"/>
    </xf>
    <xf numFmtId="9" fontId="18" fillId="4" borderId="10" xfId="0" applyNumberFormat="1" applyFont="1" applyFill="1" applyBorder="1" applyAlignment="1" applyProtection="1">
      <alignment horizontal="center" vertical="center"/>
      <protection locked="0"/>
    </xf>
    <xf numFmtId="41" fontId="18" fillId="4" borderId="10" xfId="0" applyNumberFormat="1" applyFont="1" applyFill="1" applyBorder="1" applyAlignment="1" applyProtection="1">
      <alignment horizontal="center" vertical="center"/>
      <protection locked="0"/>
    </xf>
    <xf numFmtId="0" fontId="18" fillId="0" borderId="0" xfId="0" applyFont="1" applyAlignment="1" applyProtection="1">
      <alignment horizontal="right" vertical="center" indent="1"/>
      <protection locked="0"/>
    </xf>
    <xf numFmtId="41" fontId="9" fillId="4" borderId="5" xfId="0" applyNumberFormat="1" applyFont="1" applyFill="1" applyBorder="1" applyAlignment="1" applyProtection="1">
      <alignment horizontal="left" vertical="center"/>
      <protection locked="0"/>
    </xf>
    <xf numFmtId="10" fontId="5" fillId="4" borderId="5" xfId="0" applyNumberFormat="1" applyFont="1" applyFill="1" applyBorder="1" applyAlignment="1" applyProtection="1">
      <alignment horizontal="center" vertical="center"/>
      <protection locked="0"/>
    </xf>
    <xf numFmtId="9" fontId="18" fillId="4" borderId="11" xfId="0" applyNumberFormat="1" applyFont="1" applyFill="1" applyBorder="1" applyAlignment="1" applyProtection="1">
      <alignment horizontal="center" vertical="center"/>
      <protection locked="0"/>
    </xf>
    <xf numFmtId="41" fontId="18" fillId="4" borderId="5" xfId="1" applyFont="1" applyFill="1" applyBorder="1" applyAlignment="1" applyProtection="1">
      <alignment horizontal="center" vertical="center"/>
      <protection locked="0"/>
    </xf>
    <xf numFmtId="0" fontId="9" fillId="18" borderId="5" xfId="0" applyFont="1" applyFill="1" applyBorder="1" applyAlignment="1" applyProtection="1">
      <alignment horizontal="center" vertical="center"/>
      <protection locked="0"/>
    </xf>
    <xf numFmtId="10" fontId="9" fillId="18" borderId="5" xfId="0" applyNumberFormat="1" applyFont="1" applyFill="1" applyBorder="1" applyAlignment="1" applyProtection="1">
      <alignment horizontal="center" vertical="center"/>
      <protection locked="0"/>
    </xf>
    <xf numFmtId="41" fontId="9" fillId="18" borderId="5" xfId="1" applyFont="1" applyFill="1" applyBorder="1" applyAlignment="1" applyProtection="1">
      <alignment horizontal="center" vertical="center"/>
      <protection locked="0"/>
    </xf>
    <xf numFmtId="41" fontId="19" fillId="0" borderId="0" xfId="1" applyFont="1" applyAlignment="1" applyProtection="1">
      <alignment vertical="center"/>
      <protection locked="0"/>
    </xf>
    <xf numFmtId="41" fontId="19" fillId="4" borderId="4" xfId="1" applyFont="1" applyFill="1" applyBorder="1" applyAlignment="1" applyProtection="1">
      <alignment horizontal="left" vertical="center" indent="1"/>
      <protection locked="0"/>
    </xf>
    <xf numFmtId="10" fontId="18" fillId="0" borderId="0" xfId="2" applyNumberFormat="1" applyFont="1" applyFill="1" applyAlignment="1" applyProtection="1">
      <alignment horizontal="center" vertical="center"/>
      <protection locked="0"/>
    </xf>
    <xf numFmtId="178" fontId="18" fillId="4" borderId="10" xfId="2" applyNumberFormat="1" applyFont="1" applyFill="1" applyBorder="1" applyAlignment="1" applyProtection="1">
      <alignment horizontal="center" vertical="center"/>
      <protection locked="0"/>
    </xf>
    <xf numFmtId="0" fontId="18" fillId="10" borderId="11" xfId="0" applyFont="1" applyFill="1" applyBorder="1" applyAlignment="1" applyProtection="1">
      <alignment horizontal="center" vertical="center"/>
      <protection locked="0"/>
    </xf>
    <xf numFmtId="0" fontId="5" fillId="5" borderId="59" xfId="0" applyFont="1" applyFill="1" applyBorder="1" applyAlignment="1" applyProtection="1">
      <alignment horizontal="center" vertical="center"/>
      <protection locked="0"/>
    </xf>
    <xf numFmtId="0" fontId="5" fillId="5" borderId="54" xfId="0" applyFont="1" applyFill="1" applyBorder="1" applyAlignment="1" applyProtection="1">
      <alignment horizontal="center" vertical="center"/>
      <protection locked="0"/>
    </xf>
    <xf numFmtId="9" fontId="5" fillId="17" borderId="59" xfId="0" applyNumberFormat="1" applyFont="1" applyFill="1" applyBorder="1" applyAlignment="1" applyProtection="1">
      <alignment horizontal="center" vertical="center"/>
      <protection locked="0"/>
    </xf>
    <xf numFmtId="9" fontId="5" fillId="17" borderId="54" xfId="0" applyNumberFormat="1" applyFont="1" applyFill="1" applyBorder="1" applyAlignment="1" applyProtection="1">
      <alignment horizontal="center" vertical="center"/>
      <protection locked="0"/>
    </xf>
    <xf numFmtId="0" fontId="6" fillId="0" borderId="0" xfId="0" applyFont="1" applyAlignment="1" applyProtection="1">
      <alignment horizontal="center" vertical="center"/>
      <protection locked="0"/>
    </xf>
    <xf numFmtId="0" fontId="7" fillId="0" borderId="0" xfId="0" applyFont="1" applyAlignment="1" applyProtection="1">
      <alignment horizontal="center" vertical="center"/>
      <protection locked="0"/>
    </xf>
    <xf numFmtId="0" fontId="7" fillId="0" borderId="0" xfId="0" applyFont="1" applyAlignment="1" applyProtection="1">
      <alignment horizontal="left" vertical="center"/>
      <protection locked="0"/>
    </xf>
    <xf numFmtId="182" fontId="11" fillId="3" borderId="5" xfId="0" applyNumberFormat="1" applyFont="1" applyFill="1" applyBorder="1" applyAlignment="1" applyProtection="1">
      <alignment horizontal="center" vertical="center"/>
      <protection locked="0"/>
    </xf>
    <xf numFmtId="182" fontId="12" fillId="3" borderId="5" xfId="0" applyNumberFormat="1" applyFont="1" applyFill="1" applyBorder="1" applyAlignment="1" applyProtection="1">
      <alignment horizontal="center" vertical="center"/>
      <protection locked="0"/>
    </xf>
    <xf numFmtId="0" fontId="10" fillId="2" borderId="17" xfId="0" applyFont="1" applyFill="1" applyBorder="1" applyAlignment="1" applyProtection="1">
      <alignment horizontal="center" vertical="center"/>
      <protection locked="0"/>
    </xf>
    <xf numFmtId="0" fontId="10" fillId="2" borderId="16" xfId="0" applyFont="1" applyFill="1" applyBorder="1" applyAlignment="1" applyProtection="1">
      <alignment horizontal="center" vertical="center"/>
      <protection locked="0"/>
    </xf>
    <xf numFmtId="9" fontId="5" fillId="9" borderId="10" xfId="2" applyFont="1" applyFill="1" applyBorder="1" applyAlignment="1" applyProtection="1">
      <alignment horizontal="center" vertical="center"/>
      <protection locked="0"/>
    </xf>
    <xf numFmtId="10" fontId="55" fillId="9" borderId="10" xfId="0" applyNumberFormat="1" applyFont="1" applyFill="1" applyBorder="1" applyAlignment="1" applyProtection="1">
      <alignment horizontal="center" vertical="center"/>
      <protection locked="0"/>
    </xf>
    <xf numFmtId="10" fontId="5" fillId="4" borderId="4" xfId="0" applyNumberFormat="1" applyFont="1" applyFill="1" applyBorder="1" applyAlignment="1" applyProtection="1">
      <alignment horizontal="center" vertical="center"/>
      <protection locked="0"/>
    </xf>
    <xf numFmtId="0" fontId="5" fillId="12" borderId="10" xfId="0" applyFont="1" applyFill="1" applyBorder="1" applyAlignment="1" applyProtection="1">
      <alignment horizontal="center" vertical="center"/>
      <protection locked="0"/>
    </xf>
    <xf numFmtId="10" fontId="5" fillId="12" borderId="10" xfId="2" applyNumberFormat="1" applyFont="1" applyFill="1" applyBorder="1" applyAlignment="1" applyProtection="1">
      <alignment horizontal="center" vertical="center"/>
      <protection locked="0"/>
    </xf>
    <xf numFmtId="10" fontId="5" fillId="12" borderId="0" xfId="2" applyNumberFormat="1" applyFont="1" applyFill="1" applyBorder="1" applyAlignment="1" applyProtection="1">
      <alignment horizontal="center" vertical="center"/>
      <protection locked="0"/>
    </xf>
    <xf numFmtId="0" fontId="4" fillId="4" borderId="18" xfId="0" applyFont="1" applyFill="1" applyBorder="1" applyAlignment="1" applyProtection="1">
      <alignment horizontal="center" vertical="center"/>
      <protection locked="0"/>
    </xf>
    <xf numFmtId="0" fontId="4" fillId="4" borderId="19" xfId="0" applyFont="1" applyFill="1" applyBorder="1" applyAlignment="1" applyProtection="1">
      <alignment horizontal="center" vertical="center"/>
      <protection locked="0"/>
    </xf>
    <xf numFmtId="9" fontId="4" fillId="4" borderId="19" xfId="2" applyFont="1" applyFill="1" applyBorder="1" applyAlignment="1" applyProtection="1">
      <alignment horizontal="center" vertical="center"/>
      <protection locked="0"/>
    </xf>
    <xf numFmtId="0" fontId="4" fillId="4" borderId="20" xfId="0" applyFont="1" applyFill="1" applyBorder="1" applyAlignment="1" applyProtection="1">
      <alignment horizontal="center" vertical="center"/>
      <protection locked="0"/>
    </xf>
    <xf numFmtId="9" fontId="4" fillId="4" borderId="20" xfId="2" applyFont="1" applyFill="1" applyBorder="1" applyAlignment="1" applyProtection="1">
      <alignment horizontal="center" vertical="center"/>
      <protection locked="0"/>
    </xf>
    <xf numFmtId="0" fontId="5" fillId="12" borderId="0" xfId="0" applyFont="1" applyFill="1" applyAlignment="1" applyProtection="1">
      <alignment horizontal="center" vertical="center"/>
      <protection locked="0"/>
    </xf>
    <xf numFmtId="0" fontId="5" fillId="20" borderId="10" xfId="0" applyFont="1" applyFill="1" applyBorder="1" applyAlignment="1" applyProtection="1">
      <alignment horizontal="center" vertical="center"/>
      <protection locked="0"/>
    </xf>
    <xf numFmtId="10" fontId="5" fillId="20" borderId="10" xfId="2" applyNumberFormat="1" applyFont="1" applyFill="1" applyBorder="1" applyAlignment="1" applyProtection="1">
      <alignment horizontal="center" vertical="center"/>
      <protection locked="0"/>
    </xf>
    <xf numFmtId="10" fontId="5" fillId="20" borderId="0" xfId="2" applyNumberFormat="1" applyFont="1" applyFill="1" applyBorder="1" applyAlignment="1" applyProtection="1">
      <alignment horizontal="center" vertical="center"/>
      <protection locked="0"/>
    </xf>
    <xf numFmtId="0" fontId="5" fillId="20" borderId="0" xfId="0" applyFont="1" applyFill="1" applyAlignment="1" applyProtection="1">
      <alignment horizontal="center" vertical="center"/>
      <protection locked="0"/>
    </xf>
    <xf numFmtId="0" fontId="5" fillId="22" borderId="10" xfId="0" applyFont="1" applyFill="1" applyBorder="1" applyAlignment="1" applyProtection="1">
      <alignment horizontal="center" vertical="center"/>
      <protection locked="0"/>
    </xf>
    <xf numFmtId="10" fontId="5" fillId="22" borderId="10" xfId="2" applyNumberFormat="1" applyFont="1" applyFill="1" applyBorder="1" applyAlignment="1" applyProtection="1">
      <alignment horizontal="center" vertical="center"/>
      <protection locked="0"/>
    </xf>
    <xf numFmtId="10" fontId="5" fillId="22" borderId="0" xfId="2" applyNumberFormat="1" applyFont="1" applyFill="1" applyBorder="1" applyAlignment="1" applyProtection="1">
      <alignment horizontal="center" vertical="center"/>
      <protection locked="0"/>
    </xf>
    <xf numFmtId="0" fontId="5" fillId="22" borderId="0" xfId="0" applyFont="1" applyFill="1" applyAlignment="1" applyProtection="1">
      <alignment horizontal="center" vertical="center"/>
      <protection locked="0"/>
    </xf>
    <xf numFmtId="0" fontId="5" fillId="16" borderId="10" xfId="0" applyFont="1" applyFill="1" applyBorder="1" applyAlignment="1" applyProtection="1">
      <alignment horizontal="center" vertical="center"/>
      <protection locked="0"/>
    </xf>
    <xf numFmtId="10" fontId="5" fillId="16" borderId="10" xfId="2" applyNumberFormat="1" applyFont="1" applyFill="1" applyBorder="1" applyAlignment="1" applyProtection="1">
      <alignment horizontal="center" vertical="center"/>
      <protection locked="0"/>
    </xf>
    <xf numFmtId="10" fontId="5" fillId="16" borderId="0" xfId="2" applyNumberFormat="1" applyFont="1" applyFill="1" applyBorder="1" applyAlignment="1" applyProtection="1">
      <alignment horizontal="center" vertical="center"/>
      <protection locked="0"/>
    </xf>
    <xf numFmtId="0" fontId="5" fillId="16" borderId="0" xfId="0" applyFont="1" applyFill="1" applyAlignment="1" applyProtection="1">
      <alignment horizontal="center" vertical="center"/>
      <protection locked="0"/>
    </xf>
    <xf numFmtId="0" fontId="5" fillId="23" borderId="10" xfId="0" applyFont="1" applyFill="1" applyBorder="1" applyAlignment="1" applyProtection="1">
      <alignment horizontal="center" vertical="center"/>
      <protection locked="0"/>
    </xf>
    <xf numFmtId="10" fontId="5" fillId="23" borderId="10" xfId="2" applyNumberFormat="1" applyFont="1" applyFill="1" applyBorder="1" applyAlignment="1" applyProtection="1">
      <alignment horizontal="center" vertical="center"/>
      <protection locked="0"/>
    </xf>
    <xf numFmtId="10" fontId="5" fillId="23" borderId="0" xfId="2" applyNumberFormat="1" applyFont="1" applyFill="1" applyBorder="1" applyAlignment="1" applyProtection="1">
      <alignment horizontal="center" vertical="center"/>
      <protection locked="0"/>
    </xf>
    <xf numFmtId="0" fontId="5" fillId="23" borderId="0" xfId="0" applyFont="1" applyFill="1" applyAlignment="1" applyProtection="1">
      <alignment horizontal="center" vertical="center"/>
      <protection locked="0"/>
    </xf>
    <xf numFmtId="0" fontId="5" fillId="4" borderId="9" xfId="0" applyFont="1" applyFill="1" applyBorder="1" applyAlignment="1" applyProtection="1">
      <alignment horizontal="center" vertical="center"/>
      <protection locked="0"/>
    </xf>
    <xf numFmtId="0" fontId="5" fillId="4" borderId="0" xfId="0" applyFont="1" applyFill="1" applyAlignment="1" applyProtection="1">
      <alignment horizontal="center" vertical="center"/>
      <protection locked="0"/>
    </xf>
    <xf numFmtId="0" fontId="5" fillId="21" borderId="10" xfId="0" applyFont="1" applyFill="1" applyBorder="1" applyAlignment="1" applyProtection="1">
      <alignment horizontal="center" vertical="center"/>
      <protection locked="0"/>
    </xf>
    <xf numFmtId="10" fontId="5" fillId="21" borderId="10" xfId="2" applyNumberFormat="1" applyFont="1" applyFill="1" applyBorder="1" applyAlignment="1" applyProtection="1">
      <alignment horizontal="center" vertical="center"/>
      <protection locked="0"/>
    </xf>
    <xf numFmtId="10" fontId="5" fillId="21" borderId="0" xfId="2" applyNumberFormat="1" applyFont="1" applyFill="1" applyBorder="1" applyAlignment="1" applyProtection="1">
      <alignment horizontal="center" vertical="center"/>
      <protection locked="0"/>
    </xf>
    <xf numFmtId="0" fontId="5" fillId="21" borderId="0" xfId="0" applyFont="1" applyFill="1" applyAlignment="1" applyProtection="1">
      <alignment horizontal="center" vertical="center"/>
      <protection locked="0"/>
    </xf>
    <xf numFmtId="0" fontId="5" fillId="24" borderId="10" xfId="0" applyFont="1" applyFill="1" applyBorder="1" applyAlignment="1" applyProtection="1">
      <alignment horizontal="center" vertical="center"/>
      <protection locked="0"/>
    </xf>
    <xf numFmtId="10" fontId="5" fillId="24" borderId="10" xfId="2" applyNumberFormat="1" applyFont="1" applyFill="1" applyBorder="1" applyAlignment="1" applyProtection="1">
      <alignment horizontal="center" vertical="center"/>
      <protection locked="0"/>
    </xf>
    <xf numFmtId="10" fontId="5" fillId="24" borderId="0" xfId="2" applyNumberFormat="1" applyFont="1" applyFill="1" applyBorder="1" applyAlignment="1" applyProtection="1">
      <alignment horizontal="center" vertical="center"/>
      <protection locked="0"/>
    </xf>
    <xf numFmtId="0" fontId="5" fillId="24" borderId="11" xfId="0" applyFont="1" applyFill="1" applyBorder="1" applyAlignment="1" applyProtection="1">
      <alignment horizontal="center" vertical="center"/>
      <protection locked="0"/>
    </xf>
    <xf numFmtId="0" fontId="5" fillId="24" borderId="1" xfId="0" applyFont="1" applyFill="1" applyBorder="1" applyAlignment="1" applyProtection="1">
      <alignment horizontal="center" vertical="center"/>
      <protection locked="0"/>
    </xf>
    <xf numFmtId="10" fontId="5" fillId="24" borderId="11" xfId="2" applyNumberFormat="1" applyFont="1" applyFill="1" applyBorder="1" applyAlignment="1" applyProtection="1">
      <alignment horizontal="center" vertical="center"/>
      <protection locked="0"/>
    </xf>
    <xf numFmtId="0" fontId="5" fillId="0" borderId="5" xfId="0" applyFont="1" applyBorder="1" applyAlignment="1" applyProtection="1">
      <alignment horizontal="center" vertical="center"/>
      <protection locked="0"/>
    </xf>
    <xf numFmtId="9" fontId="5" fillId="0" borderId="5" xfId="0" applyNumberFormat="1" applyFont="1" applyBorder="1" applyAlignment="1" applyProtection="1">
      <alignment horizontal="center" vertical="center"/>
      <protection locked="0"/>
    </xf>
    <xf numFmtId="9" fontId="5" fillId="0" borderId="0" xfId="0" applyNumberFormat="1" applyFont="1" applyAlignment="1" applyProtection="1">
      <alignment horizontal="center" vertical="center"/>
      <protection locked="0"/>
    </xf>
    <xf numFmtId="0" fontId="5" fillId="4" borderId="13" xfId="0" applyFont="1" applyFill="1" applyBorder="1" applyAlignment="1" applyProtection="1">
      <alignment horizontal="center" vertical="center"/>
      <protection locked="0"/>
    </xf>
    <xf numFmtId="10" fontId="5" fillId="4" borderId="11" xfId="0" applyNumberFormat="1" applyFont="1" applyFill="1" applyBorder="1" applyAlignment="1" applyProtection="1">
      <alignment horizontal="center" vertical="center"/>
      <protection locked="0"/>
    </xf>
    <xf numFmtId="0" fontId="5" fillId="4" borderId="11" xfId="0" applyFont="1" applyFill="1" applyBorder="1" applyAlignment="1" applyProtection="1">
      <alignment horizontal="center" vertical="center"/>
      <protection locked="0"/>
    </xf>
    <xf numFmtId="0" fontId="5" fillId="4" borderId="20" xfId="0" applyFont="1" applyFill="1" applyBorder="1" applyAlignment="1" applyProtection="1">
      <alignment horizontal="center" vertical="center"/>
      <protection locked="0"/>
    </xf>
    <xf numFmtId="9" fontId="5" fillId="4" borderId="20" xfId="2" applyFont="1" applyFill="1" applyBorder="1" applyAlignment="1" applyProtection="1">
      <alignment horizontal="center" vertical="center"/>
      <protection locked="0"/>
    </xf>
    <xf numFmtId="10" fontId="5" fillId="4" borderId="10" xfId="2" applyNumberFormat="1" applyFont="1" applyFill="1" applyBorder="1" applyAlignment="1" applyProtection="1">
      <alignment horizontal="center" vertical="center"/>
      <protection locked="0"/>
    </xf>
    <xf numFmtId="10" fontId="5" fillId="4" borderId="11" xfId="2" applyNumberFormat="1" applyFont="1" applyFill="1" applyBorder="1" applyAlignment="1" applyProtection="1">
      <alignment horizontal="center" vertical="center"/>
      <protection locked="0"/>
    </xf>
    <xf numFmtId="10" fontId="5" fillId="0" borderId="0" xfId="0" applyNumberFormat="1" applyFont="1" applyAlignment="1" applyProtection="1">
      <alignment horizontal="center" vertical="center"/>
      <protection locked="0"/>
    </xf>
    <xf numFmtId="10" fontId="55" fillId="9" borderId="9" xfId="0" applyNumberFormat="1" applyFont="1" applyFill="1" applyBorder="1" applyAlignment="1" applyProtection="1">
      <alignment horizontal="center" vertical="center"/>
      <protection locked="0"/>
    </xf>
    <xf numFmtId="179" fontId="5" fillId="4" borderId="10" xfId="2" applyNumberFormat="1" applyFont="1" applyFill="1" applyBorder="1" applyAlignment="1" applyProtection="1">
      <alignment horizontal="center" vertical="center"/>
      <protection locked="0"/>
    </xf>
    <xf numFmtId="0" fontId="6" fillId="4" borderId="10" xfId="0" applyFont="1" applyFill="1" applyBorder="1" applyAlignment="1" applyProtection="1">
      <alignment horizontal="center" vertical="center"/>
      <protection locked="0"/>
    </xf>
    <xf numFmtId="10" fontId="6" fillId="4" borderId="10" xfId="2" applyNumberFormat="1" applyFont="1" applyFill="1" applyBorder="1" applyAlignment="1" applyProtection="1">
      <alignment horizontal="center" vertical="center"/>
      <protection locked="0"/>
    </xf>
    <xf numFmtId="10" fontId="5" fillId="4" borderId="0" xfId="0" applyNumberFormat="1" applyFont="1" applyFill="1" applyAlignment="1" applyProtection="1">
      <alignment horizontal="center" vertical="center"/>
      <protection locked="0"/>
    </xf>
    <xf numFmtId="0" fontId="15" fillId="0" borderId="0" xfId="0" applyFont="1" applyProtection="1">
      <alignment vertical="center"/>
      <protection locked="0"/>
    </xf>
    <xf numFmtId="10" fontId="15" fillId="0" borderId="0" xfId="2" applyNumberFormat="1" applyFont="1" applyProtection="1">
      <alignment vertical="center"/>
      <protection locked="0"/>
    </xf>
    <xf numFmtId="0" fontId="16" fillId="3" borderId="22" xfId="0" applyFont="1" applyFill="1" applyBorder="1" applyAlignment="1" applyProtection="1">
      <alignment horizontal="center" vertical="center"/>
      <protection locked="0"/>
    </xf>
    <xf numFmtId="0" fontId="16" fillId="3" borderId="21" xfId="0" applyFont="1" applyFill="1" applyBorder="1" applyAlignment="1" applyProtection="1">
      <alignment horizontal="center" vertical="center"/>
      <protection locked="0"/>
    </xf>
    <xf numFmtId="10" fontId="16" fillId="3" borderId="21" xfId="2" applyNumberFormat="1" applyFont="1" applyFill="1" applyBorder="1" applyAlignment="1" applyProtection="1">
      <alignment horizontal="center" vertical="center"/>
      <protection locked="0"/>
    </xf>
    <xf numFmtId="9" fontId="16" fillId="3" borderId="21" xfId="2" applyFont="1" applyFill="1" applyBorder="1" applyAlignment="1" applyProtection="1">
      <alignment horizontal="center" vertical="center"/>
      <protection locked="0"/>
    </xf>
    <xf numFmtId="0" fontId="15" fillId="4" borderId="23" xfId="0" applyFont="1" applyFill="1" applyBorder="1" applyAlignment="1" applyProtection="1">
      <alignment horizontal="center" vertical="center"/>
      <protection locked="0"/>
    </xf>
    <xf numFmtId="0" fontId="15" fillId="13" borderId="23" xfId="0" applyFont="1" applyFill="1" applyBorder="1" applyAlignment="1" applyProtection="1">
      <alignment horizontal="center" vertical="center"/>
      <protection locked="0"/>
    </xf>
    <xf numFmtId="10" fontId="15" fillId="4" borderId="23" xfId="2" applyNumberFormat="1" applyFont="1" applyFill="1" applyBorder="1" applyAlignment="1" applyProtection="1">
      <alignment horizontal="center" vertical="center"/>
      <protection locked="0"/>
    </xf>
    <xf numFmtId="178" fontId="15" fillId="4" borderId="23" xfId="2" applyNumberFormat="1" applyFont="1" applyFill="1" applyBorder="1" applyAlignment="1" applyProtection="1">
      <alignment horizontal="center" vertical="center"/>
      <protection locked="0"/>
    </xf>
    <xf numFmtId="190" fontId="15" fillId="4" borderId="23" xfId="2" applyNumberFormat="1" applyFont="1" applyFill="1" applyBorder="1" applyAlignment="1" applyProtection="1">
      <alignment horizontal="center" vertical="center"/>
      <protection locked="0"/>
    </xf>
    <xf numFmtId="0" fontId="62" fillId="4" borderId="23" xfId="0" applyFont="1" applyFill="1" applyBorder="1" applyAlignment="1" applyProtection="1">
      <alignment horizontal="center" vertical="center"/>
      <protection locked="0"/>
    </xf>
    <xf numFmtId="10" fontId="62" fillId="4" borderId="23" xfId="2" applyNumberFormat="1" applyFont="1" applyFill="1" applyBorder="1" applyAlignment="1" applyProtection="1">
      <alignment horizontal="center" vertical="center"/>
      <protection locked="0"/>
    </xf>
    <xf numFmtId="0" fontId="15" fillId="4" borderId="23" xfId="0" applyFont="1" applyFill="1" applyBorder="1" applyAlignment="1" applyProtection="1">
      <alignment horizontal="center" vertical="center" wrapText="1"/>
      <protection locked="0"/>
    </xf>
    <xf numFmtId="0" fontId="62" fillId="18" borderId="23" xfId="0" applyFont="1" applyFill="1" applyBorder="1" applyAlignment="1" applyProtection="1">
      <alignment horizontal="center" vertical="center"/>
      <protection locked="0"/>
    </xf>
    <xf numFmtId="0" fontId="15" fillId="0" borderId="23" xfId="0" applyFont="1" applyBorder="1" applyAlignment="1" applyProtection="1">
      <alignment horizontal="center" vertical="center"/>
      <protection locked="0"/>
    </xf>
    <xf numFmtId="10" fontId="15" fillId="0" borderId="23" xfId="2" applyNumberFormat="1" applyFont="1" applyFill="1" applyBorder="1" applyAlignment="1" applyProtection="1">
      <alignment horizontal="center" vertical="center"/>
      <protection locked="0"/>
    </xf>
    <xf numFmtId="0" fontId="62" fillId="0" borderId="23" xfId="0" applyFont="1" applyBorder="1" applyAlignment="1" applyProtection="1">
      <alignment horizontal="center" vertical="center"/>
      <protection locked="0"/>
    </xf>
    <xf numFmtId="10" fontId="62" fillId="0" borderId="23" xfId="2" applyNumberFormat="1" applyFont="1" applyFill="1" applyBorder="1" applyAlignment="1" applyProtection="1">
      <alignment horizontal="center" vertical="center"/>
      <protection locked="0"/>
    </xf>
    <xf numFmtId="0" fontId="62" fillId="16" borderId="23" xfId="0" applyFont="1" applyFill="1" applyBorder="1" applyAlignment="1" applyProtection="1">
      <alignment horizontal="center" vertical="center"/>
      <protection locked="0"/>
    </xf>
    <xf numFmtId="0" fontId="0" fillId="0" borderId="0" xfId="0" applyProtection="1">
      <alignment vertical="center"/>
      <protection hidden="1"/>
    </xf>
    <xf numFmtId="0" fontId="16" fillId="3" borderId="21" xfId="2" applyNumberFormat="1" applyFont="1" applyFill="1" applyBorder="1" applyAlignment="1" applyProtection="1">
      <alignment horizontal="center" vertical="center"/>
      <protection locked="0"/>
    </xf>
    <xf numFmtId="178" fontId="8" fillId="4" borderId="3" xfId="0" applyNumberFormat="1" applyFont="1" applyFill="1" applyBorder="1" applyAlignment="1" applyProtection="1">
      <alignment horizontal="left" vertical="center" indent="1"/>
      <protection locked="0"/>
    </xf>
    <xf numFmtId="41" fontId="5" fillId="4" borderId="0" xfId="1" applyFont="1" applyFill="1" applyBorder="1" applyAlignment="1" applyProtection="1">
      <alignment horizontal="center" vertical="center"/>
      <protection locked="0"/>
    </xf>
    <xf numFmtId="9" fontId="5" fillId="4" borderId="0" xfId="2" applyFont="1" applyFill="1" applyBorder="1" applyAlignment="1" applyProtection="1">
      <alignment horizontal="center" vertical="center"/>
      <protection locked="0"/>
    </xf>
    <xf numFmtId="179" fontId="5" fillId="4" borderId="0" xfId="2" applyNumberFormat="1" applyFont="1" applyFill="1" applyBorder="1" applyAlignment="1" applyProtection="1">
      <alignment horizontal="center" vertical="center"/>
      <protection locked="0"/>
    </xf>
    <xf numFmtId="10" fontId="6" fillId="4" borderId="0" xfId="2" applyNumberFormat="1" applyFont="1" applyFill="1" applyBorder="1" applyAlignment="1" applyProtection="1">
      <alignment horizontal="center" vertical="center"/>
      <protection locked="0"/>
    </xf>
    <xf numFmtId="0" fontId="5" fillId="3" borderId="11" xfId="0" applyFont="1" applyFill="1" applyBorder="1" applyAlignment="1" applyProtection="1">
      <alignment horizontal="center" vertical="center"/>
      <protection locked="0"/>
    </xf>
    <xf numFmtId="0" fontId="5" fillId="3" borderId="5" xfId="0" applyFont="1" applyFill="1" applyBorder="1" applyAlignment="1" applyProtection="1">
      <alignment horizontal="center" vertical="center"/>
      <protection locked="0"/>
    </xf>
    <xf numFmtId="178" fontId="9" fillId="4" borderId="10" xfId="0" applyNumberFormat="1" applyFont="1" applyFill="1" applyBorder="1" applyAlignment="1" applyProtection="1">
      <alignment horizontal="center" vertical="center"/>
      <protection locked="0"/>
    </xf>
    <xf numFmtId="0" fontId="15" fillId="5" borderId="0" xfId="0" applyFont="1" applyFill="1" applyProtection="1">
      <alignment vertical="center"/>
      <protection locked="0"/>
    </xf>
    <xf numFmtId="41" fontId="26" fillId="0" borderId="0" xfId="1" applyFont="1" applyAlignment="1">
      <alignment vertical="center"/>
    </xf>
    <xf numFmtId="49" fontId="26" fillId="0" borderId="0" xfId="0" applyNumberFormat="1" applyFont="1">
      <alignment vertical="center"/>
    </xf>
    <xf numFmtId="181" fontId="26" fillId="0" borderId="0" xfId="0" applyNumberFormat="1" applyFont="1" applyProtection="1">
      <alignment vertical="center"/>
      <protection locked="0"/>
    </xf>
    <xf numFmtId="0" fontId="0" fillId="0" borderId="0" xfId="0" applyAlignment="1" applyProtection="1">
      <alignment horizontal="center" vertical="center"/>
      <protection hidden="1"/>
    </xf>
    <xf numFmtId="0" fontId="33" fillId="0" borderId="0" xfId="0" applyFont="1" applyAlignment="1" applyProtection="1">
      <alignment horizontal="right" vertical="center"/>
      <protection hidden="1"/>
    </xf>
    <xf numFmtId="0" fontId="33" fillId="0" borderId="0" xfId="0" applyFont="1" applyProtection="1">
      <alignment vertical="center"/>
      <protection hidden="1"/>
    </xf>
    <xf numFmtId="0" fontId="33" fillId="9" borderId="5" xfId="0" applyFont="1" applyFill="1" applyBorder="1" applyAlignment="1" applyProtection="1">
      <alignment horizontal="center" vertical="center"/>
      <protection hidden="1"/>
    </xf>
    <xf numFmtId="0" fontId="0" fillId="0" borderId="5" xfId="0" applyBorder="1" applyProtection="1">
      <alignment vertical="center"/>
      <protection hidden="1"/>
    </xf>
    <xf numFmtId="0" fontId="0" fillId="0" borderId="5" xfId="0" applyBorder="1" applyAlignment="1" applyProtection="1">
      <alignment horizontal="center" vertical="center"/>
      <protection hidden="1"/>
    </xf>
    <xf numFmtId="0" fontId="0" fillId="0" borderId="5" xfId="0" quotePrefix="1" applyBorder="1" applyProtection="1">
      <alignment vertical="center"/>
      <protection hidden="1"/>
    </xf>
    <xf numFmtId="41" fontId="0" fillId="0" borderId="0" xfId="6" applyFont="1" applyAlignment="1" applyProtection="1">
      <alignment vertical="center"/>
      <protection hidden="1"/>
    </xf>
    <xf numFmtId="41" fontId="0" fillId="0" borderId="5" xfId="6" applyFont="1" applyBorder="1" applyAlignment="1" applyProtection="1">
      <alignment vertical="center"/>
      <protection hidden="1"/>
    </xf>
    <xf numFmtId="0" fontId="0" fillId="0" borderId="0" xfId="0" applyAlignment="1" applyProtection="1">
      <alignment horizontal="left" vertical="center"/>
      <protection hidden="1"/>
    </xf>
    <xf numFmtId="0" fontId="74" fillId="0" borderId="0" xfId="0" applyFont="1">
      <alignment vertical="center"/>
    </xf>
    <xf numFmtId="0" fontId="79" fillId="6" borderId="63" xfId="7" applyFont="1" applyFill="1" applyBorder="1" applyAlignment="1" applyProtection="1">
      <alignment horizontal="center" vertical="center"/>
      <protection locked="0"/>
    </xf>
    <xf numFmtId="0" fontId="80" fillId="6" borderId="64" xfId="7" applyFont="1" applyFill="1" applyBorder="1" applyAlignment="1" applyProtection="1">
      <alignment horizontal="center" vertical="center"/>
      <protection locked="0"/>
    </xf>
    <xf numFmtId="0" fontId="80" fillId="6" borderId="65" xfId="7" applyFont="1" applyFill="1" applyBorder="1" applyAlignment="1" applyProtection="1">
      <alignment horizontal="center" vertical="center"/>
      <protection locked="0"/>
    </xf>
    <xf numFmtId="0" fontId="80" fillId="6" borderId="66" xfId="7" applyFont="1" applyFill="1" applyBorder="1" applyAlignment="1" applyProtection="1">
      <alignment horizontal="center" vertical="center"/>
      <protection locked="0"/>
    </xf>
    <xf numFmtId="0" fontId="80" fillId="6" borderId="0" xfId="7" applyFont="1" applyFill="1" applyAlignment="1" applyProtection="1">
      <alignment horizontal="center" vertical="center"/>
      <protection locked="0"/>
    </xf>
    <xf numFmtId="0" fontId="79" fillId="6" borderId="69" xfId="7" applyFont="1" applyFill="1" applyBorder="1" applyAlignment="1" applyProtection="1">
      <alignment horizontal="center" vertical="center"/>
      <protection locked="0"/>
    </xf>
    <xf numFmtId="41" fontId="79" fillId="6" borderId="70" xfId="6" applyFont="1" applyFill="1" applyBorder="1" applyAlignment="1" applyProtection="1">
      <alignment horizontal="center" vertical="center"/>
      <protection locked="0"/>
    </xf>
    <xf numFmtId="41" fontId="79" fillId="6" borderId="71" xfId="6" applyFont="1" applyFill="1" applyBorder="1" applyAlignment="1" applyProtection="1">
      <alignment horizontal="center" vertical="center"/>
      <protection locked="0"/>
    </xf>
    <xf numFmtId="41" fontId="79" fillId="6" borderId="72" xfId="6" applyFont="1" applyFill="1" applyBorder="1" applyAlignment="1" applyProtection="1">
      <alignment horizontal="center" vertical="center"/>
      <protection locked="0"/>
    </xf>
    <xf numFmtId="41" fontId="79" fillId="6" borderId="0" xfId="6" applyFont="1" applyFill="1" applyBorder="1" applyAlignment="1" applyProtection="1">
      <alignment horizontal="center" vertical="center"/>
      <protection locked="0"/>
    </xf>
    <xf numFmtId="0" fontId="82" fillId="6" borderId="73" xfId="0" applyFont="1" applyFill="1" applyBorder="1" applyAlignment="1" applyProtection="1">
      <alignment horizontal="center" vertical="center"/>
      <protection locked="0"/>
    </xf>
    <xf numFmtId="0" fontId="79" fillId="4" borderId="75" xfId="7" applyFont="1" applyFill="1" applyBorder="1" applyAlignment="1" applyProtection="1">
      <alignment horizontal="center" vertical="center"/>
      <protection locked="0"/>
    </xf>
    <xf numFmtId="41" fontId="79" fillId="4" borderId="76" xfId="6" applyFont="1" applyFill="1" applyBorder="1" applyAlignment="1" applyProtection="1">
      <alignment horizontal="center" vertical="center"/>
      <protection locked="0"/>
    </xf>
    <xf numFmtId="41" fontId="79" fillId="4" borderId="73" xfId="6" applyFont="1" applyFill="1" applyBorder="1" applyAlignment="1" applyProtection="1">
      <alignment horizontal="center" vertical="center"/>
      <protection locked="0"/>
    </xf>
    <xf numFmtId="41" fontId="79" fillId="4" borderId="74" xfId="6" applyFont="1" applyFill="1" applyBorder="1" applyAlignment="1" applyProtection="1">
      <alignment horizontal="center" vertical="center"/>
      <protection locked="0"/>
    </xf>
    <xf numFmtId="41" fontId="83" fillId="6" borderId="73" xfId="6" applyFont="1" applyFill="1" applyBorder="1" applyAlignment="1" applyProtection="1">
      <alignment vertical="center"/>
      <protection locked="0"/>
    </xf>
    <xf numFmtId="0" fontId="79" fillId="6" borderId="75" xfId="7" applyFont="1" applyFill="1" applyBorder="1" applyAlignment="1" applyProtection="1">
      <alignment horizontal="center" vertical="center"/>
      <protection locked="0"/>
    </xf>
    <xf numFmtId="41" fontId="79" fillId="6" borderId="76" xfId="6" applyFont="1" applyFill="1" applyBorder="1" applyAlignment="1" applyProtection="1">
      <alignment horizontal="center" vertical="center"/>
      <protection locked="0"/>
    </xf>
    <xf numFmtId="41" fontId="79" fillId="6" borderId="73" xfId="6" applyFont="1" applyFill="1" applyBorder="1" applyAlignment="1" applyProtection="1">
      <alignment horizontal="center" vertical="center"/>
      <protection locked="0"/>
    </xf>
    <xf numFmtId="41" fontId="79" fillId="6" borderId="74" xfId="6" applyFont="1" applyFill="1" applyBorder="1" applyAlignment="1" applyProtection="1">
      <alignment horizontal="center" vertical="center"/>
      <protection locked="0"/>
    </xf>
    <xf numFmtId="0" fontId="82" fillId="6" borderId="73" xfId="0" applyFont="1" applyFill="1" applyBorder="1" applyProtection="1">
      <alignment vertical="center"/>
      <protection locked="0"/>
    </xf>
    <xf numFmtId="41" fontId="82" fillId="6" borderId="73" xfId="6" applyFont="1" applyFill="1" applyBorder="1" applyAlignment="1" applyProtection="1">
      <alignment horizontal="center" vertical="center"/>
      <protection locked="0"/>
    </xf>
    <xf numFmtId="0" fontId="79" fillId="6" borderId="77" xfId="7" applyFont="1" applyFill="1" applyBorder="1" applyAlignment="1" applyProtection="1">
      <alignment horizontal="center" vertical="center"/>
      <protection locked="0"/>
    </xf>
    <xf numFmtId="41" fontId="79" fillId="6" borderId="78" xfId="6" applyFont="1" applyFill="1" applyBorder="1" applyAlignment="1" applyProtection="1">
      <alignment horizontal="center" vertical="center"/>
      <protection locked="0"/>
    </xf>
    <xf numFmtId="41" fontId="79" fillId="6" borderId="79" xfId="6" applyFont="1" applyFill="1" applyBorder="1" applyAlignment="1" applyProtection="1">
      <alignment horizontal="center" vertical="center"/>
      <protection locked="0"/>
    </xf>
    <xf numFmtId="41" fontId="79" fillId="6" borderId="80" xfId="6" applyFont="1" applyFill="1" applyBorder="1" applyAlignment="1" applyProtection="1">
      <alignment horizontal="center" vertical="center"/>
      <protection locked="0"/>
    </xf>
    <xf numFmtId="0" fontId="79" fillId="6" borderId="81" xfId="7" applyFont="1" applyFill="1" applyBorder="1" applyAlignment="1" applyProtection="1">
      <alignment horizontal="center" vertical="center"/>
      <protection locked="0"/>
    </xf>
    <xf numFmtId="197" fontId="74" fillId="6" borderId="82" xfId="0" applyNumberFormat="1" applyFont="1" applyFill="1" applyBorder="1">
      <alignment vertical="center"/>
    </xf>
    <xf numFmtId="197" fontId="74" fillId="6" borderId="83" xfId="0" applyNumberFormat="1" applyFont="1" applyFill="1" applyBorder="1">
      <alignment vertical="center"/>
    </xf>
    <xf numFmtId="197" fontId="74" fillId="6" borderId="84" xfId="0" applyNumberFormat="1" applyFont="1" applyFill="1" applyBorder="1">
      <alignment vertical="center"/>
    </xf>
    <xf numFmtId="0" fontId="79" fillId="4" borderId="85" xfId="7" applyFont="1" applyFill="1" applyBorder="1" applyAlignment="1" applyProtection="1">
      <alignment horizontal="center" vertical="center"/>
      <protection locked="0"/>
    </xf>
    <xf numFmtId="197" fontId="74" fillId="4" borderId="86" xfId="0" applyNumberFormat="1" applyFont="1" applyFill="1" applyBorder="1">
      <alignment vertical="center"/>
    </xf>
    <xf numFmtId="197" fontId="74" fillId="4" borderId="73" xfId="0" applyNumberFormat="1" applyFont="1" applyFill="1" applyBorder="1">
      <alignment vertical="center"/>
    </xf>
    <xf numFmtId="197" fontId="74" fillId="4" borderId="74" xfId="0" applyNumberFormat="1" applyFont="1" applyFill="1" applyBorder="1">
      <alignment vertical="center"/>
    </xf>
    <xf numFmtId="41" fontId="84" fillId="6" borderId="79" xfId="0" applyNumberFormat="1" applyFont="1" applyFill="1" applyBorder="1" applyProtection="1">
      <alignment vertical="center"/>
      <protection locked="0"/>
    </xf>
    <xf numFmtId="0" fontId="84" fillId="6" borderId="79" xfId="0" applyFont="1" applyFill="1" applyBorder="1" applyProtection="1">
      <alignment vertical="center"/>
      <protection locked="0"/>
    </xf>
    <xf numFmtId="0" fontId="84" fillId="6" borderId="80" xfId="0" applyFont="1" applyFill="1" applyBorder="1" applyProtection="1">
      <alignment vertical="center"/>
      <protection locked="0"/>
    </xf>
    <xf numFmtId="0" fontId="79" fillId="6" borderId="85" xfId="7" applyFont="1" applyFill="1" applyBorder="1" applyAlignment="1" applyProtection="1">
      <alignment horizontal="center" vertical="center"/>
      <protection locked="0"/>
    </xf>
    <xf numFmtId="197" fontId="74" fillId="6" borderId="86" xfId="0" applyNumberFormat="1" applyFont="1" applyFill="1" applyBorder="1">
      <alignment vertical="center"/>
    </xf>
    <xf numFmtId="197" fontId="74" fillId="6" borderId="73" xfId="0" applyNumberFormat="1" applyFont="1" applyFill="1" applyBorder="1">
      <alignment vertical="center"/>
    </xf>
    <xf numFmtId="197" fontId="74" fillId="6" borderId="74" xfId="0" applyNumberFormat="1" applyFont="1" applyFill="1" applyBorder="1">
      <alignment vertical="center"/>
    </xf>
    <xf numFmtId="0" fontId="30" fillId="31" borderId="53" xfId="0" applyFont="1" applyFill="1" applyBorder="1" applyAlignment="1">
      <alignment horizontal="center" vertical="center"/>
    </xf>
    <xf numFmtId="0" fontId="30" fillId="27" borderId="53" xfId="0" applyFont="1" applyFill="1" applyBorder="1" applyAlignment="1">
      <alignment horizontal="center" vertical="center"/>
    </xf>
    <xf numFmtId="0" fontId="30" fillId="15" borderId="53" xfId="0" applyFont="1" applyFill="1" applyBorder="1" applyAlignment="1">
      <alignment horizontal="center" vertical="center"/>
    </xf>
    <xf numFmtId="0" fontId="30" fillId="26" borderId="53" xfId="0" applyFont="1" applyFill="1" applyBorder="1" applyAlignment="1">
      <alignment horizontal="center" vertical="center"/>
    </xf>
    <xf numFmtId="0" fontId="30" fillId="30" borderId="53" xfId="0" applyFont="1" applyFill="1" applyBorder="1" applyAlignment="1">
      <alignment horizontal="center" vertical="center"/>
    </xf>
    <xf numFmtId="0" fontId="40" fillId="15" borderId="90" xfId="0" applyFont="1" applyFill="1" applyBorder="1" applyAlignment="1">
      <alignment horizontal="center" vertical="center"/>
    </xf>
    <xf numFmtId="0" fontId="40" fillId="26" borderId="90" xfId="0" applyFont="1" applyFill="1" applyBorder="1" applyAlignment="1">
      <alignment horizontal="center" vertical="center"/>
    </xf>
    <xf numFmtId="0" fontId="40" fillId="30" borderId="90" xfId="0" applyFont="1" applyFill="1" applyBorder="1" applyAlignment="1">
      <alignment horizontal="center" vertical="center"/>
    </xf>
    <xf numFmtId="0" fontId="40" fillId="31" borderId="90" xfId="0" applyFont="1" applyFill="1" applyBorder="1" applyAlignment="1">
      <alignment horizontal="center" vertical="center"/>
    </xf>
    <xf numFmtId="0" fontId="40" fillId="27" borderId="90" xfId="0" applyFont="1" applyFill="1" applyBorder="1" applyAlignment="1">
      <alignment horizontal="center" vertical="center"/>
    </xf>
    <xf numFmtId="0" fontId="40" fillId="15" borderId="91" xfId="0" applyFont="1" applyFill="1" applyBorder="1" applyAlignment="1">
      <alignment horizontal="center" vertical="center"/>
    </xf>
    <xf numFmtId="0" fontId="40" fillId="26" borderId="91" xfId="0" applyFont="1" applyFill="1" applyBorder="1" applyAlignment="1">
      <alignment horizontal="center" vertical="center"/>
    </xf>
    <xf numFmtId="0" fontId="40" fillId="30" borderId="91" xfId="0" applyFont="1" applyFill="1" applyBorder="1" applyAlignment="1">
      <alignment horizontal="center" vertical="center"/>
    </xf>
    <xf numFmtId="0" fontId="40" fillId="31" borderId="91" xfId="0" applyFont="1" applyFill="1" applyBorder="1" applyAlignment="1">
      <alignment horizontal="center" vertical="center"/>
    </xf>
    <xf numFmtId="0" fontId="40" fillId="27" borderId="91" xfId="0" applyFont="1" applyFill="1" applyBorder="1" applyAlignment="1">
      <alignment horizontal="center" vertical="center"/>
    </xf>
    <xf numFmtId="0" fontId="79" fillId="6" borderId="92" xfId="7" applyFont="1" applyFill="1" applyBorder="1" applyAlignment="1" applyProtection="1">
      <alignment horizontal="center" vertical="center"/>
      <protection locked="0"/>
    </xf>
    <xf numFmtId="197" fontId="74" fillId="6" borderId="93" xfId="0" applyNumberFormat="1" applyFont="1" applyFill="1" applyBorder="1">
      <alignment vertical="center"/>
    </xf>
    <xf numFmtId="197" fontId="74" fillId="6" borderId="79" xfId="0" applyNumberFormat="1" applyFont="1" applyFill="1" applyBorder="1">
      <alignment vertical="center"/>
    </xf>
    <xf numFmtId="197" fontId="74" fillId="6" borderId="80" xfId="0" applyNumberFormat="1" applyFont="1" applyFill="1" applyBorder="1">
      <alignment vertical="center"/>
    </xf>
    <xf numFmtId="0" fontId="40" fillId="15" borderId="94" xfId="0" applyFont="1" applyFill="1" applyBorder="1" applyAlignment="1">
      <alignment horizontal="center" vertical="center"/>
    </xf>
    <xf numFmtId="0" fontId="40" fillId="26" borderId="94" xfId="0" applyFont="1" applyFill="1" applyBorder="1" applyAlignment="1">
      <alignment horizontal="center" vertical="center"/>
    </xf>
    <xf numFmtId="0" fontId="40" fillId="30" borderId="94" xfId="0" applyFont="1" applyFill="1" applyBorder="1" applyAlignment="1">
      <alignment horizontal="center" vertical="center"/>
    </xf>
    <xf numFmtId="0" fontId="40" fillId="31" borderId="94" xfId="0" applyFont="1" applyFill="1" applyBorder="1" applyAlignment="1">
      <alignment horizontal="center" vertical="center"/>
    </xf>
    <xf numFmtId="0" fontId="40" fillId="27" borderId="94" xfId="0" applyFont="1" applyFill="1" applyBorder="1" applyAlignment="1">
      <alignment horizontal="center" vertical="center"/>
    </xf>
    <xf numFmtId="0" fontId="40" fillId="15" borderId="96" xfId="0" applyFont="1" applyFill="1" applyBorder="1" applyAlignment="1">
      <alignment horizontal="center" vertical="center"/>
    </xf>
    <xf numFmtId="0" fontId="40" fillId="26" borderId="96" xfId="0" applyFont="1" applyFill="1" applyBorder="1" applyAlignment="1">
      <alignment horizontal="center" vertical="center"/>
    </xf>
    <xf numFmtId="0" fontId="40" fillId="30" borderId="96" xfId="0" applyFont="1" applyFill="1" applyBorder="1" applyAlignment="1">
      <alignment horizontal="center" vertical="center"/>
    </xf>
    <xf numFmtId="0" fontId="40" fillId="31" borderId="96" xfId="0" applyFont="1" applyFill="1" applyBorder="1" applyAlignment="1">
      <alignment horizontal="center" vertical="center"/>
    </xf>
    <xf numFmtId="0" fontId="40" fillId="27" borderId="96" xfId="0" applyFont="1" applyFill="1" applyBorder="1" applyAlignment="1">
      <alignment horizontal="center" vertical="center"/>
    </xf>
    <xf numFmtId="0" fontId="40" fillId="0" borderId="0" xfId="0" applyFont="1">
      <alignment vertical="center"/>
    </xf>
    <xf numFmtId="0" fontId="79" fillId="6" borderId="97" xfId="7" applyFont="1" applyFill="1" applyBorder="1" applyAlignment="1" applyProtection="1">
      <alignment horizontal="center" vertical="center"/>
      <protection locked="0"/>
    </xf>
    <xf numFmtId="41" fontId="79" fillId="6" borderId="98" xfId="6" applyFont="1" applyFill="1" applyBorder="1" applyAlignment="1" applyProtection="1">
      <alignment horizontal="center" vertical="center"/>
      <protection locked="0"/>
    </xf>
    <xf numFmtId="0" fontId="67" fillId="6" borderId="0" xfId="0" applyFont="1" applyFill="1">
      <alignment vertical="center"/>
    </xf>
    <xf numFmtId="0" fontId="79" fillId="6" borderId="99" xfId="7" applyFont="1" applyFill="1" applyBorder="1" applyAlignment="1" applyProtection="1">
      <alignment horizontal="center" vertical="center"/>
      <protection locked="0"/>
    </xf>
    <xf numFmtId="41" fontId="79" fillId="6" borderId="13" xfId="6" applyFont="1" applyFill="1" applyBorder="1" applyAlignment="1" applyProtection="1">
      <alignment horizontal="center" vertical="center"/>
      <protection locked="0"/>
    </xf>
    <xf numFmtId="41" fontId="79" fillId="6" borderId="11" xfId="6" applyFont="1" applyFill="1" applyBorder="1" applyAlignment="1" applyProtection="1">
      <alignment horizontal="center" vertical="center"/>
      <protection locked="0"/>
    </xf>
    <xf numFmtId="41" fontId="79" fillId="6" borderId="100" xfId="6" applyFont="1" applyFill="1" applyBorder="1" applyAlignment="1" applyProtection="1">
      <alignment horizontal="center" vertical="center"/>
      <protection locked="0"/>
    </xf>
    <xf numFmtId="0" fontId="74" fillId="6" borderId="0" xfId="0" applyFont="1" applyFill="1">
      <alignment vertical="center"/>
    </xf>
    <xf numFmtId="41" fontId="74" fillId="6" borderId="0" xfId="1" applyFont="1" applyFill="1">
      <alignment vertical="center"/>
    </xf>
    <xf numFmtId="41" fontId="40" fillId="6" borderId="0" xfId="1" applyFont="1" applyFill="1">
      <alignment vertical="center"/>
    </xf>
    <xf numFmtId="0" fontId="86" fillId="6" borderId="0" xfId="0" applyFont="1" applyFill="1" applyProtection="1">
      <alignment vertical="center"/>
      <protection locked="0"/>
    </xf>
    <xf numFmtId="41" fontId="86" fillId="6" borderId="0" xfId="1" applyFont="1" applyFill="1" applyProtection="1">
      <alignment vertical="center"/>
      <protection locked="0"/>
    </xf>
    <xf numFmtId="0" fontId="86" fillId="6" borderId="101" xfId="0" applyFont="1" applyFill="1" applyBorder="1" applyProtection="1">
      <alignment vertical="center"/>
      <protection locked="0"/>
    </xf>
    <xf numFmtId="41" fontId="86" fillId="6" borderId="102" xfId="1" applyFont="1" applyFill="1" applyBorder="1" applyProtection="1">
      <alignment vertical="center"/>
      <protection locked="0"/>
    </xf>
    <xf numFmtId="0" fontId="86" fillId="6" borderId="9" xfId="0" applyFont="1" applyFill="1" applyBorder="1" applyProtection="1">
      <alignment vertical="center"/>
      <protection locked="0"/>
    </xf>
    <xf numFmtId="41" fontId="86" fillId="6" borderId="0" xfId="1" applyFont="1" applyFill="1" applyBorder="1" applyProtection="1">
      <alignment vertical="center"/>
      <protection locked="0"/>
    </xf>
    <xf numFmtId="0" fontId="86" fillId="6" borderId="78" xfId="0" applyFont="1" applyFill="1" applyBorder="1" applyProtection="1">
      <alignment vertical="center"/>
      <protection locked="0"/>
    </xf>
    <xf numFmtId="41" fontId="86" fillId="6" borderId="103" xfId="1" applyFont="1" applyFill="1" applyBorder="1" applyProtection="1">
      <alignment vertical="center"/>
      <protection locked="0"/>
    </xf>
    <xf numFmtId="0" fontId="86" fillId="6" borderId="102" xfId="0" applyFont="1" applyFill="1" applyBorder="1" applyProtection="1">
      <alignment vertical="center"/>
      <protection locked="0"/>
    </xf>
    <xf numFmtId="0" fontId="86" fillId="6" borderId="103" xfId="0" applyFont="1" applyFill="1" applyBorder="1" applyProtection="1">
      <alignment vertical="center"/>
      <protection locked="0"/>
    </xf>
    <xf numFmtId="0" fontId="86" fillId="6" borderId="0" xfId="0" applyFont="1" applyFill="1" applyProtection="1">
      <alignment vertical="center"/>
      <protection hidden="1"/>
    </xf>
    <xf numFmtId="41" fontId="86" fillId="6" borderId="0" xfId="0" applyNumberFormat="1" applyFont="1" applyFill="1" applyProtection="1">
      <alignment vertical="center"/>
      <protection locked="0"/>
    </xf>
    <xf numFmtId="0" fontId="86" fillId="6" borderId="100" xfId="0" applyFont="1" applyFill="1" applyBorder="1" applyAlignment="1" applyProtection="1">
      <alignment horizontal="left" vertical="center"/>
      <protection locked="0"/>
    </xf>
    <xf numFmtId="0" fontId="86" fillId="6" borderId="73" xfId="0" applyFont="1" applyFill="1" applyBorder="1" applyAlignment="1" applyProtection="1">
      <alignment horizontal="left" vertical="center"/>
      <protection locked="0"/>
    </xf>
    <xf numFmtId="3" fontId="86" fillId="6" borderId="0" xfId="0" applyNumberFormat="1" applyFont="1" applyFill="1" applyProtection="1">
      <alignment vertical="center"/>
      <protection hidden="1"/>
    </xf>
    <xf numFmtId="41" fontId="86" fillId="6" borderId="108" xfId="1" applyFont="1" applyFill="1" applyBorder="1" applyProtection="1">
      <alignment vertical="center"/>
      <protection locked="0"/>
    </xf>
    <xf numFmtId="41" fontId="86" fillId="6" borderId="0" xfId="0" applyNumberFormat="1" applyFont="1" applyFill="1" applyProtection="1">
      <alignment vertical="center"/>
      <protection hidden="1"/>
    </xf>
    <xf numFmtId="41" fontId="86" fillId="6" borderId="109" xfId="1" applyFont="1" applyFill="1" applyBorder="1" applyProtection="1">
      <alignment vertical="center"/>
      <protection locked="0"/>
    </xf>
    <xf numFmtId="41" fontId="86" fillId="32" borderId="109" xfId="1" applyFont="1" applyFill="1" applyBorder="1" applyProtection="1">
      <alignment vertical="center"/>
      <protection locked="0"/>
    </xf>
    <xf numFmtId="41" fontId="86" fillId="32" borderId="110" xfId="1" applyFont="1" applyFill="1" applyBorder="1" applyProtection="1">
      <alignment vertical="center"/>
      <protection locked="0"/>
    </xf>
    <xf numFmtId="41" fontId="86" fillId="32" borderId="111" xfId="1" applyFont="1" applyFill="1" applyBorder="1" applyProtection="1">
      <alignment vertical="center"/>
      <protection locked="0"/>
    </xf>
    <xf numFmtId="41" fontId="86" fillId="6" borderId="113" xfId="1" applyFont="1" applyFill="1" applyBorder="1" applyProtection="1">
      <alignment vertical="center"/>
      <protection locked="0"/>
    </xf>
    <xf numFmtId="0" fontId="86" fillId="6" borderId="10" xfId="0" applyFont="1" applyFill="1" applyBorder="1" applyAlignment="1" applyProtection="1">
      <alignment horizontal="left" vertical="center"/>
      <protection locked="0"/>
    </xf>
    <xf numFmtId="41" fontId="89" fillId="6" borderId="0" xfId="1" applyFont="1" applyFill="1" applyProtection="1">
      <alignment vertical="center"/>
      <protection locked="0"/>
    </xf>
    <xf numFmtId="195" fontId="89" fillId="6" borderId="0" xfId="0" applyNumberFormat="1" applyFont="1" applyFill="1" applyProtection="1">
      <alignment vertical="center"/>
      <protection hidden="1"/>
    </xf>
    <xf numFmtId="0" fontId="89" fillId="6" borderId="0" xfId="0" applyFont="1" applyFill="1" applyProtection="1">
      <alignment vertical="center"/>
      <protection hidden="1"/>
    </xf>
    <xf numFmtId="0" fontId="32" fillId="6" borderId="9" xfId="0" applyFont="1" applyFill="1" applyBorder="1" applyProtection="1">
      <alignment vertical="center"/>
      <protection hidden="1"/>
    </xf>
    <xf numFmtId="0" fontId="86" fillId="6" borderId="79" xfId="0" applyFont="1" applyFill="1" applyBorder="1" applyAlignment="1" applyProtection="1">
      <alignment horizontal="left" vertical="center"/>
      <protection locked="0"/>
    </xf>
    <xf numFmtId="0" fontId="91" fillId="6" borderId="102" xfId="7" applyFont="1" applyFill="1" applyBorder="1" applyAlignment="1" applyProtection="1">
      <alignment horizontal="center" vertical="center"/>
      <protection locked="0"/>
    </xf>
    <xf numFmtId="0" fontId="91" fillId="6" borderId="107" xfId="7" applyFont="1" applyFill="1" applyBorder="1" applyAlignment="1" applyProtection="1">
      <alignment horizontal="center" vertical="center"/>
      <protection locked="0"/>
    </xf>
    <xf numFmtId="0" fontId="91" fillId="6" borderId="103" xfId="7" applyFont="1" applyFill="1" applyBorder="1" applyAlignment="1" applyProtection="1">
      <alignment horizontal="center" vertical="center"/>
      <protection locked="0"/>
    </xf>
    <xf numFmtId="0" fontId="92" fillId="0" borderId="115" xfId="0" applyFont="1" applyBorder="1">
      <alignment vertical="center"/>
    </xf>
    <xf numFmtId="0" fontId="93" fillId="0" borderId="115" xfId="0" applyFont="1" applyBorder="1">
      <alignment vertical="center"/>
    </xf>
    <xf numFmtId="0" fontId="0" fillId="33" borderId="10" xfId="0" applyFill="1" applyBorder="1">
      <alignment vertical="center"/>
    </xf>
    <xf numFmtId="41" fontId="0" fillId="0" borderId="0" xfId="0" applyNumberFormat="1">
      <alignment vertical="center"/>
    </xf>
    <xf numFmtId="41" fontId="0" fillId="0" borderId="0" xfId="1" applyFont="1">
      <alignment vertical="center"/>
    </xf>
    <xf numFmtId="0" fontId="0" fillId="0" borderId="8" xfId="0" applyBorder="1" applyAlignment="1">
      <alignment horizontal="center" vertical="center"/>
    </xf>
    <xf numFmtId="0" fontId="0" fillId="0" borderId="12" xfId="0" applyBorder="1">
      <alignment vertical="center"/>
    </xf>
    <xf numFmtId="0" fontId="0" fillId="0" borderId="1" xfId="0" applyBorder="1">
      <alignment vertical="center"/>
    </xf>
    <xf numFmtId="0" fontId="0" fillId="0" borderId="10" xfId="0" applyBorder="1">
      <alignment vertical="center"/>
    </xf>
    <xf numFmtId="0" fontId="0" fillId="0" borderId="11" xfId="0" applyBorder="1">
      <alignment vertical="center"/>
    </xf>
    <xf numFmtId="0" fontId="0" fillId="0" borderId="8" xfId="0" applyBorder="1">
      <alignment vertical="center"/>
    </xf>
    <xf numFmtId="0" fontId="0" fillId="0" borderId="10" xfId="0" applyBorder="1" applyAlignment="1">
      <alignment horizontal="center" vertical="center"/>
    </xf>
    <xf numFmtId="0" fontId="0" fillId="33" borderId="11" xfId="0" applyFill="1" applyBorder="1">
      <alignment vertical="center"/>
    </xf>
    <xf numFmtId="195" fontId="0" fillId="0" borderId="0" xfId="0" applyNumberFormat="1">
      <alignment vertical="center"/>
    </xf>
    <xf numFmtId="41" fontId="40" fillId="6" borderId="15" xfId="0" applyNumberFormat="1" applyFont="1" applyFill="1" applyBorder="1" applyAlignment="1">
      <alignment horizontal="center" vertical="center"/>
    </xf>
    <xf numFmtId="0" fontId="40" fillId="6" borderId="10" xfId="0" applyFont="1" applyFill="1" applyBorder="1">
      <alignment vertical="center"/>
    </xf>
    <xf numFmtId="0" fontId="40" fillId="6" borderId="11" xfId="0" applyFont="1" applyFill="1" applyBorder="1">
      <alignment vertical="center"/>
    </xf>
    <xf numFmtId="41" fontId="40" fillId="6" borderId="15" xfId="1" applyFont="1" applyFill="1" applyBorder="1" applyAlignment="1">
      <alignment horizontal="center" vertical="center"/>
    </xf>
    <xf numFmtId="41" fontId="40" fillId="6" borderId="6" xfId="1" applyFont="1" applyFill="1" applyBorder="1" applyAlignment="1">
      <alignment horizontal="center" vertical="center"/>
    </xf>
    <xf numFmtId="41" fontId="40" fillId="6" borderId="7" xfId="1" applyFont="1" applyFill="1" applyBorder="1" applyAlignment="1">
      <alignment horizontal="center" vertical="center"/>
    </xf>
    <xf numFmtId="41" fontId="40" fillId="6" borderId="6" xfId="0" applyNumberFormat="1" applyFont="1" applyFill="1" applyBorder="1" applyAlignment="1">
      <alignment horizontal="center" vertical="center"/>
    </xf>
    <xf numFmtId="41" fontId="40" fillId="6" borderId="7" xfId="0" applyNumberFormat="1" applyFont="1" applyFill="1" applyBorder="1" applyAlignment="1">
      <alignment horizontal="center" vertical="center"/>
    </xf>
    <xf numFmtId="41" fontId="26" fillId="6" borderId="0" xfId="0" applyNumberFormat="1" applyFont="1" applyFill="1">
      <alignment vertical="center"/>
    </xf>
    <xf numFmtId="0" fontId="0" fillId="0" borderId="0" xfId="0" applyAlignment="1">
      <alignment horizontal="center" vertical="center"/>
    </xf>
    <xf numFmtId="0" fontId="0" fillId="0" borderId="7" xfId="0" applyBorder="1">
      <alignment vertical="center"/>
    </xf>
    <xf numFmtId="0" fontId="26" fillId="0" borderId="116" xfId="0" applyFont="1" applyBorder="1">
      <alignment vertical="center"/>
    </xf>
    <xf numFmtId="0" fontId="26" fillId="6" borderId="117" xfId="0" applyFont="1" applyFill="1" applyBorder="1">
      <alignment vertical="center"/>
    </xf>
    <xf numFmtId="41" fontId="26" fillId="6" borderId="0" xfId="1" applyFont="1" applyFill="1" applyBorder="1" applyAlignment="1">
      <alignment vertical="center"/>
    </xf>
    <xf numFmtId="41" fontId="26" fillId="0" borderId="116" xfId="1" applyFont="1" applyBorder="1" applyAlignment="1">
      <alignment vertical="center"/>
    </xf>
    <xf numFmtId="10" fontId="5" fillId="0" borderId="0" xfId="2" applyNumberFormat="1" applyFont="1" applyBorder="1" applyAlignment="1" applyProtection="1">
      <alignment horizontal="center" vertical="center"/>
      <protection locked="0"/>
    </xf>
    <xf numFmtId="190" fontId="9" fillId="4" borderId="5" xfId="2" applyNumberFormat="1" applyFont="1" applyFill="1" applyBorder="1" applyAlignment="1" applyProtection="1">
      <alignment horizontal="center" vertical="center"/>
      <protection locked="0"/>
    </xf>
    <xf numFmtId="10" fontId="5" fillId="4" borderId="8" xfId="0" applyNumberFormat="1" applyFont="1" applyFill="1" applyBorder="1" applyAlignment="1" applyProtection="1">
      <alignment horizontal="center" vertical="center"/>
      <protection locked="0"/>
    </xf>
    <xf numFmtId="200" fontId="79" fillId="0" borderId="0" xfId="8" applyFont="1">
      <alignment vertical="center"/>
    </xf>
    <xf numFmtId="0" fontId="79" fillId="0" borderId="0" xfId="8" applyNumberFormat="1" applyFont="1">
      <alignment vertical="center"/>
    </xf>
    <xf numFmtId="0" fontId="79" fillId="0" borderId="2" xfId="8" applyNumberFormat="1" applyFont="1" applyBorder="1">
      <alignment vertical="center"/>
    </xf>
    <xf numFmtId="0" fontId="99" fillId="0" borderId="3" xfId="8" applyNumberFormat="1" applyFont="1" applyBorder="1">
      <alignment vertical="center"/>
    </xf>
    <xf numFmtId="0" fontId="79" fillId="0" borderId="8" xfId="8" applyNumberFormat="1" applyFont="1" applyBorder="1">
      <alignment vertical="center"/>
    </xf>
    <xf numFmtId="0" fontId="99" fillId="0" borderId="9" xfId="8" applyNumberFormat="1" applyFont="1" applyBorder="1">
      <alignment vertical="center"/>
    </xf>
    <xf numFmtId="0" fontId="79" fillId="0" borderId="0" xfId="8" applyNumberFormat="1" applyFont="1" applyAlignment="1">
      <alignment horizontal="center" vertical="center"/>
    </xf>
    <xf numFmtId="0" fontId="79" fillId="0" borderId="0" xfId="9" applyNumberFormat="1" applyFont="1" applyFill="1" applyBorder="1" applyAlignment="1" applyProtection="1">
      <alignment horizontal="left" vertical="center"/>
    </xf>
    <xf numFmtId="0" fontId="102" fillId="0" borderId="0" xfId="8" applyNumberFormat="1" applyFont="1">
      <alignment vertical="center"/>
    </xf>
    <xf numFmtId="0" fontId="79" fillId="0" borderId="129" xfId="8" applyNumberFormat="1" applyFont="1" applyBorder="1">
      <alignment vertical="center"/>
    </xf>
    <xf numFmtId="0" fontId="74" fillId="0" borderId="8" xfId="8" applyNumberFormat="1" applyFont="1" applyBorder="1">
      <alignment vertical="center"/>
    </xf>
    <xf numFmtId="0" fontId="74" fillId="0" borderId="0" xfId="8" applyNumberFormat="1" applyFont="1" applyAlignment="1">
      <alignment horizontal="center" vertical="center"/>
    </xf>
    <xf numFmtId="0" fontId="74" fillId="0" borderId="0" xfId="9" applyNumberFormat="1" applyFont="1" applyFill="1" applyBorder="1" applyAlignment="1" applyProtection="1">
      <alignment horizontal="left" vertical="center"/>
    </xf>
    <xf numFmtId="0" fontId="30" fillId="0" borderId="0" xfId="8" applyNumberFormat="1" applyFont="1" applyAlignment="1">
      <alignment horizontal="center" vertical="center"/>
    </xf>
    <xf numFmtId="0" fontId="103" fillId="0" borderId="9" xfId="8" applyNumberFormat="1" applyFont="1" applyBorder="1">
      <alignment vertical="center"/>
    </xf>
    <xf numFmtId="0" fontId="30" fillId="4" borderId="124" xfId="8" applyNumberFormat="1" applyFont="1" applyFill="1" applyBorder="1" applyAlignment="1">
      <alignment horizontal="center" vertical="center"/>
    </xf>
    <xf numFmtId="0" fontId="30" fillId="6" borderId="0" xfId="8" applyNumberFormat="1" applyFont="1" applyFill="1" applyAlignment="1">
      <alignment horizontal="center" vertical="center"/>
    </xf>
    <xf numFmtId="41" fontId="74" fillId="6" borderId="0" xfId="1" applyFont="1" applyFill="1" applyBorder="1" applyAlignment="1" applyProtection="1">
      <alignment horizontal="left" vertical="center"/>
    </xf>
    <xf numFmtId="41" fontId="74" fillId="6" borderId="0" xfId="1" applyFont="1" applyFill="1" applyBorder="1" applyAlignment="1" applyProtection="1">
      <alignment horizontal="center" vertical="center"/>
    </xf>
    <xf numFmtId="0" fontId="30" fillId="6" borderId="0" xfId="9" applyNumberFormat="1" applyFont="1" applyFill="1" applyBorder="1" applyAlignment="1" applyProtection="1">
      <alignment horizontal="center" vertical="center"/>
    </xf>
    <xf numFmtId="0" fontId="33" fillId="6" borderId="0" xfId="9" applyNumberFormat="1" applyFont="1" applyFill="1" applyBorder="1" applyAlignment="1" applyProtection="1">
      <alignment horizontal="center" vertical="center"/>
    </xf>
    <xf numFmtId="0" fontId="30" fillId="0" borderId="0" xfId="8" applyNumberFormat="1" applyFont="1">
      <alignment vertical="center"/>
    </xf>
    <xf numFmtId="0" fontId="74" fillId="0" borderId="0" xfId="8" applyNumberFormat="1" applyFont="1">
      <alignment vertical="center"/>
    </xf>
    <xf numFmtId="0" fontId="105" fillId="0" borderId="0" xfId="8" applyNumberFormat="1" applyFont="1">
      <alignment vertical="center"/>
    </xf>
    <xf numFmtId="0" fontId="103" fillId="0" borderId="131" xfId="9" applyNumberFormat="1" applyFont="1" applyFill="1" applyBorder="1" applyAlignment="1" applyProtection="1">
      <alignment horizontal="center" vertical="center"/>
    </xf>
    <xf numFmtId="0" fontId="30" fillId="14" borderId="124" xfId="8" applyNumberFormat="1" applyFont="1" applyFill="1" applyBorder="1" applyAlignment="1">
      <alignment horizontal="center" vertical="center"/>
    </xf>
    <xf numFmtId="0" fontId="67" fillId="6" borderId="129" xfId="8" applyNumberFormat="1" applyFont="1" applyFill="1" applyBorder="1" applyAlignment="1">
      <alignment horizontal="center" vertical="center"/>
    </xf>
    <xf numFmtId="0" fontId="74" fillId="6" borderId="124" xfId="8" applyNumberFormat="1" applyFont="1" applyFill="1" applyBorder="1" applyAlignment="1">
      <alignment horizontal="center" vertical="center"/>
    </xf>
    <xf numFmtId="200" fontId="108" fillId="0" borderId="0" xfId="8" applyFont="1">
      <alignment vertical="center"/>
    </xf>
    <xf numFmtId="0" fontId="109" fillId="6" borderId="0" xfId="8" applyNumberFormat="1" applyFont="1" applyFill="1" applyAlignment="1">
      <alignment horizontal="center" vertical="center" wrapText="1"/>
    </xf>
    <xf numFmtId="0" fontId="107" fillId="0" borderId="0" xfId="8" applyNumberFormat="1" applyFont="1" applyAlignment="1">
      <alignment horizontal="center" vertical="center"/>
    </xf>
    <xf numFmtId="200" fontId="74" fillId="0" borderId="12" xfId="8" applyFont="1" applyBorder="1">
      <alignment vertical="center"/>
    </xf>
    <xf numFmtId="200" fontId="74" fillId="0" borderId="1" xfId="8" applyFont="1" applyBorder="1">
      <alignment vertical="center"/>
    </xf>
    <xf numFmtId="14" fontId="74" fillId="0" borderId="1" xfId="9" applyNumberFormat="1" applyFont="1" applyBorder="1" applyAlignment="1" applyProtection="1">
      <alignment horizontal="right" vertical="center"/>
    </xf>
    <xf numFmtId="200" fontId="79" fillId="0" borderId="13" xfId="8" applyFont="1" applyBorder="1">
      <alignment vertical="center"/>
    </xf>
    <xf numFmtId="200" fontId="110" fillId="0" borderId="0" xfId="10" applyFill="1" applyAlignment="1">
      <alignment vertical="center"/>
    </xf>
    <xf numFmtId="0" fontId="79" fillId="27" borderId="53" xfId="8" applyNumberFormat="1" applyFont="1" applyFill="1" applyBorder="1">
      <alignment vertical="center"/>
    </xf>
    <xf numFmtId="0" fontId="30" fillId="14" borderId="148" xfId="8" applyNumberFormat="1" applyFont="1" applyFill="1" applyBorder="1" applyAlignment="1">
      <alignment horizontal="center" vertical="center" shrinkToFit="1"/>
    </xf>
    <xf numFmtId="0" fontId="67" fillId="27" borderId="53" xfId="8" applyNumberFormat="1" applyFont="1" applyFill="1" applyBorder="1" applyAlignment="1" applyProtection="1">
      <alignment horizontal="center" vertical="center"/>
      <protection locked="0"/>
    </xf>
    <xf numFmtId="0" fontId="74" fillId="6" borderId="128" xfId="8" applyNumberFormat="1" applyFont="1" applyFill="1" applyBorder="1" applyAlignment="1">
      <alignment horizontal="center" vertical="center"/>
    </xf>
    <xf numFmtId="181" fontId="9" fillId="6" borderId="0" xfId="0" applyNumberFormat="1" applyFont="1" applyFill="1" applyAlignment="1" applyProtection="1">
      <alignment horizontal="center" vertical="center"/>
      <protection locked="0"/>
    </xf>
    <xf numFmtId="0" fontId="15" fillId="0" borderId="0" xfId="0" applyFont="1" applyAlignment="1" applyProtection="1">
      <alignment horizontal="center" vertical="center"/>
      <protection locked="0"/>
    </xf>
    <xf numFmtId="190" fontId="9" fillId="4" borderId="5" xfId="2" quotePrefix="1" applyNumberFormat="1" applyFont="1" applyFill="1" applyBorder="1" applyAlignment="1" applyProtection="1">
      <alignment horizontal="center" vertical="center"/>
      <protection locked="0"/>
    </xf>
    <xf numFmtId="6" fontId="9" fillId="0" borderId="5" xfId="1" applyNumberFormat="1" applyFont="1" applyFill="1" applyBorder="1" applyAlignment="1" applyProtection="1">
      <alignment vertical="center"/>
      <protection locked="0"/>
    </xf>
    <xf numFmtId="6" fontId="9" fillId="0" borderId="5" xfId="1" applyNumberFormat="1" applyFont="1" applyFill="1" applyBorder="1" applyAlignment="1" applyProtection="1">
      <alignment horizontal="center" vertical="center"/>
      <protection locked="0"/>
    </xf>
    <xf numFmtId="0" fontId="40" fillId="0" borderId="5" xfId="0" applyFont="1" applyBorder="1" applyAlignment="1">
      <alignment horizontal="center" vertical="center"/>
    </xf>
    <xf numFmtId="0" fontId="44" fillId="0" borderId="0" xfId="0" applyFont="1">
      <alignment vertical="center"/>
    </xf>
    <xf numFmtId="0" fontId="74" fillId="0" borderId="5" xfId="0" applyFont="1" applyBorder="1" applyAlignment="1">
      <alignment horizontal="center" vertical="center"/>
    </xf>
    <xf numFmtId="41" fontId="74" fillId="0" borderId="5" xfId="1" applyFont="1" applyBorder="1" applyAlignment="1">
      <alignment horizontal="center" vertical="center"/>
    </xf>
    <xf numFmtId="3" fontId="111" fillId="6" borderId="5" xfId="0" applyNumberFormat="1" applyFont="1" applyFill="1" applyBorder="1" applyAlignment="1">
      <alignment horizontal="right" vertical="center" wrapText="1" readingOrder="1"/>
    </xf>
    <xf numFmtId="3" fontId="112" fillId="36" borderId="5" xfId="0" applyNumberFormat="1" applyFont="1" applyFill="1" applyBorder="1" applyAlignment="1">
      <alignment horizontal="right" vertical="center" wrapText="1" readingOrder="1"/>
    </xf>
    <xf numFmtId="3" fontId="111" fillId="35" borderId="5" xfId="0" applyNumberFormat="1" applyFont="1" applyFill="1" applyBorder="1" applyAlignment="1">
      <alignment horizontal="right" vertical="center" wrapText="1" readingOrder="1"/>
    </xf>
    <xf numFmtId="0" fontId="79" fillId="5" borderId="75" xfId="7" applyFont="1" applyFill="1" applyBorder="1" applyAlignment="1" applyProtection="1">
      <alignment horizontal="center" vertical="center"/>
      <protection locked="0"/>
    </xf>
    <xf numFmtId="0" fontId="73" fillId="0" borderId="0" xfId="0" applyFont="1" applyProtection="1">
      <alignment vertical="center"/>
      <protection hidden="1"/>
    </xf>
    <xf numFmtId="0" fontId="26" fillId="0" borderId="11" xfId="0" applyFont="1" applyBorder="1" applyAlignment="1">
      <alignment horizontal="center" vertical="center"/>
    </xf>
    <xf numFmtId="0" fontId="26" fillId="6" borderId="5" xfId="0" applyFont="1" applyFill="1" applyBorder="1" applyAlignment="1">
      <alignment horizontal="center" vertical="center" wrapText="1"/>
    </xf>
    <xf numFmtId="0" fontId="39" fillId="6" borderId="5" xfId="0" applyFont="1" applyFill="1" applyBorder="1" applyAlignment="1">
      <alignment horizontal="center" vertical="center"/>
    </xf>
    <xf numFmtId="0" fontId="39" fillId="6" borderId="5" xfId="0" applyFont="1" applyFill="1" applyBorder="1" applyAlignment="1">
      <alignment horizontal="center" vertical="center" wrapText="1"/>
    </xf>
    <xf numFmtId="0" fontId="114" fillId="37" borderId="7" xfId="0" applyFont="1" applyFill="1" applyBorder="1" applyAlignment="1">
      <alignment horizontal="center" vertical="center" wrapText="1" readingOrder="1"/>
    </xf>
    <xf numFmtId="0" fontId="113" fillId="0" borderId="0" xfId="0" applyFont="1">
      <alignment vertical="center"/>
    </xf>
    <xf numFmtId="0" fontId="114" fillId="37" borderId="5" xfId="0" applyFont="1" applyFill="1" applyBorder="1" applyAlignment="1">
      <alignment horizontal="center" vertical="center" wrapText="1" readingOrder="1"/>
    </xf>
    <xf numFmtId="0" fontId="26" fillId="0" borderId="5" xfId="0" applyFont="1" applyBorder="1" applyAlignment="1">
      <alignment vertical="center" wrapText="1"/>
    </xf>
    <xf numFmtId="0" fontId="64" fillId="0" borderId="5" xfId="0" applyFont="1" applyBorder="1" applyAlignment="1">
      <alignment horizontal="center" vertical="center" wrapText="1"/>
    </xf>
    <xf numFmtId="0" fontId="26" fillId="0" borderId="5" xfId="0" applyFont="1" applyBorder="1" applyAlignment="1">
      <alignment horizontal="center" vertical="center"/>
    </xf>
    <xf numFmtId="0" fontId="26" fillId="6" borderId="5" xfId="0" applyFont="1" applyFill="1" applyBorder="1">
      <alignment vertical="center"/>
    </xf>
    <xf numFmtId="41" fontId="9" fillId="6" borderId="0" xfId="1" applyFont="1" applyFill="1" applyAlignment="1" applyProtection="1">
      <alignment horizontal="center" vertical="center"/>
      <protection locked="0"/>
    </xf>
    <xf numFmtId="9" fontId="9" fillId="6" borderId="0" xfId="2" applyFont="1" applyFill="1" applyAlignment="1" applyProtection="1">
      <alignment horizontal="center" vertical="center"/>
      <protection locked="0"/>
    </xf>
    <xf numFmtId="41" fontId="0" fillId="0" borderId="0" xfId="6" applyFont="1" applyBorder="1" applyAlignment="1" applyProtection="1">
      <alignment vertical="center"/>
      <protection hidden="1"/>
    </xf>
    <xf numFmtId="0" fontId="26" fillId="6" borderId="5" xfId="0" applyFont="1" applyFill="1" applyBorder="1" applyAlignment="1">
      <alignment horizontal="left" vertical="center" wrapText="1"/>
    </xf>
    <xf numFmtId="0" fontId="39" fillId="6" borderId="5" xfId="0" applyFont="1" applyFill="1" applyBorder="1" applyAlignment="1">
      <alignment horizontal="left" vertical="center" wrapText="1"/>
    </xf>
    <xf numFmtId="0" fontId="114" fillId="37" borderId="5" xfId="0" applyFont="1" applyFill="1" applyBorder="1" applyAlignment="1">
      <alignment horizontal="center" vertical="center" wrapText="1"/>
    </xf>
    <xf numFmtId="0" fontId="26" fillId="0" borderId="11" xfId="0" applyFont="1" applyBorder="1" applyAlignment="1">
      <alignment vertical="center" wrapText="1"/>
    </xf>
    <xf numFmtId="0" fontId="28" fillId="0" borderId="0" xfId="0" applyFont="1" applyProtection="1">
      <alignment vertical="center"/>
      <protection hidden="1"/>
    </xf>
    <xf numFmtId="41" fontId="33" fillId="9" borderId="5" xfId="6" applyFont="1" applyFill="1" applyBorder="1" applyAlignment="1" applyProtection="1">
      <alignment horizontal="center" vertical="center"/>
      <protection hidden="1"/>
    </xf>
    <xf numFmtId="204" fontId="33" fillId="0" borderId="11" xfId="1" applyNumberFormat="1" applyFont="1" applyBorder="1" applyAlignment="1">
      <alignment horizontal="right" vertical="center"/>
    </xf>
    <xf numFmtId="0" fontId="0" fillId="6" borderId="0" xfId="0" applyFill="1" applyProtection="1">
      <alignment vertical="center"/>
      <protection hidden="1"/>
    </xf>
    <xf numFmtId="0" fontId="28" fillId="6" borderId="0" xfId="0" applyFont="1" applyFill="1" applyAlignment="1" applyProtection="1">
      <alignment horizontal="center" vertical="center"/>
      <protection hidden="1"/>
    </xf>
    <xf numFmtId="0" fontId="26" fillId="6" borderId="0" xfId="0" applyFont="1" applyFill="1" applyAlignment="1">
      <alignment horizontal="right" vertical="center"/>
    </xf>
    <xf numFmtId="0" fontId="117" fillId="0" borderId="0" xfId="8" applyNumberFormat="1" applyFont="1">
      <alignment vertical="center"/>
    </xf>
    <xf numFmtId="207" fontId="9" fillId="0" borderId="0" xfId="0" applyNumberFormat="1" applyFont="1" applyAlignment="1" applyProtection="1">
      <alignment horizontal="center" vertical="center"/>
      <protection locked="0"/>
    </xf>
    <xf numFmtId="9" fontId="6" fillId="6" borderId="0" xfId="0" applyNumberFormat="1" applyFont="1" applyFill="1" applyAlignment="1" applyProtection="1">
      <alignment horizontal="center" vertical="center"/>
      <protection locked="0"/>
    </xf>
    <xf numFmtId="3" fontId="86" fillId="6" borderId="0" xfId="0" applyNumberFormat="1" applyFont="1" applyFill="1" applyProtection="1">
      <alignment vertical="center"/>
      <protection locked="0"/>
    </xf>
    <xf numFmtId="0" fontId="119" fillId="0" borderId="0" xfId="0" applyFont="1" applyAlignment="1" applyProtection="1">
      <alignment horizontal="center" vertical="center"/>
      <protection locked="0"/>
    </xf>
    <xf numFmtId="0" fontId="119" fillId="0" borderId="0" xfId="0" applyFont="1" applyAlignment="1" applyProtection="1">
      <alignment horizontal="left" vertical="center" indent="1"/>
      <protection locked="0"/>
    </xf>
    <xf numFmtId="0" fontId="119" fillId="6" borderId="0" xfId="0" applyFont="1" applyFill="1" applyAlignment="1" applyProtection="1">
      <alignment horizontal="left" vertical="center" indent="1"/>
      <protection locked="0"/>
    </xf>
    <xf numFmtId="0" fontId="119" fillId="0" borderId="0" xfId="0" applyFont="1" applyProtection="1">
      <alignment vertical="center"/>
      <protection locked="0"/>
    </xf>
    <xf numFmtId="179" fontId="55" fillId="9" borderId="8" xfId="2" applyNumberFormat="1" applyFont="1" applyFill="1" applyBorder="1" applyAlignment="1" applyProtection="1">
      <alignment horizontal="center" vertical="center"/>
      <protection locked="0"/>
    </xf>
    <xf numFmtId="182" fontId="11" fillId="3" borderId="2" xfId="0" applyNumberFormat="1" applyFont="1" applyFill="1" applyBorder="1" applyAlignment="1" applyProtection="1">
      <alignment horizontal="center" vertical="center"/>
      <protection locked="0"/>
    </xf>
    <xf numFmtId="0" fontId="120" fillId="6" borderId="0" xfId="0" applyFont="1" applyFill="1">
      <alignment vertical="center"/>
    </xf>
    <xf numFmtId="179" fontId="14" fillId="4" borderId="2" xfId="2" applyNumberFormat="1" applyFont="1" applyFill="1" applyBorder="1" applyAlignment="1" applyProtection="1">
      <alignment horizontal="center" vertical="center"/>
      <protection locked="0"/>
    </xf>
    <xf numFmtId="179" fontId="14" fillId="4" borderId="8" xfId="2" applyNumberFormat="1" applyFont="1" applyFill="1" applyBorder="1" applyAlignment="1" applyProtection="1">
      <alignment horizontal="center" vertical="center"/>
      <protection locked="0"/>
    </xf>
    <xf numFmtId="179" fontId="14" fillId="4" borderId="12" xfId="2" applyNumberFormat="1" applyFont="1" applyFill="1" applyBorder="1" applyAlignment="1" applyProtection="1">
      <alignment horizontal="center" vertical="center"/>
      <protection locked="0"/>
    </xf>
    <xf numFmtId="0" fontId="7" fillId="0" borderId="5" xfId="0" applyFont="1" applyBorder="1" applyAlignment="1" applyProtection="1">
      <alignment horizontal="center" vertical="center"/>
      <protection locked="0"/>
    </xf>
    <xf numFmtId="0" fontId="69" fillId="26" borderId="5" xfId="0" applyFont="1" applyFill="1" applyBorder="1" applyAlignment="1">
      <alignment horizontal="center" vertical="center"/>
    </xf>
    <xf numFmtId="179" fontId="69" fillId="26" borderId="5" xfId="2" applyNumberFormat="1" applyFont="1" applyFill="1" applyBorder="1" applyAlignment="1">
      <alignment horizontal="center" vertical="center"/>
    </xf>
    <xf numFmtId="0" fontId="122" fillId="34" borderId="122" xfId="0" applyFont="1" applyFill="1" applyBorder="1">
      <alignment vertical="center"/>
    </xf>
    <xf numFmtId="0" fontId="122" fillId="34" borderId="0" xfId="0" applyFont="1" applyFill="1">
      <alignment vertical="center"/>
    </xf>
    <xf numFmtId="0" fontId="122" fillId="34" borderId="123" xfId="0" applyFont="1" applyFill="1" applyBorder="1">
      <alignment vertical="center"/>
    </xf>
    <xf numFmtId="0" fontId="122" fillId="34" borderId="120" xfId="0" applyFont="1" applyFill="1" applyBorder="1">
      <alignment vertical="center"/>
    </xf>
    <xf numFmtId="0" fontId="122" fillId="34" borderId="117" xfId="0" applyFont="1" applyFill="1" applyBorder="1">
      <alignment vertical="center"/>
    </xf>
    <xf numFmtId="0" fontId="122" fillId="34" borderId="121" xfId="0" applyFont="1" applyFill="1" applyBorder="1">
      <alignment vertical="center"/>
    </xf>
    <xf numFmtId="0" fontId="44" fillId="0" borderId="0" xfId="8" applyNumberFormat="1" applyFont="1">
      <alignment vertical="center"/>
    </xf>
    <xf numFmtId="41" fontId="5" fillId="0" borderId="0" xfId="1" applyFont="1" applyBorder="1" applyAlignment="1" applyProtection="1">
      <alignment horizontal="center" vertical="center"/>
      <protection locked="0"/>
    </xf>
    <xf numFmtId="0" fontId="44" fillId="6" borderId="0" xfId="0" applyFont="1" applyFill="1" applyAlignment="1">
      <alignment vertical="center" wrapText="1"/>
    </xf>
    <xf numFmtId="0" fontId="0" fillId="38" borderId="0" xfId="0" applyFill="1">
      <alignment vertical="center"/>
    </xf>
    <xf numFmtId="0" fontId="40" fillId="0" borderId="0" xfId="0" applyFont="1" applyAlignment="1">
      <alignment horizontal="center" vertical="center"/>
    </xf>
    <xf numFmtId="0" fontId="124" fillId="39" borderId="158" xfId="0" applyFont="1" applyFill="1" applyBorder="1" applyAlignment="1">
      <alignment horizontal="center" vertical="center" wrapText="1"/>
    </xf>
    <xf numFmtId="0" fontId="124" fillId="0" borderId="158" xfId="0" applyFont="1" applyBorder="1" applyAlignment="1">
      <alignment horizontal="center" vertical="center" wrapText="1"/>
    </xf>
    <xf numFmtId="0" fontId="124" fillId="5" borderId="158" xfId="0" applyFont="1" applyFill="1" applyBorder="1" applyAlignment="1">
      <alignment horizontal="center" vertical="center" wrapText="1"/>
    </xf>
    <xf numFmtId="41" fontId="125" fillId="0" borderId="158" xfId="1" applyFont="1" applyFill="1" applyBorder="1" applyAlignment="1">
      <alignment horizontal="center" vertical="center" wrapText="1"/>
    </xf>
    <xf numFmtId="2" fontId="0" fillId="0" borderId="0" xfId="0" applyNumberFormat="1">
      <alignment vertical="center"/>
    </xf>
    <xf numFmtId="192" fontId="0" fillId="0" borderId="0" xfId="0" applyNumberFormat="1">
      <alignment vertical="center"/>
    </xf>
    <xf numFmtId="209" fontId="0" fillId="0" borderId="0" xfId="0" applyNumberFormat="1">
      <alignment vertical="center"/>
    </xf>
    <xf numFmtId="41" fontId="125" fillId="0" borderId="158" xfId="1" applyFont="1" applyBorder="1" applyAlignment="1">
      <alignment horizontal="center" vertical="center" wrapText="1"/>
    </xf>
    <xf numFmtId="41" fontId="125" fillId="5" borderId="158" xfId="1" applyFont="1" applyFill="1" applyBorder="1" applyAlignment="1">
      <alignment horizontal="center" vertical="center" wrapText="1"/>
    </xf>
    <xf numFmtId="41" fontId="125" fillId="0" borderId="0" xfId="1" applyFont="1" applyFill="1" applyBorder="1" applyAlignment="1">
      <alignment horizontal="center" vertical="center" wrapText="1"/>
    </xf>
    <xf numFmtId="41" fontId="125" fillId="0" borderId="0" xfId="1" applyFont="1" applyBorder="1" applyAlignment="1">
      <alignment horizontal="center" vertical="center" wrapText="1"/>
    </xf>
    <xf numFmtId="41" fontId="67" fillId="0" borderId="0" xfId="0" applyNumberFormat="1" applyFont="1">
      <alignment vertical="center"/>
    </xf>
    <xf numFmtId="0" fontId="67" fillId="0" borderId="0" xfId="0" applyFont="1">
      <alignment vertical="center"/>
    </xf>
    <xf numFmtId="0" fontId="127" fillId="0" borderId="0" xfId="0" applyFont="1">
      <alignment vertical="center"/>
    </xf>
    <xf numFmtId="0" fontId="67" fillId="35" borderId="0" xfId="0" applyFont="1" applyFill="1">
      <alignment vertical="center"/>
    </xf>
    <xf numFmtId="0" fontId="127" fillId="0" borderId="0" xfId="0" applyFont="1" applyAlignment="1">
      <alignment horizontal="center" vertical="center"/>
    </xf>
    <xf numFmtId="0" fontId="127" fillId="16" borderId="0" xfId="0" applyFont="1" applyFill="1" applyAlignment="1">
      <alignment horizontal="center" vertical="center"/>
    </xf>
    <xf numFmtId="0" fontId="0" fillId="16" borderId="0" xfId="0" applyFill="1">
      <alignment vertical="center"/>
    </xf>
    <xf numFmtId="0" fontId="33" fillId="16" borderId="0" xfId="0" applyFont="1" applyFill="1">
      <alignment vertical="center"/>
    </xf>
    <xf numFmtId="0" fontId="124" fillId="6" borderId="158" xfId="0" applyFont="1" applyFill="1" applyBorder="1" applyAlignment="1">
      <alignment horizontal="center" vertical="center" wrapText="1"/>
    </xf>
    <xf numFmtId="41" fontId="125" fillId="6" borderId="158" xfId="1" applyFont="1" applyFill="1" applyBorder="1" applyAlignment="1">
      <alignment horizontal="center" vertical="center" wrapText="1"/>
    </xf>
    <xf numFmtId="41" fontId="125" fillId="17" borderId="158" xfId="1" applyFont="1" applyFill="1" applyBorder="1" applyAlignment="1">
      <alignment horizontal="center" vertical="center" wrapText="1"/>
    </xf>
    <xf numFmtId="0" fontId="124" fillId="17" borderId="158" xfId="0" applyFont="1" applyFill="1" applyBorder="1" applyAlignment="1">
      <alignment horizontal="center" vertical="center" wrapText="1"/>
    </xf>
    <xf numFmtId="0" fontId="124" fillId="6" borderId="159" xfId="0" applyFont="1" applyFill="1" applyBorder="1" applyAlignment="1">
      <alignment horizontal="center" vertical="center" wrapText="1"/>
    </xf>
    <xf numFmtId="0" fontId="124" fillId="17" borderId="159" xfId="0" applyFont="1" applyFill="1" applyBorder="1" applyAlignment="1">
      <alignment horizontal="center" vertical="center" wrapText="1"/>
    </xf>
    <xf numFmtId="0" fontId="126" fillId="0" borderId="160" xfId="0" applyFont="1" applyBorder="1" applyAlignment="1">
      <alignment horizontal="center" vertical="center" wrapText="1"/>
    </xf>
    <xf numFmtId="0" fontId="126" fillId="17" borderId="160" xfId="0" applyFont="1" applyFill="1" applyBorder="1" applyAlignment="1">
      <alignment horizontal="center" vertical="center" wrapText="1"/>
    </xf>
    <xf numFmtId="0" fontId="124" fillId="39" borderId="161" xfId="0" applyFont="1" applyFill="1" applyBorder="1" applyAlignment="1">
      <alignment horizontal="center" vertical="center" wrapText="1"/>
    </xf>
    <xf numFmtId="0" fontId="5" fillId="6" borderId="5" xfId="0" applyFont="1" applyFill="1" applyBorder="1" applyAlignment="1" applyProtection="1">
      <alignment horizontal="center" vertical="center"/>
      <protection locked="0"/>
    </xf>
    <xf numFmtId="0" fontId="124" fillId="6" borderId="5" xfId="0" applyFont="1" applyFill="1" applyBorder="1" applyAlignment="1">
      <alignment horizontal="center" vertical="center" wrapText="1"/>
    </xf>
    <xf numFmtId="0" fontId="55" fillId="17" borderId="5" xfId="0" applyFont="1" applyFill="1" applyBorder="1" applyAlignment="1" applyProtection="1">
      <alignment horizontal="center" vertical="center"/>
      <protection locked="0"/>
    </xf>
    <xf numFmtId="0" fontId="124" fillId="17" borderId="5" xfId="0" applyFont="1" applyFill="1" applyBorder="1" applyAlignment="1">
      <alignment horizontal="center" vertical="center" wrapText="1"/>
    </xf>
    <xf numFmtId="0" fontId="0" fillId="0" borderId="5" xfId="0" applyBorder="1">
      <alignment vertical="center"/>
    </xf>
    <xf numFmtId="41" fontId="67" fillId="0" borderId="5" xfId="1" applyFont="1" applyBorder="1">
      <alignment vertical="center"/>
    </xf>
    <xf numFmtId="0" fontId="30" fillId="0" borderId="0" xfId="0" applyFont="1" applyAlignment="1">
      <alignment horizontal="center" vertical="center"/>
    </xf>
    <xf numFmtId="0" fontId="11" fillId="6" borderId="0" xfId="0" applyFont="1" applyFill="1" applyAlignment="1" applyProtection="1">
      <alignment horizontal="left" vertical="center" indent="1"/>
      <protection locked="0"/>
    </xf>
    <xf numFmtId="0" fontId="45" fillId="0" borderId="0" xfId="0" applyFont="1" applyProtection="1">
      <alignment vertical="center"/>
      <protection locked="0"/>
    </xf>
    <xf numFmtId="0" fontId="6" fillId="4" borderId="2" xfId="0" applyFont="1" applyFill="1" applyBorder="1" applyAlignment="1" applyProtection="1">
      <alignment horizontal="center" vertical="center"/>
      <protection locked="0"/>
    </xf>
    <xf numFmtId="0" fontId="6" fillId="4" borderId="8" xfId="0" applyFont="1" applyFill="1" applyBorder="1" applyAlignment="1" applyProtection="1">
      <alignment horizontal="center" vertical="center"/>
      <protection locked="0"/>
    </xf>
    <xf numFmtId="6" fontId="6" fillId="4" borderId="9" xfId="1" applyNumberFormat="1" applyFont="1" applyFill="1" applyBorder="1" applyAlignment="1" applyProtection="1">
      <alignment horizontal="left" vertical="center" indent="1"/>
      <protection locked="0"/>
    </xf>
    <xf numFmtId="181" fontId="6" fillId="4" borderId="9" xfId="2" applyNumberFormat="1" applyFont="1" applyFill="1" applyBorder="1" applyAlignment="1" applyProtection="1">
      <alignment horizontal="left" vertical="center" indent="1"/>
      <protection locked="0"/>
    </xf>
    <xf numFmtId="178" fontId="6" fillId="4" borderId="9" xfId="0" applyNumberFormat="1" applyFont="1" applyFill="1" applyBorder="1" applyAlignment="1" applyProtection="1">
      <alignment horizontal="left" vertical="center" indent="1"/>
      <protection locked="0"/>
    </xf>
    <xf numFmtId="0" fontId="6" fillId="4" borderId="12" xfId="0" applyFont="1" applyFill="1" applyBorder="1" applyAlignment="1" applyProtection="1">
      <alignment horizontal="center" vertical="center"/>
      <protection locked="0"/>
    </xf>
    <xf numFmtId="6" fontId="6" fillId="4" borderId="13" xfId="1" applyNumberFormat="1" applyFont="1" applyFill="1" applyBorder="1" applyAlignment="1" applyProtection="1">
      <alignment horizontal="left" vertical="center" indent="1"/>
      <protection locked="0"/>
    </xf>
    <xf numFmtId="0" fontId="6" fillId="6" borderId="0" xfId="0" applyFont="1" applyFill="1" applyAlignment="1" applyProtection="1">
      <alignment horizontal="left" vertical="center" indent="1"/>
      <protection locked="0"/>
    </xf>
    <xf numFmtId="0" fontId="6" fillId="4" borderId="2" xfId="0" applyFont="1" applyFill="1" applyBorder="1" applyAlignment="1" applyProtection="1">
      <alignment horizontal="right" vertical="center" indent="2"/>
      <protection locked="0"/>
    </xf>
    <xf numFmtId="181" fontId="6" fillId="4" borderId="3" xfId="2" applyNumberFormat="1" applyFont="1" applyFill="1" applyBorder="1" applyAlignment="1" applyProtection="1">
      <alignment horizontal="left" vertical="center" indent="1"/>
      <protection locked="0"/>
    </xf>
    <xf numFmtId="0" fontId="6" fillId="4" borderId="12" xfId="0" applyFont="1" applyFill="1" applyBorder="1" applyAlignment="1" applyProtection="1">
      <alignment horizontal="right" vertical="center" indent="2"/>
      <protection locked="0"/>
    </xf>
    <xf numFmtId="181" fontId="6" fillId="4" borderId="13" xfId="0" applyNumberFormat="1" applyFont="1" applyFill="1" applyBorder="1" applyAlignment="1" applyProtection="1">
      <alignment horizontal="left" vertical="center" indent="1"/>
      <protection locked="0"/>
    </xf>
    <xf numFmtId="0" fontId="6" fillId="4" borderId="5" xfId="0" applyFont="1" applyFill="1" applyBorder="1" applyAlignment="1" applyProtection="1">
      <alignment horizontal="center" vertical="center"/>
      <protection locked="0"/>
    </xf>
    <xf numFmtId="6" fontId="6" fillId="0" borderId="5" xfId="1" applyNumberFormat="1" applyFont="1" applyFill="1" applyBorder="1" applyAlignment="1" applyProtection="1">
      <alignment horizontal="right" vertical="center"/>
      <protection locked="0"/>
    </xf>
    <xf numFmtId="0" fontId="124" fillId="6" borderId="0" xfId="0" applyFont="1" applyFill="1" applyAlignment="1">
      <alignment horizontal="center" vertical="center" wrapText="1"/>
    </xf>
    <xf numFmtId="0" fontId="0" fillId="5" borderId="0" xfId="0" applyFill="1">
      <alignment vertical="center"/>
    </xf>
    <xf numFmtId="0" fontId="124" fillId="5" borderId="159" xfId="0" applyFont="1" applyFill="1" applyBorder="1" applyAlignment="1">
      <alignment horizontal="center" vertical="center" wrapText="1"/>
    </xf>
    <xf numFmtId="0" fontId="126" fillId="5" borderId="160" xfId="0" applyFont="1" applyFill="1" applyBorder="1" applyAlignment="1">
      <alignment horizontal="center" vertical="center" wrapText="1"/>
    </xf>
    <xf numFmtId="2" fontId="0" fillId="5" borderId="0" xfId="0" applyNumberFormat="1" applyFill="1">
      <alignment vertical="center"/>
    </xf>
    <xf numFmtId="192" fontId="0" fillId="5" borderId="0" xfId="0" applyNumberFormat="1" applyFill="1">
      <alignment vertical="center"/>
    </xf>
    <xf numFmtId="209" fontId="0" fillId="5" borderId="0" xfId="0" applyNumberFormat="1" applyFill="1">
      <alignment vertical="center"/>
    </xf>
    <xf numFmtId="3" fontId="26" fillId="0" borderId="0" xfId="0" applyNumberFormat="1" applyFont="1" applyProtection="1">
      <alignment vertical="center"/>
      <protection locked="0"/>
    </xf>
    <xf numFmtId="3" fontId="35" fillId="5" borderId="0" xfId="0" applyNumberFormat="1" applyFont="1" applyFill="1" applyProtection="1">
      <alignment vertical="center"/>
      <protection locked="0"/>
    </xf>
    <xf numFmtId="3" fontId="26" fillId="5" borderId="0" xfId="0" applyNumberFormat="1" applyFont="1" applyFill="1" applyAlignment="1" applyProtection="1">
      <alignment horizontal="center" vertical="center"/>
      <protection locked="0"/>
    </xf>
    <xf numFmtId="3" fontId="26" fillId="6" borderId="0" xfId="0" applyNumberFormat="1" applyFont="1" applyFill="1" applyProtection="1">
      <alignment vertical="center"/>
      <protection locked="0"/>
    </xf>
    <xf numFmtId="3" fontId="86" fillId="6" borderId="0" xfId="1" applyNumberFormat="1" applyFont="1" applyFill="1" applyProtection="1">
      <alignment vertical="center"/>
      <protection locked="0"/>
    </xf>
    <xf numFmtId="3" fontId="86" fillId="6" borderId="101" xfId="0" applyNumberFormat="1" applyFont="1" applyFill="1" applyBorder="1" applyProtection="1">
      <alignment vertical="center"/>
      <protection locked="0"/>
    </xf>
    <xf numFmtId="3" fontId="86" fillId="6" borderId="102" xfId="1" applyNumberFormat="1" applyFont="1" applyFill="1" applyBorder="1" applyProtection="1">
      <alignment vertical="center"/>
      <protection locked="0"/>
    </xf>
    <xf numFmtId="3" fontId="86" fillId="6" borderId="9" xfId="0" applyNumberFormat="1" applyFont="1" applyFill="1" applyBorder="1" applyProtection="1">
      <alignment vertical="center"/>
      <protection locked="0"/>
    </xf>
    <xf numFmtId="3" fontId="86" fillId="6" borderId="0" xfId="1" applyNumberFormat="1" applyFont="1" applyFill="1" applyBorder="1" applyProtection="1">
      <alignment vertical="center"/>
      <protection locked="0"/>
    </xf>
    <xf numFmtId="3" fontId="86" fillId="6" borderId="100" xfId="0" applyNumberFormat="1" applyFont="1" applyFill="1" applyBorder="1" applyAlignment="1" applyProtection="1">
      <alignment horizontal="left" vertical="center"/>
      <protection locked="0"/>
    </xf>
    <xf numFmtId="3" fontId="86" fillId="6" borderId="73" xfId="0" applyNumberFormat="1" applyFont="1" applyFill="1" applyBorder="1" applyAlignment="1" applyProtection="1">
      <alignment horizontal="left" vertical="center"/>
      <protection locked="0"/>
    </xf>
    <xf numFmtId="3" fontId="80" fillId="6" borderId="149" xfId="7" applyNumberFormat="1" applyFont="1" applyFill="1" applyBorder="1" applyAlignment="1" applyProtection="1">
      <alignment horizontal="center" vertical="center"/>
      <protection locked="0"/>
    </xf>
    <xf numFmtId="3" fontId="86" fillId="6" borderId="78" xfId="0" applyNumberFormat="1" applyFont="1" applyFill="1" applyBorder="1" applyProtection="1">
      <alignment vertical="center"/>
      <protection locked="0"/>
    </xf>
    <xf numFmtId="3" fontId="86" fillId="6" borderId="103" xfId="1" applyNumberFormat="1" applyFont="1" applyFill="1" applyBorder="1" applyProtection="1">
      <alignment vertical="center"/>
      <protection locked="0"/>
    </xf>
    <xf numFmtId="3" fontId="86" fillId="6" borderId="108" xfId="1" applyNumberFormat="1" applyFont="1" applyFill="1" applyBorder="1" applyProtection="1">
      <alignment vertical="center"/>
      <protection locked="0"/>
    </xf>
    <xf numFmtId="3" fontId="86" fillId="6" borderId="102" xfId="0" applyNumberFormat="1" applyFont="1" applyFill="1" applyBorder="1" applyProtection="1">
      <alignment vertical="center"/>
      <protection locked="0"/>
    </xf>
    <xf numFmtId="3" fontId="86" fillId="6" borderId="109" xfId="1" applyNumberFormat="1" applyFont="1" applyFill="1" applyBorder="1" applyProtection="1">
      <alignment vertical="center"/>
      <protection locked="0"/>
    </xf>
    <xf numFmtId="3" fontId="86" fillId="32" borderId="109" xfId="1" applyNumberFormat="1" applyFont="1" applyFill="1" applyBorder="1" applyProtection="1">
      <alignment vertical="center"/>
      <protection locked="0"/>
    </xf>
    <xf numFmtId="3" fontId="86" fillId="6" borderId="103" xfId="0" applyNumberFormat="1" applyFont="1" applyFill="1" applyBorder="1" applyProtection="1">
      <alignment vertical="center"/>
      <protection locked="0"/>
    </xf>
    <xf numFmtId="3" fontId="86" fillId="32" borderId="110" xfId="1" applyNumberFormat="1" applyFont="1" applyFill="1" applyBorder="1" applyProtection="1">
      <alignment vertical="center"/>
      <protection locked="0"/>
    </xf>
    <xf numFmtId="3" fontId="91" fillId="6" borderId="102" xfId="7" applyNumberFormat="1" applyFont="1" applyFill="1" applyBorder="1" applyAlignment="1" applyProtection="1">
      <alignment horizontal="center" vertical="center"/>
      <protection locked="0"/>
    </xf>
    <xf numFmtId="3" fontId="86" fillId="32" borderId="111" xfId="1" applyNumberFormat="1" applyFont="1" applyFill="1" applyBorder="1" applyProtection="1">
      <alignment vertical="center"/>
      <protection locked="0"/>
    </xf>
    <xf numFmtId="3" fontId="80" fillId="6" borderId="150" xfId="7" applyNumberFormat="1" applyFont="1" applyFill="1" applyBorder="1" applyAlignment="1" applyProtection="1">
      <alignment horizontal="center" vertical="center"/>
      <protection locked="0"/>
    </xf>
    <xf numFmtId="3" fontId="91" fillId="6" borderId="107" xfId="7" applyNumberFormat="1" applyFont="1" applyFill="1" applyBorder="1" applyAlignment="1" applyProtection="1">
      <alignment horizontal="center" vertical="center"/>
      <protection locked="0"/>
    </xf>
    <xf numFmtId="3" fontId="86" fillId="6" borderId="113" xfId="1" applyNumberFormat="1" applyFont="1" applyFill="1" applyBorder="1" applyProtection="1">
      <alignment vertical="center"/>
      <protection locked="0"/>
    </xf>
    <xf numFmtId="3" fontId="86" fillId="6" borderId="10" xfId="0" applyNumberFormat="1" applyFont="1" applyFill="1" applyBorder="1" applyAlignment="1" applyProtection="1">
      <alignment horizontal="left" vertical="center"/>
      <protection locked="0"/>
    </xf>
    <xf numFmtId="3" fontId="89" fillId="6" borderId="0" xfId="1" applyNumberFormat="1" applyFont="1" applyFill="1" applyProtection="1">
      <alignment vertical="center"/>
      <protection locked="0"/>
    </xf>
    <xf numFmtId="3" fontId="89" fillId="6" borderId="0" xfId="0" applyNumberFormat="1" applyFont="1" applyFill="1" applyProtection="1">
      <alignment vertical="center"/>
      <protection locked="0"/>
    </xf>
    <xf numFmtId="3" fontId="26" fillId="6" borderId="117" xfId="0" applyNumberFormat="1" applyFont="1" applyFill="1" applyBorder="1" applyProtection="1">
      <alignment vertical="center"/>
      <protection locked="0"/>
    </xf>
    <xf numFmtId="3" fontId="86" fillId="6" borderId="71" xfId="0" applyNumberFormat="1" applyFont="1" applyFill="1" applyBorder="1" applyProtection="1">
      <alignment vertical="center"/>
      <protection locked="0"/>
    </xf>
    <xf numFmtId="3" fontId="26" fillId="6" borderId="0" xfId="1" applyNumberFormat="1" applyFont="1" applyFill="1" applyBorder="1" applyAlignment="1" applyProtection="1">
      <alignment vertical="center"/>
      <protection locked="0"/>
    </xf>
    <xf numFmtId="3" fontId="32" fillId="6" borderId="9" xfId="0" applyNumberFormat="1" applyFont="1" applyFill="1" applyBorder="1" applyProtection="1">
      <alignment vertical="center"/>
      <protection locked="0"/>
    </xf>
    <xf numFmtId="3" fontId="86" fillId="6" borderId="79" xfId="0" applyNumberFormat="1" applyFont="1" applyFill="1" applyBorder="1" applyProtection="1">
      <alignment vertical="center"/>
      <protection locked="0"/>
    </xf>
    <xf numFmtId="3" fontId="86" fillId="6" borderId="79" xfId="0" applyNumberFormat="1" applyFont="1" applyFill="1" applyBorder="1" applyAlignment="1" applyProtection="1">
      <alignment horizontal="left" vertical="center"/>
      <protection locked="0"/>
    </xf>
    <xf numFmtId="3" fontId="26" fillId="0" borderId="116" xfId="0" applyNumberFormat="1" applyFont="1" applyBorder="1" applyProtection="1">
      <alignment vertical="center"/>
      <protection locked="0"/>
    </xf>
    <xf numFmtId="3" fontId="26" fillId="0" borderId="116" xfId="1" applyNumberFormat="1" applyFont="1" applyBorder="1" applyAlignment="1" applyProtection="1">
      <alignment vertical="center"/>
      <protection locked="0"/>
    </xf>
    <xf numFmtId="3" fontId="91" fillId="6" borderId="103" xfId="7" applyNumberFormat="1" applyFont="1" applyFill="1" applyBorder="1" applyAlignment="1" applyProtection="1">
      <alignment horizontal="center" vertical="center"/>
      <protection locked="0"/>
    </xf>
    <xf numFmtId="0" fontId="45" fillId="0" borderId="0" xfId="0" applyFont="1" applyAlignment="1">
      <alignment vertical="center" wrapText="1"/>
    </xf>
    <xf numFmtId="0" fontId="130" fillId="0" borderId="0" xfId="0" applyFont="1">
      <alignment vertical="center"/>
    </xf>
    <xf numFmtId="0" fontId="129" fillId="0" borderId="0" xfId="0" applyFont="1">
      <alignment vertical="center"/>
    </xf>
    <xf numFmtId="0" fontId="132" fillId="0" borderId="0" xfId="0" applyFont="1">
      <alignment vertical="center"/>
    </xf>
    <xf numFmtId="0" fontId="132" fillId="0" borderId="0" xfId="0" applyFont="1" applyAlignment="1">
      <alignment horizontal="center" vertical="center"/>
    </xf>
    <xf numFmtId="0" fontId="133" fillId="0" borderId="0" xfId="0" applyFont="1">
      <alignment vertical="center"/>
    </xf>
    <xf numFmtId="0" fontId="137" fillId="0" borderId="0" xfId="0" applyFont="1" applyAlignment="1">
      <alignment horizontal="left" vertical="center" wrapText="1"/>
    </xf>
    <xf numFmtId="0" fontId="137" fillId="0" borderId="0" xfId="0" applyFont="1" applyAlignment="1">
      <alignment vertical="center" wrapText="1"/>
    </xf>
    <xf numFmtId="0" fontId="135" fillId="0" borderId="0" xfId="0" applyFont="1">
      <alignment vertical="center"/>
    </xf>
    <xf numFmtId="0" fontId="136" fillId="0" borderId="0" xfId="0" applyFont="1">
      <alignment vertical="center"/>
    </xf>
    <xf numFmtId="0" fontId="136" fillId="0" borderId="0" xfId="0" applyFont="1" applyAlignment="1">
      <alignment horizontal="right" vertical="center"/>
    </xf>
    <xf numFmtId="0" fontId="134" fillId="19" borderId="5" xfId="0" applyFont="1" applyFill="1" applyBorder="1" applyAlignment="1">
      <alignment horizontal="center" vertical="center" wrapText="1"/>
    </xf>
    <xf numFmtId="0" fontId="138" fillId="0" borderId="5" xfId="0" applyFont="1" applyBorder="1" applyAlignment="1">
      <alignment horizontal="center" vertical="center"/>
    </xf>
    <xf numFmtId="9" fontId="138" fillId="0" borderId="5" xfId="0" applyNumberFormat="1" applyFont="1" applyBorder="1" applyAlignment="1">
      <alignment horizontal="center" vertical="center"/>
    </xf>
    <xf numFmtId="0" fontId="108" fillId="0" borderId="0" xfId="8" applyNumberFormat="1" applyFont="1">
      <alignment vertical="center"/>
    </xf>
    <xf numFmtId="0" fontId="108" fillId="0" borderId="0" xfId="8" applyNumberFormat="1" applyFont="1" applyAlignment="1">
      <alignment horizontal="center" vertical="center"/>
    </xf>
    <xf numFmtId="41" fontId="108" fillId="0" borderId="0" xfId="1" applyFont="1" applyFill="1">
      <alignment vertical="center"/>
    </xf>
    <xf numFmtId="41" fontId="63" fillId="5" borderId="128" xfId="1" applyFont="1" applyFill="1" applyBorder="1" applyAlignment="1" applyProtection="1">
      <alignment horizontal="center" vertical="center" shrinkToFit="1"/>
      <protection locked="0"/>
    </xf>
    <xf numFmtId="41" fontId="104" fillId="5" borderId="128" xfId="1" applyFont="1" applyFill="1" applyBorder="1" applyAlignment="1" applyProtection="1">
      <alignment horizontal="center" vertical="center" shrinkToFit="1"/>
      <protection locked="0"/>
    </xf>
    <xf numFmtId="9" fontId="104" fillId="5" borderId="128" xfId="2" applyFont="1" applyFill="1" applyBorder="1" applyAlignment="1" applyProtection="1">
      <alignment horizontal="center" vertical="center" shrinkToFit="1"/>
      <protection locked="0"/>
    </xf>
    <xf numFmtId="206" fontId="104" fillId="6" borderId="54" xfId="2" applyNumberFormat="1" applyFont="1" applyFill="1" applyBorder="1" applyAlignment="1" applyProtection="1">
      <alignment horizontal="center" vertical="center" shrinkToFit="1"/>
      <protection locked="0"/>
    </xf>
    <xf numFmtId="9" fontId="104" fillId="5" borderId="53" xfId="2" applyFont="1" applyFill="1" applyBorder="1" applyAlignment="1" applyProtection="1">
      <alignment horizontal="center" vertical="center" shrinkToFit="1"/>
      <protection locked="0"/>
    </xf>
    <xf numFmtId="10" fontId="9" fillId="5" borderId="0" xfId="2" applyNumberFormat="1" applyFont="1" applyFill="1" applyAlignment="1" applyProtection="1">
      <alignment horizontal="center" vertical="center"/>
      <protection locked="0"/>
    </xf>
    <xf numFmtId="0" fontId="144" fillId="2" borderId="0" xfId="0" applyFont="1" applyFill="1">
      <alignment vertical="center"/>
    </xf>
    <xf numFmtId="0" fontId="145" fillId="2" borderId="0" xfId="0" applyFont="1" applyFill="1">
      <alignment vertical="center"/>
    </xf>
    <xf numFmtId="0" fontId="146" fillId="40" borderId="162" xfId="0" applyFont="1" applyFill="1" applyBorder="1" applyAlignment="1">
      <alignment horizontal="center" vertical="center" wrapText="1"/>
    </xf>
    <xf numFmtId="0" fontId="146" fillId="40" borderId="163" xfId="0" applyFont="1" applyFill="1" applyBorder="1" applyAlignment="1">
      <alignment horizontal="center" vertical="center" wrapText="1"/>
    </xf>
    <xf numFmtId="0" fontId="146" fillId="40" borderId="164" xfId="0" applyFont="1" applyFill="1" applyBorder="1" applyAlignment="1">
      <alignment horizontal="center" vertical="center" wrapText="1"/>
    </xf>
    <xf numFmtId="0" fontId="147" fillId="0" borderId="166" xfId="0" applyFont="1" applyBorder="1" applyAlignment="1">
      <alignment horizontal="center" vertical="center" wrapText="1"/>
    </xf>
    <xf numFmtId="3" fontId="147" fillId="0" borderId="167" xfId="0" applyNumberFormat="1" applyFont="1" applyBorder="1" applyAlignment="1">
      <alignment horizontal="center" vertical="center" wrapText="1"/>
    </xf>
    <xf numFmtId="0" fontId="147" fillId="0" borderId="0" xfId="0" applyFont="1" applyAlignment="1">
      <alignment horizontal="center" vertical="center" wrapText="1"/>
    </xf>
    <xf numFmtId="3" fontId="147" fillId="0" borderId="0" xfId="0" applyNumberFormat="1" applyFont="1" applyAlignment="1">
      <alignment horizontal="center" vertical="center" wrapText="1"/>
    </xf>
    <xf numFmtId="0" fontId="125" fillId="0" borderId="0" xfId="0" applyFont="1" applyAlignment="1">
      <alignment horizontal="center" vertical="center" wrapText="1"/>
    </xf>
    <xf numFmtId="3" fontId="125" fillId="0" borderId="0" xfId="0" applyNumberFormat="1" applyFont="1" applyAlignment="1">
      <alignment horizontal="center" vertical="center" wrapText="1"/>
    </xf>
    <xf numFmtId="0" fontId="147" fillId="0" borderId="165" xfId="0" applyFont="1" applyBorder="1" applyAlignment="1">
      <alignment horizontal="center" vertical="center" wrapText="1"/>
    </xf>
    <xf numFmtId="0" fontId="147" fillId="0" borderId="167" xfId="0" applyFont="1" applyBorder="1" applyAlignment="1">
      <alignment horizontal="center" vertical="center" wrapText="1"/>
    </xf>
    <xf numFmtId="0" fontId="147" fillId="0" borderId="169" xfId="0" applyFont="1" applyBorder="1" applyAlignment="1">
      <alignment horizontal="center" vertical="center" wrapText="1"/>
    </xf>
    <xf numFmtId="0" fontId="147" fillId="0" borderId="170" xfId="0" applyFont="1" applyBorder="1" applyAlignment="1">
      <alignment horizontal="center" vertical="center" wrapText="1"/>
    </xf>
    <xf numFmtId="3" fontId="147" fillId="0" borderId="170" xfId="0" applyNumberFormat="1" applyFont="1" applyBorder="1" applyAlignment="1">
      <alignment horizontal="center" vertical="center" wrapText="1"/>
    </xf>
    <xf numFmtId="0" fontId="41" fillId="11" borderId="34" xfId="0" applyFont="1" applyFill="1" applyBorder="1">
      <alignment vertical="center"/>
    </xf>
    <xf numFmtId="0" fontId="41" fillId="11" borderId="152" xfId="0" applyFont="1" applyFill="1" applyBorder="1">
      <alignment vertical="center"/>
    </xf>
    <xf numFmtId="0" fontId="0" fillId="0" borderId="0" xfId="0" applyProtection="1">
      <alignment vertical="center"/>
      <protection locked="0"/>
    </xf>
    <xf numFmtId="0" fontId="33" fillId="0" borderId="171" xfId="0" applyFont="1" applyBorder="1" applyAlignment="1" applyProtection="1">
      <alignment horizontal="center" vertical="center"/>
      <protection hidden="1"/>
    </xf>
    <xf numFmtId="0" fontId="33" fillId="0" borderId="174" xfId="0" applyFont="1" applyBorder="1" applyAlignment="1" applyProtection="1">
      <alignment horizontal="center" vertical="center"/>
      <protection hidden="1"/>
    </xf>
    <xf numFmtId="0" fontId="33" fillId="0" borderId="176" xfId="0" applyFont="1" applyBorder="1" applyAlignment="1" applyProtection="1">
      <alignment horizontal="center" vertical="center"/>
      <protection hidden="1"/>
    </xf>
    <xf numFmtId="0" fontId="33" fillId="0" borderId="176" xfId="0" applyFont="1" applyBorder="1" applyAlignment="1" applyProtection="1">
      <alignment horizontal="center" vertical="center" wrapText="1"/>
      <protection hidden="1"/>
    </xf>
    <xf numFmtId="0" fontId="33" fillId="0" borderId="178" xfId="0" applyFont="1" applyBorder="1" applyAlignment="1" applyProtection="1">
      <alignment horizontal="center" vertical="center"/>
      <protection hidden="1"/>
    </xf>
    <xf numFmtId="0" fontId="0" fillId="0" borderId="5" xfId="0" applyBorder="1" applyAlignment="1" applyProtection="1">
      <alignment horizontal="left" vertical="center" wrapText="1"/>
      <protection locked="0"/>
    </xf>
    <xf numFmtId="10" fontId="0" fillId="0" borderId="177" xfId="0" applyNumberFormat="1" applyBorder="1" applyAlignment="1" applyProtection="1">
      <alignment horizontal="right" vertical="center" wrapText="1"/>
      <protection locked="0"/>
    </xf>
    <xf numFmtId="0" fontId="0" fillId="0" borderId="5" xfId="0" applyBorder="1" applyAlignment="1" applyProtection="1">
      <alignment horizontal="left" vertical="center"/>
      <protection locked="0"/>
    </xf>
    <xf numFmtId="0" fontId="33" fillId="0" borderId="179" xfId="0" applyFont="1" applyBorder="1" applyAlignment="1" applyProtection="1">
      <alignment horizontal="center" vertical="center"/>
      <protection hidden="1"/>
    </xf>
    <xf numFmtId="0" fontId="151" fillId="0" borderId="0" xfId="0" applyFont="1">
      <alignment vertical="center"/>
    </xf>
    <xf numFmtId="0" fontId="152" fillId="0" borderId="117" xfId="0" applyFont="1" applyBorder="1">
      <alignment vertical="center"/>
    </xf>
    <xf numFmtId="0" fontId="0" fillId="0" borderId="117" xfId="0" applyBorder="1">
      <alignment vertical="center"/>
    </xf>
    <xf numFmtId="0" fontId="73" fillId="0" borderId="0" xfId="0" applyFont="1">
      <alignment vertical="center"/>
    </xf>
    <xf numFmtId="0" fontId="28" fillId="0" borderId="0" xfId="0" applyFont="1">
      <alignment vertical="center"/>
    </xf>
    <xf numFmtId="3" fontId="80" fillId="6" borderId="183" xfId="7" applyNumberFormat="1" applyFont="1" applyFill="1" applyBorder="1" applyAlignment="1" applyProtection="1">
      <alignment horizontal="center" vertical="center"/>
      <protection locked="0"/>
    </xf>
    <xf numFmtId="3" fontId="79" fillId="6" borderId="184" xfId="6" applyNumberFormat="1" applyFont="1" applyFill="1" applyBorder="1" applyAlignment="1" applyProtection="1">
      <alignment horizontal="center" vertical="center"/>
      <protection locked="0"/>
    </xf>
    <xf numFmtId="3" fontId="80" fillId="6" borderId="184" xfId="7" applyNumberFormat="1" applyFont="1" applyFill="1" applyBorder="1" applyAlignment="1" applyProtection="1">
      <alignment horizontal="center" vertical="center"/>
      <protection locked="0"/>
    </xf>
    <xf numFmtId="3" fontId="116" fillId="36" borderId="185" xfId="0" applyNumberFormat="1" applyFont="1" applyFill="1" applyBorder="1" applyAlignment="1" applyProtection="1">
      <alignment horizontal="right" vertical="center" wrapText="1" readingOrder="1"/>
      <protection locked="0"/>
    </xf>
    <xf numFmtId="3" fontId="80" fillId="6" borderId="186" xfId="7" applyNumberFormat="1" applyFont="1" applyFill="1" applyBorder="1" applyAlignment="1" applyProtection="1">
      <alignment horizontal="center" vertical="center"/>
      <protection locked="0"/>
    </xf>
    <xf numFmtId="3" fontId="79" fillId="6" borderId="187" xfId="6" applyNumberFormat="1" applyFont="1" applyFill="1" applyBorder="1" applyAlignment="1" applyProtection="1">
      <alignment horizontal="center" vertical="center"/>
      <protection locked="0"/>
    </xf>
    <xf numFmtId="3" fontId="80" fillId="6" borderId="187" xfId="7" applyNumberFormat="1" applyFont="1" applyFill="1" applyBorder="1" applyAlignment="1" applyProtection="1">
      <alignment horizontal="center" vertical="center"/>
      <protection locked="0"/>
    </xf>
    <xf numFmtId="3" fontId="116" fillId="36" borderId="188" xfId="0" applyNumberFormat="1" applyFont="1" applyFill="1" applyBorder="1" applyAlignment="1" applyProtection="1">
      <alignment horizontal="right" vertical="center" wrapText="1" readingOrder="1"/>
      <protection locked="0"/>
    </xf>
    <xf numFmtId="3" fontId="26" fillId="0" borderId="189" xfId="1" applyNumberFormat="1" applyFont="1" applyBorder="1" applyAlignment="1" applyProtection="1">
      <alignment vertical="center"/>
      <protection locked="0"/>
    </xf>
    <xf numFmtId="3" fontId="79" fillId="6" borderId="189" xfId="6" applyNumberFormat="1" applyFont="1" applyFill="1" applyBorder="1" applyAlignment="1" applyProtection="1">
      <alignment horizontal="center" vertical="center"/>
      <protection locked="0"/>
    </xf>
    <xf numFmtId="3" fontId="79" fillId="6" borderId="87" xfId="7" applyNumberFormat="1" applyFont="1" applyFill="1" applyBorder="1" applyAlignment="1" applyProtection="1">
      <alignment horizontal="center" vertical="center"/>
      <protection locked="0"/>
    </xf>
    <xf numFmtId="3" fontId="26" fillId="0" borderId="87" xfId="0" applyNumberFormat="1" applyFont="1" applyBorder="1" applyProtection="1">
      <alignment vertical="center"/>
      <protection locked="0"/>
    </xf>
    <xf numFmtId="3" fontId="80" fillId="6" borderId="190" xfId="7" applyNumberFormat="1" applyFont="1" applyFill="1" applyBorder="1" applyAlignment="1" applyProtection="1">
      <alignment horizontal="center" vertical="center"/>
      <protection locked="0"/>
    </xf>
    <xf numFmtId="3" fontId="80" fillId="6" borderId="182" xfId="7" applyNumberFormat="1" applyFont="1" applyFill="1" applyBorder="1" applyAlignment="1" applyProtection="1">
      <alignment horizontal="center" vertical="center"/>
      <protection locked="0"/>
    </xf>
    <xf numFmtId="3" fontId="80" fillId="6" borderId="191" xfId="7" applyNumberFormat="1" applyFont="1" applyFill="1" applyBorder="1" applyAlignment="1" applyProtection="1">
      <alignment horizontal="center" vertical="center"/>
      <protection locked="0"/>
    </xf>
    <xf numFmtId="3" fontId="86" fillId="6" borderId="87" xfId="0" applyNumberFormat="1" applyFont="1" applyFill="1" applyBorder="1" applyProtection="1">
      <alignment vertical="center"/>
      <protection locked="0"/>
    </xf>
    <xf numFmtId="41" fontId="79" fillId="4" borderId="0" xfId="6" applyFont="1" applyFill="1" applyBorder="1" applyAlignment="1" applyProtection="1">
      <alignment horizontal="center" vertical="center"/>
      <protection locked="0"/>
    </xf>
    <xf numFmtId="41" fontId="79" fillId="5" borderId="76" xfId="6" applyFont="1" applyFill="1" applyBorder="1" applyAlignment="1" applyProtection="1">
      <alignment horizontal="center" vertical="center"/>
      <protection locked="0"/>
    </xf>
    <xf numFmtId="41" fontId="26" fillId="6" borderId="0" xfId="1" applyFont="1" applyFill="1" applyAlignment="1">
      <alignment vertical="center"/>
    </xf>
    <xf numFmtId="3" fontId="26" fillId="0" borderId="117" xfId="0" applyNumberFormat="1" applyFont="1" applyBorder="1" applyProtection="1">
      <alignment vertical="center"/>
      <protection locked="0"/>
    </xf>
    <xf numFmtId="3" fontId="26" fillId="0" borderId="117" xfId="1" applyNumberFormat="1" applyFont="1" applyBorder="1" applyAlignment="1" applyProtection="1">
      <alignment vertical="center"/>
      <protection locked="0"/>
    </xf>
    <xf numFmtId="3" fontId="26" fillId="6" borderId="118" xfId="0" applyNumberFormat="1" applyFont="1" applyFill="1" applyBorder="1" applyProtection="1">
      <alignment vertical="center"/>
      <protection locked="0"/>
    </xf>
    <xf numFmtId="3" fontId="26" fillId="6" borderId="118" xfId="1" applyNumberFormat="1" applyFont="1" applyFill="1" applyBorder="1" applyAlignment="1" applyProtection="1">
      <alignment vertical="center"/>
      <protection locked="0"/>
    </xf>
    <xf numFmtId="3" fontId="26" fillId="6" borderId="182" xfId="0" applyNumberFormat="1" applyFont="1" applyFill="1" applyBorder="1" applyProtection="1">
      <alignment vertical="center"/>
      <protection locked="0"/>
    </xf>
    <xf numFmtId="3" fontId="26" fillId="6" borderId="182" xfId="1" applyNumberFormat="1" applyFont="1" applyFill="1" applyBorder="1" applyAlignment="1" applyProtection="1">
      <alignment vertical="center"/>
      <protection locked="0"/>
    </xf>
    <xf numFmtId="3" fontId="80" fillId="6" borderId="192" xfId="7" applyNumberFormat="1" applyFont="1" applyFill="1" applyBorder="1" applyAlignment="1" applyProtection="1">
      <alignment horizontal="center" vertical="center"/>
      <protection locked="0"/>
    </xf>
    <xf numFmtId="3" fontId="26" fillId="0" borderId="193" xfId="1" applyNumberFormat="1" applyFont="1" applyBorder="1" applyAlignment="1" applyProtection="1">
      <alignment vertical="center"/>
      <protection locked="0"/>
    </xf>
    <xf numFmtId="3" fontId="79" fillId="6" borderId="193" xfId="6" applyNumberFormat="1" applyFont="1" applyFill="1" applyBorder="1" applyAlignment="1" applyProtection="1">
      <alignment horizontal="center" vertical="center"/>
      <protection locked="0"/>
    </xf>
    <xf numFmtId="3" fontId="80" fillId="6" borderId="193" xfId="7" applyNumberFormat="1" applyFont="1" applyFill="1" applyBorder="1" applyAlignment="1" applyProtection="1">
      <alignment horizontal="center" vertical="center"/>
      <protection locked="0"/>
    </xf>
    <xf numFmtId="3" fontId="116" fillId="36" borderId="194" xfId="0" applyNumberFormat="1" applyFont="1" applyFill="1" applyBorder="1" applyAlignment="1" applyProtection="1">
      <alignment horizontal="right" vertical="center" wrapText="1" readingOrder="1"/>
      <protection locked="0"/>
    </xf>
    <xf numFmtId="3" fontId="26" fillId="0" borderId="195" xfId="1" applyNumberFormat="1" applyFont="1" applyBorder="1" applyAlignment="1" applyProtection="1">
      <alignment vertical="center"/>
      <protection locked="0"/>
    </xf>
    <xf numFmtId="3" fontId="79" fillId="6" borderId="195" xfId="6" applyNumberFormat="1" applyFont="1" applyFill="1" applyBorder="1" applyAlignment="1" applyProtection="1">
      <alignment horizontal="center" vertical="center"/>
      <protection locked="0"/>
    </xf>
    <xf numFmtId="0" fontId="5" fillId="0" borderId="0" xfId="1" applyNumberFormat="1" applyFont="1" applyBorder="1" applyAlignment="1" applyProtection="1">
      <alignment horizontal="center" vertical="center"/>
      <protection locked="0"/>
    </xf>
    <xf numFmtId="10" fontId="8" fillId="4" borderId="3" xfId="0" applyNumberFormat="1" applyFont="1" applyFill="1" applyBorder="1" applyAlignment="1" applyProtection="1">
      <alignment horizontal="left" vertical="center" indent="1"/>
      <protection locked="0"/>
    </xf>
    <xf numFmtId="3" fontId="26" fillId="0" borderId="196" xfId="0" applyNumberFormat="1" applyFont="1" applyBorder="1" applyProtection="1">
      <alignment vertical="center"/>
      <protection locked="0"/>
    </xf>
    <xf numFmtId="3" fontId="26" fillId="0" borderId="198" xfId="0" applyNumberFormat="1" applyFont="1" applyBorder="1" applyProtection="1">
      <alignment vertical="center"/>
      <protection locked="0"/>
    </xf>
    <xf numFmtId="3" fontId="26" fillId="0" borderId="200" xfId="0" applyNumberFormat="1" applyFont="1" applyBorder="1" applyProtection="1">
      <alignment vertical="center"/>
      <protection locked="0"/>
    </xf>
    <xf numFmtId="14" fontId="26" fillId="0" borderId="197" xfId="0" applyNumberFormat="1" applyFont="1" applyBorder="1" applyProtection="1">
      <alignment vertical="center"/>
      <protection locked="0"/>
    </xf>
    <xf numFmtId="3" fontId="26" fillId="0" borderId="201" xfId="1" applyNumberFormat="1" applyFont="1" applyBorder="1" applyAlignment="1" applyProtection="1">
      <alignment vertical="center"/>
      <protection locked="0"/>
    </xf>
    <xf numFmtId="14" fontId="26" fillId="42" borderId="199" xfId="0" applyNumberFormat="1" applyFont="1" applyFill="1" applyBorder="1" applyProtection="1">
      <alignment vertical="center"/>
      <protection locked="0"/>
    </xf>
    <xf numFmtId="0" fontId="30" fillId="4" borderId="137" xfId="8" applyNumberFormat="1" applyFont="1" applyFill="1" applyBorder="1" applyAlignment="1">
      <alignment horizontal="center" vertical="center"/>
    </xf>
    <xf numFmtId="0" fontId="30" fillId="4" borderId="136" xfId="8" applyNumberFormat="1" applyFont="1" applyFill="1" applyBorder="1" applyAlignment="1">
      <alignment horizontal="center" vertical="center"/>
    </xf>
    <xf numFmtId="0" fontId="74" fillId="0" borderId="196" xfId="0" applyFont="1" applyBorder="1" applyAlignment="1">
      <alignment horizontal="center" vertical="center"/>
    </xf>
    <xf numFmtId="179" fontId="74" fillId="0" borderId="202" xfId="2" applyNumberFormat="1" applyFont="1" applyBorder="1" applyAlignment="1">
      <alignment horizontal="center" vertical="center"/>
    </xf>
    <xf numFmtId="0" fontId="74" fillId="0" borderId="200" xfId="0" applyFont="1" applyBorder="1" applyAlignment="1">
      <alignment horizontal="center" vertical="center"/>
    </xf>
    <xf numFmtId="179" fontId="74" fillId="0" borderId="113" xfId="2" applyNumberFormat="1" applyFont="1" applyBorder="1" applyAlignment="1">
      <alignment horizontal="center" vertical="center"/>
    </xf>
    <xf numFmtId="0" fontId="89" fillId="6" borderId="0" xfId="0" applyFont="1" applyFill="1" applyAlignment="1" applyProtection="1">
      <alignment vertical="center" shrinkToFit="1"/>
      <protection locked="0"/>
    </xf>
    <xf numFmtId="0" fontId="108" fillId="5" borderId="0" xfId="8" applyNumberFormat="1" applyFont="1" applyFill="1">
      <alignment vertical="center"/>
    </xf>
    <xf numFmtId="0" fontId="0" fillId="0" borderId="5" xfId="0" applyBorder="1" applyAlignment="1">
      <alignment horizontal="center" vertical="center"/>
    </xf>
    <xf numFmtId="210" fontId="108" fillId="0" borderId="0" xfId="8" applyNumberFormat="1" applyFont="1">
      <alignment vertical="center"/>
    </xf>
    <xf numFmtId="0" fontId="108" fillId="0" borderId="5" xfId="8" applyNumberFormat="1" applyFont="1" applyBorder="1" applyAlignment="1">
      <alignment horizontal="center" vertical="center"/>
    </xf>
    <xf numFmtId="0" fontId="108" fillId="0" borderId="5" xfId="8" applyNumberFormat="1" applyFont="1" applyBorder="1">
      <alignment vertical="center"/>
    </xf>
    <xf numFmtId="41" fontId="108" fillId="0" borderId="5" xfId="1" applyFont="1" applyFill="1" applyBorder="1">
      <alignment vertical="center"/>
    </xf>
    <xf numFmtId="0" fontId="154" fillId="35" borderId="0" xfId="8" applyNumberFormat="1" applyFont="1" applyFill="1">
      <alignment vertical="center"/>
    </xf>
    <xf numFmtId="0" fontId="74" fillId="35" borderId="0" xfId="8" applyNumberFormat="1" applyFont="1" applyFill="1">
      <alignment vertical="center"/>
    </xf>
    <xf numFmtId="0" fontId="118" fillId="35" borderId="0" xfId="8" applyNumberFormat="1" applyFont="1" applyFill="1">
      <alignment vertical="center"/>
    </xf>
    <xf numFmtId="0" fontId="74" fillId="43" borderId="0" xfId="8" applyNumberFormat="1" applyFont="1" applyFill="1">
      <alignment vertical="center"/>
    </xf>
    <xf numFmtId="0" fontId="155" fillId="43" borderId="0" xfId="8" applyNumberFormat="1" applyFont="1" applyFill="1" applyAlignment="1">
      <alignment horizontal="right" vertical="center"/>
    </xf>
    <xf numFmtId="0" fontId="156" fillId="6" borderId="53" xfId="8" applyNumberFormat="1" applyFont="1" applyFill="1" applyBorder="1">
      <alignment vertical="center"/>
    </xf>
    <xf numFmtId="0" fontId="108" fillId="0" borderId="53" xfId="8" applyNumberFormat="1" applyFont="1" applyBorder="1">
      <alignment vertical="center"/>
    </xf>
    <xf numFmtId="9" fontId="104" fillId="27" borderId="138" xfId="2" applyFont="1" applyFill="1" applyBorder="1" applyAlignment="1" applyProtection="1">
      <alignment horizontal="center" vertical="center" shrinkToFit="1"/>
      <protection locked="0"/>
    </xf>
    <xf numFmtId="9" fontId="104" fillId="27" borderId="141" xfId="2" applyFont="1" applyFill="1" applyBorder="1" applyAlignment="1" applyProtection="1">
      <alignment horizontal="center" vertical="center" shrinkToFit="1"/>
      <protection locked="0"/>
    </xf>
    <xf numFmtId="0" fontId="158" fillId="0" borderId="0" xfId="8" applyNumberFormat="1" applyFont="1">
      <alignment vertical="center"/>
    </xf>
    <xf numFmtId="0" fontId="67" fillId="27" borderId="54" xfId="8" applyNumberFormat="1" applyFont="1" applyFill="1" applyBorder="1" applyAlignment="1" applyProtection="1">
      <alignment horizontal="center" vertical="center"/>
      <protection locked="0"/>
    </xf>
    <xf numFmtId="0" fontId="74" fillId="6" borderId="137" xfId="8" applyNumberFormat="1" applyFont="1" applyFill="1" applyBorder="1" applyAlignment="1">
      <alignment horizontal="center" vertical="center"/>
    </xf>
    <xf numFmtId="0" fontId="156" fillId="0" borderId="0" xfId="8" applyNumberFormat="1" applyFont="1">
      <alignment vertical="center"/>
    </xf>
    <xf numFmtId="0" fontId="160" fillId="14" borderId="207" xfId="0" applyFont="1" applyFill="1" applyBorder="1" applyAlignment="1">
      <alignment horizontal="center" vertical="center"/>
    </xf>
    <xf numFmtId="0" fontId="160" fillId="14" borderId="208" xfId="0" applyFont="1" applyFill="1" applyBorder="1" applyAlignment="1">
      <alignment horizontal="center" vertical="center"/>
    </xf>
    <xf numFmtId="0" fontId="0" fillId="14" borderId="209" xfId="0" applyFill="1" applyBorder="1" applyAlignment="1">
      <alignment horizontal="center" vertical="center"/>
    </xf>
    <xf numFmtId="0" fontId="160" fillId="14" borderId="210" xfId="0" applyFont="1" applyFill="1" applyBorder="1" applyAlignment="1">
      <alignment horizontal="center" vertical="center"/>
    </xf>
    <xf numFmtId="0" fontId="160" fillId="14" borderId="211" xfId="0" applyFont="1" applyFill="1" applyBorder="1" applyAlignment="1">
      <alignment horizontal="center" vertical="center"/>
    </xf>
    <xf numFmtId="0" fontId="0" fillId="14" borderId="206" xfId="0" applyFill="1" applyBorder="1" applyAlignment="1">
      <alignment horizontal="center" vertical="center"/>
    </xf>
    <xf numFmtId="0" fontId="0" fillId="0" borderId="28" xfId="0" applyBorder="1" applyAlignment="1">
      <alignment horizontal="center" vertical="center"/>
    </xf>
    <xf numFmtId="0" fontId="0" fillId="0" borderId="215" xfId="0" applyBorder="1" applyAlignment="1">
      <alignment horizontal="center" vertical="center"/>
    </xf>
    <xf numFmtId="0" fontId="0" fillId="0" borderId="214" xfId="0" applyBorder="1" applyAlignment="1">
      <alignment horizontal="center" vertical="center"/>
    </xf>
    <xf numFmtId="0" fontId="0" fillId="0" borderId="25" xfId="0" applyBorder="1" applyAlignment="1">
      <alignment horizontal="center" vertical="center"/>
    </xf>
    <xf numFmtId="0" fontId="0" fillId="0" borderId="218" xfId="0" applyBorder="1" applyAlignment="1">
      <alignment horizontal="center" vertical="center"/>
    </xf>
    <xf numFmtId="0" fontId="0" fillId="0" borderId="39" xfId="0" applyBorder="1" applyAlignment="1">
      <alignment horizontal="center" vertical="center"/>
    </xf>
    <xf numFmtId="0" fontId="0" fillId="0" borderId="224" xfId="0" applyBorder="1" applyAlignment="1">
      <alignment horizontal="center" vertical="center"/>
    </xf>
    <xf numFmtId="0" fontId="33" fillId="26" borderId="227" xfId="0" applyFont="1" applyFill="1" applyBorder="1" applyAlignment="1">
      <alignment horizontal="center" vertical="center"/>
    </xf>
    <xf numFmtId="0" fontId="0" fillId="14" borderId="218" xfId="0" applyFill="1" applyBorder="1" applyAlignment="1">
      <alignment horizontal="center" vertical="center"/>
    </xf>
    <xf numFmtId="0" fontId="0" fillId="14" borderId="223" xfId="0" applyFill="1" applyBorder="1" applyAlignment="1">
      <alignment horizontal="center" vertical="center"/>
    </xf>
    <xf numFmtId="0" fontId="5" fillId="5" borderId="10" xfId="0" applyFont="1" applyFill="1" applyBorder="1" applyAlignment="1" applyProtection="1">
      <alignment horizontal="center" vertical="center"/>
      <protection locked="0"/>
    </xf>
    <xf numFmtId="41" fontId="5" fillId="5" borderId="10" xfId="1" applyFont="1" applyFill="1" applyBorder="1" applyAlignment="1" applyProtection="1">
      <alignment horizontal="center" vertical="center"/>
      <protection locked="0"/>
    </xf>
    <xf numFmtId="9" fontId="5" fillId="5" borderId="10" xfId="2" applyFont="1" applyFill="1" applyBorder="1" applyAlignment="1" applyProtection="1">
      <alignment horizontal="center" vertical="center"/>
      <protection locked="0"/>
    </xf>
    <xf numFmtId="0" fontId="9" fillId="0" borderId="234" xfId="0" applyFont="1" applyBorder="1" applyAlignment="1" applyProtection="1">
      <alignment horizontal="center" vertical="center"/>
      <protection locked="0"/>
    </xf>
    <xf numFmtId="10" fontId="9" fillId="0" borderId="235" xfId="2" applyNumberFormat="1" applyFont="1" applyBorder="1" applyAlignment="1" applyProtection="1">
      <alignment horizontal="center" vertical="center"/>
      <protection locked="0"/>
    </xf>
    <xf numFmtId="0" fontId="163" fillId="0" borderId="0" xfId="0" applyFont="1" applyProtection="1">
      <alignment vertical="center"/>
      <protection locked="0"/>
    </xf>
    <xf numFmtId="10" fontId="18" fillId="4" borderId="5" xfId="2" applyNumberFormat="1" applyFont="1" applyFill="1" applyBorder="1" applyAlignment="1" applyProtection="1">
      <alignment vertical="center"/>
      <protection locked="0"/>
    </xf>
    <xf numFmtId="0" fontId="18" fillId="4" borderId="5" xfId="0" applyFont="1" applyFill="1" applyBorder="1" applyProtection="1">
      <alignment vertical="center"/>
      <protection locked="0"/>
    </xf>
    <xf numFmtId="190" fontId="18" fillId="4" borderId="5" xfId="2" applyNumberFormat="1" applyFont="1" applyFill="1" applyBorder="1" applyAlignment="1" applyProtection="1">
      <alignment vertical="center"/>
      <protection locked="0"/>
    </xf>
    <xf numFmtId="0" fontId="64" fillId="6" borderId="0" xfId="0" applyFont="1" applyFill="1">
      <alignment vertical="center"/>
    </xf>
    <xf numFmtId="6" fontId="18" fillId="0" borderId="0" xfId="0" applyNumberFormat="1" applyFont="1" applyAlignment="1" applyProtection="1">
      <alignment horizontal="center" vertical="center"/>
      <protection locked="0"/>
    </xf>
    <xf numFmtId="10" fontId="18" fillId="0" borderId="0" xfId="2" applyNumberFormat="1" applyFont="1" applyFill="1" applyBorder="1" applyAlignment="1" applyProtection="1">
      <alignment horizontal="center" vertical="center"/>
      <protection locked="0"/>
    </xf>
    <xf numFmtId="10" fontId="18" fillId="0" borderId="0" xfId="0" applyNumberFormat="1" applyFont="1" applyAlignment="1" applyProtection="1">
      <alignment horizontal="center" vertical="center"/>
      <protection locked="0"/>
    </xf>
    <xf numFmtId="10" fontId="18" fillId="4" borderId="9" xfId="0" applyNumberFormat="1" applyFont="1" applyFill="1" applyBorder="1" applyAlignment="1" applyProtection="1">
      <alignment horizontal="left" vertical="center" indent="1"/>
      <protection locked="0"/>
    </xf>
    <xf numFmtId="10" fontId="18" fillId="4" borderId="9" xfId="2" applyNumberFormat="1" applyFont="1" applyFill="1" applyBorder="1" applyAlignment="1" applyProtection="1">
      <alignment horizontal="left" vertical="center" indent="1"/>
      <protection locked="0"/>
    </xf>
    <xf numFmtId="10" fontId="48" fillId="0" borderId="0" xfId="2" applyNumberFormat="1" applyFont="1" applyFill="1" applyBorder="1" applyAlignment="1">
      <alignment vertical="center" wrapText="1"/>
    </xf>
    <xf numFmtId="0" fontId="26" fillId="0" borderId="33" xfId="0" applyFont="1" applyBorder="1">
      <alignment vertical="center"/>
    </xf>
    <xf numFmtId="0" fontId="48" fillId="0" borderId="0" xfId="0" applyFont="1">
      <alignment vertical="center"/>
    </xf>
    <xf numFmtId="0" fontId="168" fillId="14" borderId="243" xfId="0" applyFont="1" applyFill="1" applyBorder="1" applyAlignment="1">
      <alignment horizontal="center" vertical="center" wrapText="1"/>
    </xf>
    <xf numFmtId="0" fontId="168" fillId="6" borderId="243" xfId="0" applyFont="1" applyFill="1" applyBorder="1" applyAlignment="1">
      <alignment horizontal="center" vertical="center" wrapText="1"/>
    </xf>
    <xf numFmtId="10" fontId="168" fillId="6" borderId="244" xfId="2" applyNumberFormat="1" applyFont="1" applyFill="1" applyBorder="1" applyAlignment="1">
      <alignment horizontal="center" vertical="center" wrapText="1"/>
    </xf>
    <xf numFmtId="0" fontId="168" fillId="14" borderId="243" xfId="0" applyFont="1" applyFill="1" applyBorder="1" applyAlignment="1">
      <alignment horizontal="center" vertical="center"/>
    </xf>
    <xf numFmtId="0" fontId="168" fillId="6" borderId="243" xfId="0" applyFont="1" applyFill="1" applyBorder="1" applyAlignment="1">
      <alignment horizontal="center" vertical="center"/>
    </xf>
    <xf numFmtId="10" fontId="168" fillId="6" borderId="244" xfId="2" applyNumberFormat="1" applyFont="1" applyFill="1" applyBorder="1" applyAlignment="1">
      <alignment horizontal="center" vertical="center"/>
    </xf>
    <xf numFmtId="0" fontId="168" fillId="14" borderId="245" xfId="0" applyFont="1" applyFill="1" applyBorder="1">
      <alignment vertical="center"/>
    </xf>
    <xf numFmtId="0" fontId="168" fillId="14" borderId="246" xfId="0" applyFont="1" applyFill="1" applyBorder="1" applyAlignment="1">
      <alignment horizontal="center" vertical="center"/>
    </xf>
    <xf numFmtId="0" fontId="168" fillId="6" borderId="246" xfId="0" applyFont="1" applyFill="1" applyBorder="1" applyAlignment="1">
      <alignment horizontal="center" vertical="center"/>
    </xf>
    <xf numFmtId="10" fontId="168" fillId="6" borderId="247" xfId="2" applyNumberFormat="1" applyFont="1" applyFill="1" applyBorder="1" applyAlignment="1">
      <alignment horizontal="center" vertical="center"/>
    </xf>
    <xf numFmtId="0" fontId="5" fillId="4" borderId="248" xfId="0" applyFont="1" applyFill="1" applyBorder="1" applyAlignment="1" applyProtection="1">
      <alignment horizontal="center" vertical="center"/>
      <protection locked="0"/>
    </xf>
    <xf numFmtId="0" fontId="5" fillId="4" borderId="249" xfId="0" applyFont="1" applyFill="1" applyBorder="1" applyAlignment="1" applyProtection="1">
      <alignment horizontal="center" vertical="center"/>
      <protection locked="0"/>
    </xf>
    <xf numFmtId="41" fontId="5" fillId="4" borderId="249" xfId="1" applyFont="1" applyFill="1" applyBorder="1" applyAlignment="1" applyProtection="1">
      <alignment horizontal="center" vertical="center"/>
      <protection locked="0"/>
    </xf>
    <xf numFmtId="9" fontId="5" fillId="4" borderId="249" xfId="2" applyFont="1" applyFill="1" applyBorder="1" applyAlignment="1" applyProtection="1">
      <alignment horizontal="center" vertical="center"/>
      <protection locked="0"/>
    </xf>
    <xf numFmtId="179" fontId="5" fillId="4" borderId="249" xfId="2" applyNumberFormat="1" applyFont="1" applyFill="1" applyBorder="1" applyAlignment="1" applyProtection="1">
      <alignment horizontal="center" vertical="center"/>
      <protection locked="0"/>
    </xf>
    <xf numFmtId="10" fontId="6" fillId="4" borderId="249" xfId="2" applyNumberFormat="1" applyFont="1" applyFill="1" applyBorder="1" applyAlignment="1" applyProtection="1">
      <alignment horizontal="center" vertical="center"/>
      <protection locked="0"/>
    </xf>
    <xf numFmtId="10" fontId="5" fillId="4" borderId="249" xfId="0" applyNumberFormat="1" applyFont="1" applyFill="1" applyBorder="1" applyAlignment="1" applyProtection="1">
      <alignment horizontal="center" vertical="center"/>
      <protection locked="0"/>
    </xf>
    <xf numFmtId="10" fontId="5" fillId="4" borderId="118" xfId="0" applyNumberFormat="1" applyFont="1" applyFill="1" applyBorder="1" applyAlignment="1" applyProtection="1">
      <alignment horizontal="center" vertical="center"/>
      <protection locked="0"/>
    </xf>
    <xf numFmtId="10" fontId="5" fillId="4" borderId="250" xfId="0" applyNumberFormat="1" applyFont="1" applyFill="1" applyBorder="1" applyAlignment="1" applyProtection="1">
      <alignment horizontal="center" vertical="center"/>
      <protection locked="0"/>
    </xf>
    <xf numFmtId="0" fontId="5" fillId="0" borderId="118" xfId="0" applyFont="1" applyBorder="1" applyAlignment="1" applyProtection="1">
      <alignment horizontal="center" vertical="center"/>
      <protection locked="0"/>
    </xf>
    <xf numFmtId="41" fontId="5" fillId="0" borderId="118" xfId="1" applyFont="1" applyBorder="1" applyAlignment="1" applyProtection="1">
      <alignment horizontal="center" vertical="center"/>
      <protection locked="0"/>
    </xf>
    <xf numFmtId="0" fontId="5" fillId="4" borderId="251" xfId="0" applyFont="1" applyFill="1" applyBorder="1" applyAlignment="1" applyProtection="1">
      <alignment horizontal="center" vertical="center"/>
      <protection locked="0"/>
    </xf>
    <xf numFmtId="41" fontId="5" fillId="4" borderId="251" xfId="1" applyFont="1" applyFill="1" applyBorder="1" applyAlignment="1" applyProtection="1">
      <alignment horizontal="center" vertical="center"/>
      <protection locked="0"/>
    </xf>
    <xf numFmtId="9" fontId="5" fillId="4" borderId="251" xfId="2" applyFont="1" applyFill="1" applyBorder="1" applyAlignment="1" applyProtection="1">
      <alignment horizontal="center" vertical="center"/>
      <protection locked="0"/>
    </xf>
    <xf numFmtId="179" fontId="5" fillId="4" borderId="251" xfId="2" applyNumberFormat="1" applyFont="1" applyFill="1" applyBorder="1" applyAlignment="1" applyProtection="1">
      <alignment horizontal="center" vertical="center"/>
      <protection locked="0"/>
    </xf>
    <xf numFmtId="10" fontId="6" fillId="4" borderId="251" xfId="2" applyNumberFormat="1" applyFont="1" applyFill="1" applyBorder="1" applyAlignment="1" applyProtection="1">
      <alignment horizontal="center" vertical="center"/>
      <protection locked="0"/>
    </xf>
    <xf numFmtId="10" fontId="5" fillId="4" borderId="251" xfId="0" applyNumberFormat="1" applyFont="1" applyFill="1" applyBorder="1" applyAlignment="1" applyProtection="1">
      <alignment horizontal="center" vertical="center"/>
      <protection locked="0"/>
    </xf>
    <xf numFmtId="10" fontId="5" fillId="4" borderId="117" xfId="0" applyNumberFormat="1" applyFont="1" applyFill="1" applyBorder="1" applyAlignment="1" applyProtection="1">
      <alignment horizontal="center" vertical="center"/>
      <protection locked="0"/>
    </xf>
    <xf numFmtId="10" fontId="5" fillId="4" borderId="252" xfId="0" applyNumberFormat="1" applyFont="1" applyFill="1" applyBorder="1" applyAlignment="1" applyProtection="1">
      <alignment horizontal="center" vertical="center"/>
      <protection locked="0"/>
    </xf>
    <xf numFmtId="0" fontId="5" fillId="0" borderId="117" xfId="0" applyFont="1" applyBorder="1" applyAlignment="1" applyProtection="1">
      <alignment horizontal="center" vertical="center"/>
      <protection locked="0"/>
    </xf>
    <xf numFmtId="41" fontId="5" fillId="0" borderId="117" xfId="1" applyFont="1" applyBorder="1" applyAlignment="1" applyProtection="1">
      <alignment horizontal="center" vertical="center"/>
      <protection locked="0"/>
    </xf>
    <xf numFmtId="178" fontId="9" fillId="0" borderId="0" xfId="0" applyNumberFormat="1" applyFont="1" applyAlignment="1" applyProtection="1">
      <alignment horizontal="center" vertical="center"/>
      <protection locked="0"/>
    </xf>
    <xf numFmtId="0" fontId="26" fillId="0" borderId="118" xfId="0" applyFont="1" applyBorder="1">
      <alignment vertical="center"/>
    </xf>
    <xf numFmtId="183" fontId="32" fillId="0" borderId="182" xfId="0" applyNumberFormat="1" applyFont="1" applyBorder="1">
      <alignment vertical="center"/>
    </xf>
    <xf numFmtId="0" fontId="32" fillId="0" borderId="182" xfId="0" applyFont="1" applyBorder="1">
      <alignment vertical="center"/>
    </xf>
    <xf numFmtId="183" fontId="33" fillId="0" borderId="182" xfId="0" applyNumberFormat="1" applyFont="1" applyBorder="1">
      <alignment vertical="center"/>
    </xf>
    <xf numFmtId="0" fontId="33" fillId="0" borderId="182" xfId="0" applyFont="1" applyBorder="1">
      <alignment vertical="center"/>
    </xf>
    <xf numFmtId="0" fontId="26" fillId="0" borderId="117" xfId="0" applyFont="1" applyBorder="1">
      <alignment vertical="center"/>
    </xf>
    <xf numFmtId="0" fontId="41" fillId="0" borderId="117" xfId="0" applyFont="1" applyBorder="1">
      <alignment vertical="center"/>
    </xf>
    <xf numFmtId="0" fontId="5" fillId="12" borderId="1" xfId="0" applyFont="1" applyFill="1" applyBorder="1" applyAlignment="1" applyProtection="1">
      <alignment horizontal="center" vertical="center"/>
      <protection locked="0"/>
    </xf>
    <xf numFmtId="0" fontId="9" fillId="0" borderId="196" xfId="0" applyFont="1" applyBorder="1" applyAlignment="1" applyProtection="1">
      <alignment horizontal="center" vertical="center"/>
      <protection locked="0"/>
    </xf>
    <xf numFmtId="10" fontId="9" fillId="0" borderId="202" xfId="2" applyNumberFormat="1" applyFont="1" applyBorder="1" applyAlignment="1" applyProtection="1">
      <alignment horizontal="center" vertical="center"/>
      <protection locked="0"/>
    </xf>
    <xf numFmtId="0" fontId="9" fillId="0" borderId="200" xfId="0" applyFont="1" applyBorder="1" applyAlignment="1" applyProtection="1">
      <alignment horizontal="center" vertical="center"/>
      <protection locked="0"/>
    </xf>
    <xf numFmtId="10" fontId="9" fillId="0" borderId="113" xfId="2" applyNumberFormat="1" applyFont="1" applyBorder="1" applyAlignment="1" applyProtection="1">
      <alignment horizontal="center" vertical="center"/>
      <protection locked="0"/>
    </xf>
    <xf numFmtId="10" fontId="9" fillId="0" borderId="234" xfId="2" applyNumberFormat="1" applyFont="1" applyBorder="1" applyAlignment="1" applyProtection="1">
      <alignment horizontal="center" vertical="center"/>
      <protection locked="0"/>
    </xf>
    <xf numFmtId="41" fontId="9" fillId="0" borderId="235" xfId="1" applyFont="1" applyBorder="1" applyAlignment="1" applyProtection="1">
      <alignment horizontal="center" vertical="center"/>
      <protection locked="0"/>
    </xf>
    <xf numFmtId="0" fontId="90" fillId="6" borderId="256" xfId="0" applyFont="1" applyFill="1" applyBorder="1">
      <alignment vertical="center"/>
    </xf>
    <xf numFmtId="179" fontId="9" fillId="0" borderId="0" xfId="2" applyNumberFormat="1" applyFont="1" applyAlignment="1" applyProtection="1">
      <alignment horizontal="center" vertical="center"/>
      <protection locked="0"/>
    </xf>
    <xf numFmtId="179" fontId="55" fillId="9" borderId="10" xfId="2" applyNumberFormat="1" applyFont="1" applyFill="1" applyBorder="1" applyAlignment="1" applyProtection="1">
      <alignment horizontal="center" vertical="center"/>
      <protection locked="0"/>
    </xf>
    <xf numFmtId="0" fontId="74" fillId="0" borderId="0" xfId="0" applyFont="1" applyAlignment="1">
      <alignment horizontal="center" vertical="center"/>
    </xf>
    <xf numFmtId="0" fontId="74" fillId="0" borderId="198" xfId="0" applyFont="1" applyBorder="1" applyAlignment="1">
      <alignment horizontal="center" vertical="center"/>
    </xf>
    <xf numFmtId="179" fontId="74" fillId="0" borderId="111" xfId="2" applyNumberFormat="1" applyFont="1" applyBorder="1" applyAlignment="1">
      <alignment horizontal="center" vertical="center"/>
    </xf>
    <xf numFmtId="213" fontId="26" fillId="0" borderId="46" xfId="1" applyNumberFormat="1" applyFont="1" applyBorder="1" applyAlignment="1" applyProtection="1">
      <alignment vertical="center"/>
      <protection locked="0"/>
    </xf>
    <xf numFmtId="0" fontId="89" fillId="6" borderId="87" xfId="0" applyFont="1" applyFill="1" applyBorder="1" applyAlignment="1" applyProtection="1">
      <alignment vertical="center" shrinkToFit="1"/>
      <protection locked="0"/>
    </xf>
    <xf numFmtId="0" fontId="74" fillId="0" borderId="87" xfId="0" applyFont="1" applyBorder="1" applyAlignment="1">
      <alignment horizontal="center" vertical="center"/>
    </xf>
    <xf numFmtId="0" fontId="5" fillId="5" borderId="4" xfId="0" applyFont="1" applyFill="1" applyBorder="1" applyAlignment="1" applyProtection="1">
      <alignment horizontal="center" vertical="center"/>
      <protection locked="0"/>
    </xf>
    <xf numFmtId="0" fontId="5" fillId="5" borderId="11" xfId="0" applyFont="1" applyFill="1" applyBorder="1" applyAlignment="1" applyProtection="1">
      <alignment horizontal="center" vertical="center"/>
      <protection locked="0"/>
    </xf>
    <xf numFmtId="0" fontId="18" fillId="4" borderId="259" xfId="0" applyFont="1" applyFill="1" applyBorder="1" applyAlignment="1" applyProtection="1">
      <alignment horizontal="center" vertical="center"/>
      <protection locked="0"/>
    </xf>
    <xf numFmtId="178" fontId="23" fillId="4" borderId="260" xfId="0" applyNumberFormat="1" applyFont="1" applyFill="1" applyBorder="1" applyAlignment="1" applyProtection="1">
      <alignment horizontal="center" vertical="center"/>
      <protection locked="0"/>
    </xf>
    <xf numFmtId="178" fontId="23" fillId="4" borderId="261" xfId="0" applyNumberFormat="1" applyFont="1" applyFill="1" applyBorder="1" applyAlignment="1" applyProtection="1">
      <alignment horizontal="center" vertical="center"/>
      <protection locked="0"/>
    </xf>
    <xf numFmtId="0" fontId="18" fillId="4" borderId="198" xfId="0" applyFont="1" applyFill="1" applyBorder="1" applyAlignment="1" applyProtection="1">
      <alignment horizontal="center" vertical="center"/>
      <protection locked="0"/>
    </xf>
    <xf numFmtId="10" fontId="18" fillId="4" borderId="199" xfId="2" applyNumberFormat="1" applyFont="1" applyFill="1" applyBorder="1" applyAlignment="1" applyProtection="1">
      <alignment horizontal="center" vertical="center"/>
      <protection locked="0"/>
    </xf>
    <xf numFmtId="10" fontId="18" fillId="4" borderId="111" xfId="2" applyNumberFormat="1" applyFont="1" applyFill="1" applyBorder="1" applyAlignment="1" applyProtection="1">
      <alignment horizontal="center" vertical="center"/>
      <protection locked="0"/>
    </xf>
    <xf numFmtId="0" fontId="18" fillId="4" borderId="262" xfId="0" applyFont="1" applyFill="1" applyBorder="1" applyAlignment="1" applyProtection="1">
      <alignment horizontal="center" vertical="center"/>
      <protection locked="0"/>
    </xf>
    <xf numFmtId="10" fontId="18" fillId="4" borderId="263" xfId="2" applyNumberFormat="1" applyFont="1" applyFill="1" applyBorder="1" applyAlignment="1" applyProtection="1">
      <alignment horizontal="center" vertical="center"/>
      <protection locked="0"/>
    </xf>
    <xf numFmtId="10" fontId="18" fillId="4" borderId="264" xfId="2" applyNumberFormat="1" applyFont="1" applyFill="1" applyBorder="1" applyAlignment="1" applyProtection="1">
      <alignment horizontal="center" vertical="center"/>
      <protection locked="0"/>
    </xf>
    <xf numFmtId="0" fontId="44" fillId="0" borderId="0" xfId="0" applyFont="1" applyAlignment="1">
      <alignment horizontal="left" vertical="center"/>
    </xf>
    <xf numFmtId="0" fontId="28" fillId="0" borderId="0" xfId="0" applyFont="1" applyAlignment="1">
      <alignment horizontal="left" vertical="center"/>
    </xf>
    <xf numFmtId="178" fontId="9" fillId="6" borderId="0" xfId="2" applyNumberFormat="1" applyFont="1" applyFill="1" applyBorder="1" applyAlignment="1" applyProtection="1">
      <alignment horizontal="center" vertical="center"/>
      <protection locked="0"/>
    </xf>
    <xf numFmtId="0" fontId="41" fillId="0" borderId="265" xfId="0" applyFont="1" applyBorder="1">
      <alignment vertical="center"/>
    </xf>
    <xf numFmtId="0" fontId="5" fillId="5" borderId="0" xfId="0" applyFont="1" applyFill="1" applyAlignment="1" applyProtection="1">
      <alignment horizontal="center" vertical="center"/>
      <protection locked="0"/>
    </xf>
    <xf numFmtId="41" fontId="9" fillId="4" borderId="251" xfId="1" applyFont="1" applyFill="1" applyBorder="1" applyAlignment="1" applyProtection="1">
      <alignment horizontal="center" vertical="center"/>
      <protection locked="0"/>
    </xf>
    <xf numFmtId="0" fontId="5" fillId="4" borderId="4" xfId="0" applyFont="1" applyFill="1" applyBorder="1" applyAlignment="1" applyProtection="1">
      <alignment horizontal="center" vertical="center"/>
      <protection locked="0"/>
    </xf>
    <xf numFmtId="0" fontId="5" fillId="4" borderId="2" xfId="0" applyFont="1" applyFill="1" applyBorder="1" applyAlignment="1" applyProtection="1">
      <alignment horizontal="center" vertical="center"/>
      <protection locked="0"/>
    </xf>
    <xf numFmtId="10" fontId="5" fillId="4" borderId="2" xfId="0" applyNumberFormat="1" applyFont="1" applyFill="1" applyBorder="1" applyAlignment="1" applyProtection="1">
      <alignment horizontal="center" vertical="center"/>
      <protection locked="0"/>
    </xf>
    <xf numFmtId="10" fontId="5" fillId="4" borderId="3" xfId="0" applyNumberFormat="1" applyFont="1" applyFill="1" applyBorder="1" applyAlignment="1" applyProtection="1">
      <alignment horizontal="center" vertical="center"/>
      <protection locked="0"/>
    </xf>
    <xf numFmtId="0" fontId="5" fillId="4" borderId="8" xfId="0" applyFont="1" applyFill="1" applyBorder="1" applyAlignment="1" applyProtection="1">
      <alignment horizontal="center" vertical="center"/>
      <protection locked="0"/>
    </xf>
    <xf numFmtId="10" fontId="5" fillId="4" borderId="9" xfId="0" applyNumberFormat="1" applyFont="1" applyFill="1" applyBorder="1" applyAlignment="1" applyProtection="1">
      <alignment horizontal="center" vertical="center"/>
      <protection locked="0"/>
    </xf>
    <xf numFmtId="0" fontId="5" fillId="4" borderId="12" xfId="0" applyFont="1" applyFill="1" applyBorder="1" applyAlignment="1" applyProtection="1">
      <alignment horizontal="center" vertical="center"/>
      <protection locked="0"/>
    </xf>
    <xf numFmtId="10" fontId="5" fillId="4" borderId="12" xfId="0" applyNumberFormat="1" applyFont="1" applyFill="1" applyBorder="1" applyAlignment="1" applyProtection="1">
      <alignment horizontal="center" vertical="center"/>
      <protection locked="0"/>
    </xf>
    <xf numFmtId="10" fontId="5" fillId="4" borderId="13" xfId="0" applyNumberFormat="1" applyFont="1" applyFill="1" applyBorder="1" applyAlignment="1" applyProtection="1">
      <alignment horizontal="center" vertical="center"/>
      <protection locked="0"/>
    </xf>
    <xf numFmtId="0" fontId="5" fillId="3" borderId="4" xfId="0" applyFont="1" applyFill="1" applyBorder="1" applyAlignment="1" applyProtection="1">
      <alignment horizontal="center" vertical="center"/>
      <protection locked="0"/>
    </xf>
    <xf numFmtId="10" fontId="5" fillId="4" borderId="4" xfId="2" applyNumberFormat="1" applyFont="1" applyFill="1" applyBorder="1" applyAlignment="1" applyProtection="1">
      <alignment horizontal="center" vertical="center"/>
      <protection locked="0"/>
    </xf>
    <xf numFmtId="0" fontId="5" fillId="4" borderId="266" xfId="0" applyFont="1" applyFill="1" applyBorder="1" applyAlignment="1" applyProtection="1">
      <alignment horizontal="center" vertical="center"/>
      <protection locked="0"/>
    </xf>
    <xf numFmtId="9" fontId="5" fillId="4" borderId="266" xfId="2" applyFont="1" applyFill="1" applyBorder="1" applyAlignment="1" applyProtection="1">
      <alignment horizontal="center" vertical="center"/>
      <protection locked="0"/>
    </xf>
    <xf numFmtId="179" fontId="5" fillId="5" borderId="10" xfId="2" applyNumberFormat="1" applyFont="1" applyFill="1" applyBorder="1" applyAlignment="1" applyProtection="1">
      <alignment horizontal="center" vertical="center"/>
      <protection locked="0"/>
    </xf>
    <xf numFmtId="10" fontId="6" fillId="5" borderId="10" xfId="2" applyNumberFormat="1" applyFont="1" applyFill="1" applyBorder="1" applyAlignment="1" applyProtection="1">
      <alignment horizontal="center" vertical="center"/>
      <protection locked="0"/>
    </xf>
    <xf numFmtId="10" fontId="5" fillId="5" borderId="10" xfId="0" applyNumberFormat="1" applyFont="1" applyFill="1" applyBorder="1" applyAlignment="1" applyProtection="1">
      <alignment horizontal="center" vertical="center"/>
      <protection locked="0"/>
    </xf>
    <xf numFmtId="10" fontId="5" fillId="5" borderId="0" xfId="0" applyNumberFormat="1" applyFont="1" applyFill="1" applyAlignment="1" applyProtection="1">
      <alignment horizontal="center" vertical="center"/>
      <protection locked="0"/>
    </xf>
    <xf numFmtId="10" fontId="5" fillId="5" borderId="8" xfId="0" applyNumberFormat="1" applyFont="1" applyFill="1" applyBorder="1" applyAlignment="1" applyProtection="1">
      <alignment horizontal="center" vertical="center"/>
      <protection locked="0"/>
    </xf>
    <xf numFmtId="178" fontId="9" fillId="6" borderId="0" xfId="0" applyNumberFormat="1" applyFont="1" applyFill="1" applyAlignment="1" applyProtection="1">
      <alignment horizontal="center" vertical="center"/>
      <protection locked="0"/>
    </xf>
    <xf numFmtId="41" fontId="5" fillId="5" borderId="0" xfId="1" applyFont="1" applyFill="1" applyBorder="1" applyAlignment="1" applyProtection="1">
      <alignment horizontal="center" vertical="center"/>
      <protection locked="0"/>
    </xf>
    <xf numFmtId="190" fontId="9" fillId="4" borderId="10" xfId="2" applyNumberFormat="1" applyFont="1" applyFill="1" applyBorder="1" applyAlignment="1" applyProtection="1">
      <alignment horizontal="center" vertical="center"/>
      <protection locked="0"/>
    </xf>
    <xf numFmtId="190" fontId="9" fillId="4" borderId="11" xfId="2" applyNumberFormat="1" applyFont="1" applyFill="1" applyBorder="1" applyAlignment="1" applyProtection="1">
      <alignment horizontal="center" vertical="center"/>
      <protection locked="0"/>
    </xf>
    <xf numFmtId="0" fontId="5" fillId="6" borderId="10" xfId="0" applyFont="1" applyFill="1" applyBorder="1" applyAlignment="1" applyProtection="1">
      <alignment horizontal="center" vertical="center"/>
      <protection locked="0"/>
    </xf>
    <xf numFmtId="41" fontId="5" fillId="6" borderId="10" xfId="1" applyFont="1" applyFill="1" applyBorder="1" applyAlignment="1" applyProtection="1">
      <alignment horizontal="center" vertical="center"/>
      <protection locked="0"/>
    </xf>
    <xf numFmtId="9" fontId="5" fillId="6" borderId="10" xfId="2" applyFont="1" applyFill="1" applyBorder="1" applyAlignment="1" applyProtection="1">
      <alignment horizontal="center" vertical="center"/>
      <protection locked="0"/>
    </xf>
    <xf numFmtId="179" fontId="5" fillId="6" borderId="10" xfId="2" applyNumberFormat="1" applyFont="1" applyFill="1" applyBorder="1" applyAlignment="1" applyProtection="1">
      <alignment horizontal="center" vertical="center"/>
      <protection locked="0"/>
    </xf>
    <xf numFmtId="0" fontId="6" fillId="6" borderId="10" xfId="0" applyFont="1" applyFill="1" applyBorder="1" applyAlignment="1" applyProtection="1">
      <alignment horizontal="center" vertical="center"/>
      <protection locked="0"/>
    </xf>
    <xf numFmtId="0" fontId="5" fillId="6" borderId="9" xfId="0" applyFont="1" applyFill="1" applyBorder="1" applyAlignment="1" applyProtection="1">
      <alignment horizontal="center" vertical="center"/>
      <protection locked="0"/>
    </xf>
    <xf numFmtId="0" fontId="5" fillId="6" borderId="0" xfId="0" applyFont="1" applyFill="1" applyAlignment="1" applyProtection="1">
      <alignment horizontal="center" vertical="center"/>
      <protection locked="0"/>
    </xf>
    <xf numFmtId="10" fontId="5" fillId="6" borderId="0" xfId="0" applyNumberFormat="1" applyFont="1" applyFill="1" applyAlignment="1" applyProtection="1">
      <alignment horizontal="center" vertical="center"/>
      <protection locked="0"/>
    </xf>
    <xf numFmtId="202" fontId="26" fillId="0" borderId="0" xfId="1" applyNumberFormat="1" applyFont="1" applyBorder="1" applyAlignment="1">
      <alignment vertical="center"/>
    </xf>
    <xf numFmtId="202" fontId="44" fillId="0" borderId="0" xfId="1" applyNumberFormat="1" applyFont="1" applyBorder="1" applyAlignment="1">
      <alignment vertical="center"/>
    </xf>
    <xf numFmtId="178" fontId="26" fillId="0" borderId="267" xfId="0" applyNumberFormat="1" applyFont="1" applyBorder="1">
      <alignment vertical="center"/>
    </xf>
    <xf numFmtId="178" fontId="26" fillId="0" borderId="0" xfId="0" applyNumberFormat="1" applyFont="1">
      <alignment vertical="center"/>
    </xf>
    <xf numFmtId="0" fontId="5" fillId="0" borderId="6" xfId="0" applyFont="1" applyBorder="1" applyAlignment="1" applyProtection="1">
      <alignment horizontal="center" vertical="center"/>
      <protection locked="0"/>
    </xf>
    <xf numFmtId="0" fontId="5" fillId="0" borderId="259" xfId="0" applyFont="1" applyBorder="1" applyAlignment="1" applyProtection="1">
      <alignment horizontal="center" vertical="center"/>
      <protection locked="0"/>
    </xf>
    <xf numFmtId="0" fontId="5" fillId="0" borderId="198" xfId="0" applyFont="1" applyBorder="1" applyAlignment="1" applyProtection="1">
      <alignment horizontal="center" vertical="center"/>
      <protection locked="0"/>
    </xf>
    <xf numFmtId="0" fontId="5" fillId="0" borderId="262" xfId="0" applyFont="1" applyBorder="1" applyAlignment="1" applyProtection="1">
      <alignment horizontal="center" vertical="center"/>
      <protection locked="0"/>
    </xf>
    <xf numFmtId="10" fontId="5" fillId="0" borderId="260" xfId="2" applyNumberFormat="1" applyFont="1" applyBorder="1" applyAlignment="1" applyProtection="1">
      <alignment horizontal="center" vertical="center"/>
      <protection locked="0"/>
    </xf>
    <xf numFmtId="10" fontId="5" fillId="0" borderId="261" xfId="2" applyNumberFormat="1" applyFont="1" applyBorder="1" applyAlignment="1" applyProtection="1">
      <alignment horizontal="center" vertical="center"/>
      <protection locked="0"/>
    </xf>
    <xf numFmtId="10" fontId="5" fillId="0" borderId="199" xfId="2" applyNumberFormat="1" applyFont="1" applyBorder="1" applyAlignment="1" applyProtection="1">
      <alignment horizontal="center" vertical="center"/>
      <protection locked="0"/>
    </xf>
    <xf numFmtId="10" fontId="5" fillId="0" borderId="111" xfId="2" applyNumberFormat="1" applyFont="1" applyBorder="1" applyAlignment="1" applyProtection="1">
      <alignment horizontal="center" vertical="center"/>
      <protection locked="0"/>
    </xf>
    <xf numFmtId="10" fontId="5" fillId="0" borderId="263" xfId="2" applyNumberFormat="1" applyFont="1" applyBorder="1" applyAlignment="1" applyProtection="1">
      <alignment horizontal="center" vertical="center"/>
      <protection locked="0"/>
    </xf>
    <xf numFmtId="10" fontId="5" fillId="0" borderId="264" xfId="2" applyNumberFormat="1" applyFont="1" applyBorder="1" applyAlignment="1" applyProtection="1">
      <alignment horizontal="center" vertical="center"/>
      <protection locked="0"/>
    </xf>
    <xf numFmtId="0" fontId="9" fillId="4" borderId="259" xfId="0" applyFont="1" applyFill="1" applyBorder="1" applyAlignment="1" applyProtection="1">
      <alignment horizontal="center" vertical="center"/>
      <protection locked="0"/>
    </xf>
    <xf numFmtId="0" fontId="9" fillId="4" borderId="261" xfId="0" applyFont="1" applyFill="1" applyBorder="1" applyAlignment="1" applyProtection="1">
      <alignment horizontal="center" vertical="center"/>
      <protection locked="0"/>
    </xf>
    <xf numFmtId="0" fontId="9" fillId="4" borderId="198" xfId="0" applyFont="1" applyFill="1" applyBorder="1" applyAlignment="1" applyProtection="1">
      <alignment horizontal="center" vertical="center"/>
      <protection locked="0"/>
    </xf>
    <xf numFmtId="10" fontId="9" fillId="4" borderId="111" xfId="2" applyNumberFormat="1" applyFont="1" applyFill="1" applyBorder="1" applyAlignment="1" applyProtection="1">
      <alignment horizontal="center" vertical="center"/>
      <protection locked="0"/>
    </xf>
    <xf numFmtId="189" fontId="9" fillId="4" borderId="198" xfId="0" applyNumberFormat="1" applyFont="1" applyFill="1" applyBorder="1" applyAlignment="1" applyProtection="1">
      <alignment horizontal="center" vertical="center"/>
      <protection locked="0"/>
    </xf>
    <xf numFmtId="189" fontId="9" fillId="4" borderId="262" xfId="0" applyNumberFormat="1" applyFont="1" applyFill="1" applyBorder="1" applyAlignment="1" applyProtection="1">
      <alignment horizontal="center" vertical="center"/>
      <protection locked="0"/>
    </xf>
    <xf numFmtId="10" fontId="9" fillId="4" borderId="264" xfId="2" applyNumberFormat="1" applyFont="1" applyFill="1" applyBorder="1" applyAlignment="1" applyProtection="1">
      <alignment horizontal="center" vertical="center"/>
      <protection locked="0"/>
    </xf>
    <xf numFmtId="0" fontId="9" fillId="35" borderId="0" xfId="0" applyFont="1" applyFill="1" applyAlignment="1" applyProtection="1">
      <alignment horizontal="center" vertical="center"/>
      <protection locked="0"/>
    </xf>
    <xf numFmtId="10" fontId="9" fillId="35" borderId="0" xfId="2" applyNumberFormat="1" applyFont="1" applyFill="1" applyAlignment="1" applyProtection="1">
      <alignment horizontal="center" vertical="center"/>
      <protection locked="0"/>
    </xf>
    <xf numFmtId="0" fontId="9" fillId="35" borderId="5" xfId="0" applyFont="1" applyFill="1" applyBorder="1" applyAlignment="1" applyProtection="1">
      <alignment horizontal="center" vertical="center"/>
      <protection locked="0"/>
    </xf>
    <xf numFmtId="10" fontId="9" fillId="35" borderId="5" xfId="2" applyNumberFormat="1" applyFont="1" applyFill="1" applyBorder="1" applyAlignment="1" applyProtection="1">
      <alignment horizontal="center" vertical="center"/>
      <protection locked="0"/>
    </xf>
    <xf numFmtId="0" fontId="41" fillId="0" borderId="0" xfId="0" applyFont="1">
      <alignment vertical="center"/>
    </xf>
    <xf numFmtId="9" fontId="26" fillId="0" borderId="118" xfId="2" applyFont="1" applyBorder="1" applyAlignment="1">
      <alignment vertical="center"/>
    </xf>
    <xf numFmtId="0" fontId="5" fillId="5" borderId="0" xfId="1" applyNumberFormat="1" applyFont="1" applyFill="1" applyBorder="1" applyAlignment="1" applyProtection="1">
      <alignment horizontal="center" vertical="center"/>
      <protection locked="0"/>
    </xf>
    <xf numFmtId="14" fontId="26" fillId="0" borderId="0" xfId="0" applyNumberFormat="1" applyFont="1">
      <alignment vertical="center"/>
    </xf>
    <xf numFmtId="0" fontId="27" fillId="0" borderId="0" xfId="0" applyFont="1" applyAlignment="1">
      <alignment horizontal="right"/>
    </xf>
    <xf numFmtId="0" fontId="5" fillId="5" borderId="9" xfId="0" applyFont="1" applyFill="1" applyBorder="1" applyAlignment="1" applyProtection="1">
      <alignment horizontal="center" vertical="center"/>
      <protection locked="0"/>
    </xf>
    <xf numFmtId="0" fontId="9" fillId="0" borderId="87" xfId="0" applyFont="1" applyBorder="1" applyAlignment="1" applyProtection="1">
      <alignment horizontal="center" vertical="center"/>
      <protection locked="0"/>
    </xf>
    <xf numFmtId="0" fontId="0" fillId="0" borderId="270" xfId="0" applyBorder="1" applyAlignment="1">
      <alignment horizontal="center" vertical="center"/>
    </xf>
    <xf numFmtId="0" fontId="0" fillId="0" borderId="271" xfId="0" applyBorder="1" applyAlignment="1">
      <alignment horizontal="center" vertical="center"/>
    </xf>
    <xf numFmtId="0" fontId="0" fillId="0" borderId="272" xfId="0" applyBorder="1" applyAlignment="1">
      <alignment horizontal="center" vertical="center"/>
    </xf>
    <xf numFmtId="9" fontId="0" fillId="0" borderId="0" xfId="2" applyFont="1" applyBorder="1" applyAlignment="1">
      <alignment horizontal="center" vertical="center"/>
    </xf>
    <xf numFmtId="10" fontId="0" fillId="0" borderId="0" xfId="2" applyNumberFormat="1" applyFont="1" applyBorder="1" applyAlignment="1">
      <alignment horizontal="center" vertical="center"/>
    </xf>
    <xf numFmtId="10" fontId="0" fillId="0" borderId="270" xfId="2" applyNumberFormat="1" applyFont="1" applyBorder="1" applyAlignment="1">
      <alignment horizontal="center" vertical="center"/>
    </xf>
    <xf numFmtId="10" fontId="0" fillId="0" borderId="271" xfId="2" applyNumberFormat="1" applyFont="1" applyBorder="1" applyAlignment="1">
      <alignment horizontal="center" vertical="center"/>
    </xf>
    <xf numFmtId="10" fontId="0" fillId="0" borderId="272" xfId="2" applyNumberFormat="1" applyFont="1" applyBorder="1" applyAlignment="1">
      <alignment horizontal="center" vertical="center"/>
    </xf>
    <xf numFmtId="0" fontId="107" fillId="0" borderId="272" xfId="0" applyFont="1" applyBorder="1" applyAlignment="1">
      <alignment horizontal="center" vertical="center"/>
    </xf>
    <xf numFmtId="10" fontId="107" fillId="0" borderId="271" xfId="2" applyNumberFormat="1" applyFont="1" applyFill="1" applyBorder="1" applyAlignment="1">
      <alignment horizontal="center" vertical="center"/>
    </xf>
    <xf numFmtId="10" fontId="107" fillId="5" borderId="271" xfId="2" applyNumberFormat="1" applyFont="1" applyFill="1" applyBorder="1" applyAlignment="1">
      <alignment horizontal="center" vertical="center"/>
    </xf>
    <xf numFmtId="10" fontId="0" fillId="5" borderId="271" xfId="2" applyNumberFormat="1" applyFont="1" applyFill="1" applyBorder="1" applyAlignment="1">
      <alignment horizontal="center" vertical="center"/>
    </xf>
    <xf numFmtId="10" fontId="0" fillId="5" borderId="272" xfId="2" applyNumberFormat="1" applyFont="1" applyFill="1" applyBorder="1" applyAlignment="1">
      <alignment horizontal="center" vertical="center"/>
    </xf>
    <xf numFmtId="10" fontId="0" fillId="5" borderId="0" xfId="2" applyNumberFormat="1" applyFont="1" applyFill="1" applyBorder="1" applyAlignment="1">
      <alignment horizontal="center" vertical="center"/>
    </xf>
    <xf numFmtId="10" fontId="0" fillId="5" borderId="270" xfId="2" applyNumberFormat="1" applyFont="1" applyFill="1" applyBorder="1" applyAlignment="1">
      <alignment horizontal="center" vertical="center"/>
    </xf>
    <xf numFmtId="10" fontId="9" fillId="0" borderId="87" xfId="2" applyNumberFormat="1" applyFont="1" applyFill="1" applyBorder="1" applyAlignment="1" applyProtection="1">
      <alignment horizontal="center" vertical="center"/>
      <protection locked="0"/>
    </xf>
    <xf numFmtId="0" fontId="107" fillId="0" borderId="273" xfId="0" applyFont="1" applyBorder="1" applyAlignment="1">
      <alignment horizontal="center" vertical="center"/>
    </xf>
    <xf numFmtId="0" fontId="9" fillId="4" borderId="262" xfId="0" applyFont="1" applyFill="1" applyBorder="1" applyAlignment="1" applyProtection="1">
      <alignment horizontal="center" vertical="center"/>
      <protection locked="0"/>
    </xf>
    <xf numFmtId="10" fontId="9" fillId="4" borderId="261" xfId="0" applyNumberFormat="1" applyFont="1" applyFill="1" applyBorder="1" applyAlignment="1" applyProtection="1">
      <alignment horizontal="center" vertical="center"/>
      <protection locked="0"/>
    </xf>
    <xf numFmtId="0" fontId="5" fillId="6" borderId="118" xfId="0" applyFont="1" applyFill="1" applyBorder="1" applyAlignment="1" applyProtection="1">
      <alignment horizontal="center" vertical="center"/>
      <protection locked="0"/>
    </xf>
    <xf numFmtId="0" fontId="5" fillId="4" borderId="275" xfId="0" applyFont="1" applyFill="1" applyBorder="1" applyAlignment="1" applyProtection="1">
      <alignment horizontal="center" vertical="center"/>
      <protection locked="0"/>
    </xf>
    <xf numFmtId="0" fontId="5" fillId="6" borderId="117" xfId="0" applyFont="1" applyFill="1" applyBorder="1" applyAlignment="1" applyProtection="1">
      <alignment horizontal="center" vertical="center"/>
      <protection locked="0"/>
    </xf>
    <xf numFmtId="0" fontId="9" fillId="4" borderId="6" xfId="0" applyFont="1" applyFill="1" applyBorder="1" applyAlignment="1" applyProtection="1">
      <alignment horizontal="center" vertical="center"/>
      <protection locked="0"/>
    </xf>
    <xf numFmtId="10" fontId="9" fillId="4" borderId="6" xfId="2" applyNumberFormat="1" applyFont="1" applyFill="1" applyBorder="1" applyAlignment="1" applyProtection="1">
      <alignment horizontal="center" vertical="center"/>
      <protection locked="0"/>
    </xf>
    <xf numFmtId="0" fontId="9" fillId="0" borderId="6" xfId="0" applyFont="1" applyBorder="1" applyAlignment="1" applyProtection="1">
      <alignment horizontal="center" vertical="center"/>
      <protection locked="0"/>
    </xf>
    <xf numFmtId="190" fontId="9" fillId="0" borderId="0" xfId="2" applyNumberFormat="1" applyFont="1" applyAlignment="1" applyProtection="1">
      <alignment horizontal="center" vertical="center"/>
      <protection locked="0"/>
    </xf>
    <xf numFmtId="0" fontId="5" fillId="17" borderId="9" xfId="0" applyFont="1" applyFill="1" applyBorder="1" applyAlignment="1" applyProtection="1">
      <alignment horizontal="center" vertical="center"/>
      <protection locked="0"/>
    </xf>
    <xf numFmtId="0" fontId="5" fillId="17" borderId="10" xfId="0" applyFont="1" applyFill="1" applyBorder="1" applyAlignment="1" applyProtection="1">
      <alignment horizontal="center" vertical="center"/>
      <protection locked="0"/>
    </xf>
    <xf numFmtId="41" fontId="5" fillId="17" borderId="10" xfId="1" applyFont="1" applyFill="1" applyBorder="1" applyAlignment="1" applyProtection="1">
      <alignment horizontal="center" vertical="center"/>
      <protection locked="0"/>
    </xf>
    <xf numFmtId="9" fontId="5" fillId="17" borderId="10" xfId="2" applyFont="1" applyFill="1" applyBorder="1" applyAlignment="1" applyProtection="1">
      <alignment horizontal="center" vertical="center"/>
      <protection locked="0"/>
    </xf>
    <xf numFmtId="179" fontId="5" fillId="17" borderId="10" xfId="2" applyNumberFormat="1" applyFont="1" applyFill="1" applyBorder="1" applyAlignment="1" applyProtection="1">
      <alignment horizontal="center" vertical="center"/>
      <protection locked="0"/>
    </xf>
    <xf numFmtId="10" fontId="6" fillId="17" borderId="10" xfId="2" applyNumberFormat="1" applyFont="1" applyFill="1" applyBorder="1" applyAlignment="1" applyProtection="1">
      <alignment horizontal="center" vertical="center"/>
      <protection locked="0"/>
    </xf>
    <xf numFmtId="10" fontId="5" fillId="17" borderId="10" xfId="0" applyNumberFormat="1" applyFont="1" applyFill="1" applyBorder="1" applyAlignment="1" applyProtection="1">
      <alignment horizontal="center" vertical="center"/>
      <protection locked="0"/>
    </xf>
    <xf numFmtId="10" fontId="5" fillId="17" borderId="0" xfId="0" applyNumberFormat="1" applyFont="1" applyFill="1" applyAlignment="1" applyProtection="1">
      <alignment horizontal="center" vertical="center"/>
      <protection locked="0"/>
    </xf>
    <xf numFmtId="10" fontId="5" fillId="17" borderId="8" xfId="0" applyNumberFormat="1" applyFont="1" applyFill="1" applyBorder="1" applyAlignment="1" applyProtection="1">
      <alignment horizontal="center" vertical="center"/>
      <protection locked="0"/>
    </xf>
    <xf numFmtId="0" fontId="5" fillId="17" borderId="0" xfId="0" applyFont="1" applyFill="1" applyAlignment="1" applyProtection="1">
      <alignment horizontal="center" vertical="center"/>
      <protection locked="0"/>
    </xf>
    <xf numFmtId="41" fontId="5" fillId="17" borderId="0" xfId="1" applyFont="1" applyFill="1" applyBorder="1" applyAlignment="1" applyProtection="1">
      <alignment horizontal="center" vertical="center"/>
      <protection locked="0"/>
    </xf>
    <xf numFmtId="0" fontId="5" fillId="17" borderId="275" xfId="0" applyFont="1" applyFill="1" applyBorder="1" applyAlignment="1" applyProtection="1">
      <alignment horizontal="center" vertical="center"/>
      <protection locked="0"/>
    </xf>
    <xf numFmtId="0" fontId="5" fillId="17" borderId="251" xfId="0" applyFont="1" applyFill="1" applyBorder="1" applyAlignment="1" applyProtection="1">
      <alignment horizontal="center" vertical="center"/>
      <protection locked="0"/>
    </xf>
    <xf numFmtId="41" fontId="5" fillId="17" borderId="251" xfId="1" applyFont="1" applyFill="1" applyBorder="1" applyAlignment="1" applyProtection="1">
      <alignment horizontal="center" vertical="center"/>
      <protection locked="0"/>
    </xf>
    <xf numFmtId="9" fontId="5" fillId="17" borderId="251" xfId="2" applyFont="1" applyFill="1" applyBorder="1" applyAlignment="1" applyProtection="1">
      <alignment horizontal="center" vertical="center"/>
      <protection locked="0"/>
    </xf>
    <xf numFmtId="179" fontId="5" fillId="17" borderId="251" xfId="2" applyNumberFormat="1" applyFont="1" applyFill="1" applyBorder="1" applyAlignment="1" applyProtection="1">
      <alignment horizontal="center" vertical="center"/>
      <protection locked="0"/>
    </xf>
    <xf numFmtId="10" fontId="6" fillId="17" borderId="251" xfId="2" applyNumberFormat="1" applyFont="1" applyFill="1" applyBorder="1" applyAlignment="1" applyProtection="1">
      <alignment horizontal="center" vertical="center"/>
      <protection locked="0"/>
    </xf>
    <xf numFmtId="10" fontId="5" fillId="17" borderId="251" xfId="0" applyNumberFormat="1" applyFont="1" applyFill="1" applyBorder="1" applyAlignment="1" applyProtection="1">
      <alignment horizontal="center" vertical="center"/>
      <protection locked="0"/>
    </xf>
    <xf numFmtId="10" fontId="5" fillId="17" borderId="117" xfId="0" applyNumberFormat="1" applyFont="1" applyFill="1" applyBorder="1" applyAlignment="1" applyProtection="1">
      <alignment horizontal="center" vertical="center"/>
      <protection locked="0"/>
    </xf>
    <xf numFmtId="10" fontId="5" fillId="17" borderId="252" xfId="0" applyNumberFormat="1" applyFont="1" applyFill="1" applyBorder="1" applyAlignment="1" applyProtection="1">
      <alignment horizontal="center" vertical="center"/>
      <protection locked="0"/>
    </xf>
    <xf numFmtId="0" fontId="5" fillId="17" borderId="117" xfId="0" applyFont="1" applyFill="1" applyBorder="1" applyAlignment="1" applyProtection="1">
      <alignment horizontal="center" vertical="center"/>
      <protection locked="0"/>
    </xf>
    <xf numFmtId="41" fontId="5" fillId="17" borderId="117" xfId="1" applyFont="1" applyFill="1" applyBorder="1" applyAlignment="1" applyProtection="1">
      <alignment horizontal="center" vertical="center"/>
      <protection locked="0"/>
    </xf>
    <xf numFmtId="41" fontId="27" fillId="0" borderId="0" xfId="1" applyFont="1" applyAlignment="1">
      <alignment horizontal="center" vertical="center"/>
    </xf>
    <xf numFmtId="0" fontId="107" fillId="0" borderId="274" xfId="0" applyFont="1" applyBorder="1">
      <alignment vertical="center"/>
    </xf>
    <xf numFmtId="10" fontId="0" fillId="46" borderId="270" xfId="2" applyNumberFormat="1" applyFont="1" applyFill="1" applyBorder="1" applyAlignment="1">
      <alignment horizontal="center" vertical="center"/>
    </xf>
    <xf numFmtId="10" fontId="0" fillId="46" borderId="271" xfId="2" applyNumberFormat="1" applyFont="1" applyFill="1" applyBorder="1" applyAlignment="1">
      <alignment horizontal="center" vertical="center"/>
    </xf>
    <xf numFmtId="10" fontId="0" fillId="46" borderId="272" xfId="2" applyNumberFormat="1" applyFont="1" applyFill="1" applyBorder="1" applyAlignment="1">
      <alignment horizontal="center" vertical="center"/>
    </xf>
    <xf numFmtId="0" fontId="0" fillId="46" borderId="0" xfId="0" applyFill="1">
      <alignment vertical="center"/>
    </xf>
    <xf numFmtId="0" fontId="107" fillId="46" borderId="274" xfId="0" applyFont="1" applyFill="1" applyBorder="1">
      <alignment vertical="center"/>
    </xf>
    <xf numFmtId="0" fontId="107" fillId="46" borderId="273" xfId="0" applyFont="1" applyFill="1" applyBorder="1" applyAlignment="1">
      <alignment horizontal="center" vertical="center"/>
    </xf>
    <xf numFmtId="0" fontId="107" fillId="46" borderId="272" xfId="0" applyFont="1" applyFill="1" applyBorder="1" applyAlignment="1">
      <alignment horizontal="center" vertical="center"/>
    </xf>
    <xf numFmtId="10" fontId="0" fillId="5" borderId="276" xfId="2" applyNumberFormat="1" applyFont="1" applyFill="1" applyBorder="1" applyAlignment="1">
      <alignment horizontal="center" vertical="center"/>
    </xf>
    <xf numFmtId="10" fontId="0" fillId="5" borderId="277" xfId="2" applyNumberFormat="1" applyFont="1" applyFill="1" applyBorder="1" applyAlignment="1">
      <alignment horizontal="center" vertical="center"/>
    </xf>
    <xf numFmtId="10" fontId="107" fillId="5" borderId="276" xfId="2" applyNumberFormat="1" applyFont="1" applyFill="1" applyBorder="1" applyAlignment="1">
      <alignment horizontal="center" vertical="center"/>
    </xf>
    <xf numFmtId="10" fontId="0" fillId="4" borderId="274" xfId="2" applyNumberFormat="1" applyFont="1" applyFill="1" applyBorder="1" applyAlignment="1">
      <alignment horizontal="center" vertical="center"/>
    </xf>
    <xf numFmtId="10" fontId="0" fillId="4" borderId="0" xfId="2" applyNumberFormat="1" applyFont="1" applyFill="1" applyBorder="1" applyAlignment="1">
      <alignment horizontal="center" vertical="center"/>
    </xf>
    <xf numFmtId="10" fontId="0" fillId="4" borderId="271" xfId="2" applyNumberFormat="1" applyFont="1" applyFill="1" applyBorder="1" applyAlignment="1">
      <alignment horizontal="center" vertical="center"/>
    </xf>
    <xf numFmtId="0" fontId="182" fillId="0" borderId="0" xfId="0" applyFont="1" applyProtection="1">
      <alignment vertical="center"/>
      <protection hidden="1"/>
    </xf>
    <xf numFmtId="41" fontId="26" fillId="31" borderId="0" xfId="1" applyFont="1" applyFill="1" applyBorder="1" applyAlignment="1">
      <alignment vertical="center"/>
    </xf>
    <xf numFmtId="0" fontId="30" fillId="31" borderId="0" xfId="0" applyFont="1" applyFill="1" applyAlignment="1">
      <alignment horizontal="left" vertical="center"/>
    </xf>
    <xf numFmtId="0" fontId="26" fillId="31" borderId="0" xfId="0" applyFont="1" applyFill="1">
      <alignment vertical="center"/>
    </xf>
    <xf numFmtId="41" fontId="26" fillId="31" borderId="295" xfId="1" applyFont="1" applyFill="1" applyBorder="1" applyAlignment="1">
      <alignment vertical="center"/>
    </xf>
    <xf numFmtId="41" fontId="26" fillId="31" borderId="297" xfId="1" applyFont="1" applyFill="1" applyBorder="1" applyAlignment="1">
      <alignment vertical="center"/>
    </xf>
    <xf numFmtId="0" fontId="26" fillId="31" borderId="376" xfId="0" applyFont="1" applyFill="1" applyBorder="1">
      <alignment vertical="center"/>
    </xf>
    <xf numFmtId="0" fontId="26" fillId="31" borderId="377" xfId="0" applyFont="1" applyFill="1" applyBorder="1">
      <alignment vertical="center"/>
    </xf>
    <xf numFmtId="0" fontId="26" fillId="31" borderId="378" xfId="0" applyFont="1" applyFill="1" applyBorder="1">
      <alignment vertical="center"/>
    </xf>
    <xf numFmtId="0" fontId="26" fillId="31" borderId="379" xfId="0" applyFont="1" applyFill="1" applyBorder="1">
      <alignment vertical="center"/>
    </xf>
    <xf numFmtId="0" fontId="35" fillId="31" borderId="379" xfId="0" applyFont="1" applyFill="1" applyBorder="1">
      <alignment vertical="center"/>
    </xf>
    <xf numFmtId="0" fontId="36" fillId="31" borderId="379" xfId="0" applyFont="1" applyFill="1" applyBorder="1">
      <alignment vertical="center"/>
    </xf>
    <xf numFmtId="0" fontId="26" fillId="31" borderId="380" xfId="0" applyFont="1" applyFill="1" applyBorder="1">
      <alignment vertical="center"/>
    </xf>
    <xf numFmtId="0" fontId="26" fillId="31" borderId="299" xfId="0" applyFont="1" applyFill="1" applyBorder="1">
      <alignment vertical="center"/>
    </xf>
    <xf numFmtId="0" fontId="26" fillId="31" borderId="381" xfId="0" applyFont="1" applyFill="1" applyBorder="1">
      <alignment vertical="center"/>
    </xf>
    <xf numFmtId="0" fontId="79" fillId="31" borderId="125" xfId="8" applyNumberFormat="1" applyFont="1" applyFill="1" applyBorder="1" applyAlignment="1">
      <alignment horizontal="center" vertical="center"/>
    </xf>
    <xf numFmtId="0" fontId="79" fillId="31" borderId="135" xfId="8" applyNumberFormat="1" applyFont="1" applyFill="1" applyBorder="1" applyAlignment="1">
      <alignment horizontal="center" vertical="center"/>
    </xf>
    <xf numFmtId="0" fontId="102" fillId="31" borderId="125" xfId="8" applyNumberFormat="1" applyFont="1" applyFill="1" applyBorder="1" applyAlignment="1">
      <alignment horizontal="center" vertical="center"/>
    </xf>
    <xf numFmtId="0" fontId="102" fillId="31" borderId="127" xfId="8" applyNumberFormat="1" applyFont="1" applyFill="1" applyBorder="1" applyAlignment="1">
      <alignment horizontal="center" vertical="center"/>
    </xf>
    <xf numFmtId="0" fontId="30" fillId="31" borderId="125" xfId="8" applyNumberFormat="1" applyFont="1" applyFill="1" applyBorder="1" applyAlignment="1">
      <alignment horizontal="center" vertical="center"/>
    </xf>
    <xf numFmtId="0" fontId="30" fillId="31" borderId="126" xfId="8" applyNumberFormat="1" applyFont="1" applyFill="1" applyBorder="1" applyAlignment="1">
      <alignment horizontal="center" vertical="center"/>
    </xf>
    <xf numFmtId="0" fontId="30" fillId="31" borderId="124" xfId="8" applyNumberFormat="1" applyFont="1" applyFill="1" applyBorder="1" applyAlignment="1">
      <alignment horizontal="center" vertical="center"/>
    </xf>
    <xf numFmtId="0" fontId="30" fillId="31" borderId="126" xfId="9" applyNumberFormat="1" applyFont="1" applyFill="1" applyBorder="1" applyAlignment="1" applyProtection="1">
      <alignment horizontal="center" vertical="center"/>
    </xf>
    <xf numFmtId="0" fontId="33" fillId="31" borderId="138" xfId="9" applyNumberFormat="1" applyFont="1" applyFill="1" applyBorder="1" applyAlignment="1" applyProtection="1">
      <alignment horizontal="center" vertical="center"/>
    </xf>
    <xf numFmtId="0" fontId="42" fillId="31" borderId="125" xfId="8" applyNumberFormat="1" applyFont="1" applyFill="1" applyBorder="1" applyAlignment="1">
      <alignment horizontal="center" vertical="center" shrinkToFit="1"/>
    </xf>
    <xf numFmtId="0" fontId="30" fillId="31" borderId="124" xfId="8" applyNumberFormat="1" applyFont="1" applyFill="1" applyBorder="1" applyAlignment="1">
      <alignment horizontal="center" vertical="center" wrapText="1"/>
    </xf>
    <xf numFmtId="0" fontId="30" fillId="31" borderId="136" xfId="8" applyNumberFormat="1" applyFont="1" applyFill="1" applyBorder="1" applyAlignment="1">
      <alignment horizontal="center" vertical="center"/>
    </xf>
    <xf numFmtId="0" fontId="30" fillId="31" borderId="137" xfId="8" applyNumberFormat="1" applyFont="1" applyFill="1" applyBorder="1" applyAlignment="1">
      <alignment horizontal="center" vertical="center"/>
    </xf>
    <xf numFmtId="0" fontId="30" fillId="31" borderId="128" xfId="8" applyNumberFormat="1" applyFont="1" applyFill="1" applyBorder="1" applyAlignment="1">
      <alignment horizontal="center" vertical="center"/>
    </xf>
    <xf numFmtId="0" fontId="30" fillId="31" borderId="124" xfId="9" applyNumberFormat="1" applyFont="1" applyFill="1" applyBorder="1" applyAlignment="1" applyProtection="1">
      <alignment horizontal="center" vertical="center"/>
    </xf>
    <xf numFmtId="0" fontId="41" fillId="7" borderId="151" xfId="0" applyFont="1" applyFill="1" applyBorder="1" applyAlignment="1">
      <alignment horizontal="center" vertical="center"/>
    </xf>
    <xf numFmtId="0" fontId="41" fillId="47" borderId="388" xfId="0" applyFont="1" applyFill="1" applyBorder="1" applyAlignment="1">
      <alignment horizontal="center" vertical="center"/>
    </xf>
    <xf numFmtId="0" fontId="41" fillId="47" borderId="389" xfId="0" applyFont="1" applyFill="1" applyBorder="1" applyAlignment="1">
      <alignment horizontal="center" vertical="center"/>
    </xf>
    <xf numFmtId="0" fontId="9" fillId="0" borderId="14" xfId="0" applyFont="1" applyBorder="1" applyAlignment="1" applyProtection="1">
      <alignment horizontal="center" vertical="center"/>
      <protection locked="0"/>
    </xf>
    <xf numFmtId="190" fontId="9" fillId="0" borderId="0" xfId="2" applyNumberFormat="1" applyFont="1" applyBorder="1" applyAlignment="1" applyProtection="1">
      <alignment horizontal="center" vertical="center"/>
      <protection locked="0"/>
    </xf>
    <xf numFmtId="190" fontId="9" fillId="0" borderId="1" xfId="2" applyNumberFormat="1" applyFont="1" applyBorder="1" applyAlignment="1" applyProtection="1">
      <alignment horizontal="center" vertical="center"/>
      <protection locked="0"/>
    </xf>
    <xf numFmtId="190" fontId="9" fillId="0" borderId="14" xfId="2" applyNumberFormat="1" applyFont="1" applyBorder="1" applyAlignment="1" applyProtection="1">
      <alignment horizontal="center" vertical="center"/>
      <protection locked="0"/>
    </xf>
    <xf numFmtId="190" fontId="9" fillId="0" borderId="0" xfId="0" applyNumberFormat="1" applyFont="1" applyAlignment="1" applyProtection="1">
      <alignment horizontal="center" vertical="center"/>
      <protection locked="0"/>
    </xf>
    <xf numFmtId="0" fontId="9" fillId="0" borderId="1" xfId="0" applyFont="1" applyBorder="1" applyAlignment="1" applyProtection="1">
      <alignment horizontal="center" vertical="center"/>
      <protection locked="0"/>
    </xf>
    <xf numFmtId="190" fontId="9" fillId="0" borderId="1" xfId="0" applyNumberFormat="1" applyFont="1" applyBorder="1" applyAlignment="1" applyProtection="1">
      <alignment horizontal="center" vertical="center"/>
      <protection locked="0"/>
    </xf>
    <xf numFmtId="178" fontId="9" fillId="4" borderId="10" xfId="2" quotePrefix="1" applyNumberFormat="1" applyFont="1" applyFill="1" applyBorder="1" applyAlignment="1" applyProtection="1">
      <alignment horizontal="center" vertical="center"/>
      <protection locked="0"/>
    </xf>
    <xf numFmtId="0" fontId="41" fillId="47" borderId="391" xfId="0" applyFont="1" applyFill="1" applyBorder="1" applyAlignment="1">
      <alignment horizontal="center" vertical="center"/>
    </xf>
    <xf numFmtId="0" fontId="185" fillId="49" borderId="53" xfId="12" applyFont="1" applyFill="1" applyBorder="1" applyAlignment="1" applyProtection="1">
      <alignment horizontal="center" vertical="center"/>
      <protection locked="0"/>
    </xf>
    <xf numFmtId="0" fontId="185" fillId="50" borderId="53" xfId="12" applyFont="1" applyFill="1" applyBorder="1" applyAlignment="1" applyProtection="1">
      <alignment horizontal="center" vertical="center"/>
      <protection locked="0"/>
    </xf>
    <xf numFmtId="0" fontId="79" fillId="31" borderId="124" xfId="8" applyNumberFormat="1" applyFont="1" applyFill="1" applyBorder="1" applyAlignment="1">
      <alignment horizontal="center" vertical="center"/>
    </xf>
    <xf numFmtId="0" fontId="79" fillId="31" borderId="128" xfId="8" applyNumberFormat="1" applyFont="1" applyFill="1" applyBorder="1" applyAlignment="1">
      <alignment horizontal="center" vertical="center"/>
    </xf>
    <xf numFmtId="0" fontId="55" fillId="17" borderId="10" xfId="0" applyFont="1" applyFill="1" applyBorder="1" applyAlignment="1" applyProtection="1">
      <alignment horizontal="center" vertical="center"/>
      <protection locked="0"/>
    </xf>
    <xf numFmtId="41" fontId="55" fillId="42" borderId="10" xfId="1" applyFont="1" applyFill="1" applyBorder="1" applyAlignment="1" applyProtection="1">
      <alignment horizontal="center" vertical="center"/>
      <protection locked="0"/>
    </xf>
    <xf numFmtId="0" fontId="55" fillId="42" borderId="10" xfId="0" applyFont="1" applyFill="1" applyBorder="1" applyAlignment="1" applyProtection="1">
      <alignment horizontal="center" vertical="center"/>
      <protection locked="0"/>
    </xf>
    <xf numFmtId="9" fontId="55" fillId="42" borderId="10" xfId="2" applyFont="1" applyFill="1" applyBorder="1" applyAlignment="1" applyProtection="1">
      <alignment horizontal="center" vertical="center"/>
      <protection locked="0"/>
    </xf>
    <xf numFmtId="10" fontId="55" fillId="42" borderId="9" xfId="0" applyNumberFormat="1" applyFont="1" applyFill="1" applyBorder="1" applyAlignment="1" applyProtection="1">
      <alignment horizontal="center" vertical="center"/>
      <protection locked="0"/>
    </xf>
    <xf numFmtId="10" fontId="55" fillId="42" borderId="10" xfId="0" applyNumberFormat="1" applyFont="1" applyFill="1" applyBorder="1" applyAlignment="1" applyProtection="1">
      <alignment horizontal="center" vertical="center"/>
      <protection locked="0"/>
    </xf>
    <xf numFmtId="179" fontId="55" fillId="42" borderId="10" xfId="2" applyNumberFormat="1" applyFont="1" applyFill="1" applyBorder="1" applyAlignment="1" applyProtection="1">
      <alignment horizontal="center" vertical="center"/>
      <protection locked="0"/>
    </xf>
    <xf numFmtId="179" fontId="55" fillId="4" borderId="4" xfId="0" applyNumberFormat="1" applyFont="1" applyFill="1" applyBorder="1" applyAlignment="1" applyProtection="1">
      <alignment horizontal="center" vertical="center"/>
      <protection locked="0"/>
    </xf>
    <xf numFmtId="193" fontId="55" fillId="4" borderId="4" xfId="0" applyNumberFormat="1" applyFont="1" applyFill="1" applyBorder="1" applyAlignment="1" applyProtection="1">
      <alignment horizontal="center" vertical="center"/>
      <protection locked="0"/>
    </xf>
    <xf numFmtId="179" fontId="55" fillId="4" borderId="4" xfId="2" applyNumberFormat="1" applyFont="1" applyFill="1" applyBorder="1" applyAlignment="1" applyProtection="1">
      <alignment horizontal="center" vertical="center"/>
      <protection locked="0"/>
    </xf>
    <xf numFmtId="179" fontId="55" fillId="4" borderId="10" xfId="0" applyNumberFormat="1" applyFont="1" applyFill="1" applyBorder="1" applyAlignment="1" applyProtection="1">
      <alignment horizontal="center" vertical="center"/>
      <protection locked="0"/>
    </xf>
    <xf numFmtId="193" fontId="55" fillId="4" borderId="10" xfId="0" applyNumberFormat="1" applyFont="1" applyFill="1" applyBorder="1" applyAlignment="1" applyProtection="1">
      <alignment horizontal="center" vertical="center"/>
      <protection locked="0"/>
    </xf>
    <xf numFmtId="179" fontId="55" fillId="4" borderId="10" xfId="2" applyNumberFormat="1" applyFont="1" applyFill="1" applyBorder="1" applyAlignment="1" applyProtection="1">
      <alignment horizontal="center" vertical="center"/>
      <protection locked="0"/>
    </xf>
    <xf numFmtId="179" fontId="55" fillId="4" borderId="11" xfId="0" applyNumberFormat="1" applyFont="1" applyFill="1" applyBorder="1" applyAlignment="1" applyProtection="1">
      <alignment horizontal="center" vertical="center"/>
      <protection locked="0"/>
    </xf>
    <xf numFmtId="193" fontId="55" fillId="4" borderId="11" xfId="0" applyNumberFormat="1" applyFont="1" applyFill="1" applyBorder="1" applyAlignment="1" applyProtection="1">
      <alignment horizontal="center" vertical="center"/>
      <protection locked="0"/>
    </xf>
    <xf numFmtId="179" fontId="55" fillId="4" borderId="11" xfId="2" applyNumberFormat="1" applyFont="1" applyFill="1" applyBorder="1" applyAlignment="1" applyProtection="1">
      <alignment horizontal="center" vertical="center"/>
      <protection locked="0"/>
    </xf>
    <xf numFmtId="179" fontId="55" fillId="26" borderId="4" xfId="0" applyNumberFormat="1" applyFont="1" applyFill="1" applyBorder="1" applyAlignment="1" applyProtection="1">
      <alignment horizontal="center" vertical="center"/>
      <protection locked="0"/>
    </xf>
    <xf numFmtId="193" fontId="55" fillId="26" borderId="4" xfId="0" applyNumberFormat="1" applyFont="1" applyFill="1" applyBorder="1" applyAlignment="1" applyProtection="1">
      <alignment horizontal="center" vertical="center"/>
      <protection locked="0"/>
    </xf>
    <xf numFmtId="179" fontId="55" fillId="26" borderId="4" xfId="2" applyNumberFormat="1" applyFont="1" applyFill="1" applyBorder="1" applyAlignment="1" applyProtection="1">
      <alignment horizontal="center" vertical="center"/>
      <protection locked="0"/>
    </xf>
    <xf numFmtId="179" fontId="55" fillId="26" borderId="10" xfId="0" applyNumberFormat="1" applyFont="1" applyFill="1" applyBorder="1" applyAlignment="1" applyProtection="1">
      <alignment horizontal="center" vertical="center"/>
      <protection locked="0"/>
    </xf>
    <xf numFmtId="193" fontId="55" fillId="26" borderId="10" xfId="0" applyNumberFormat="1" applyFont="1" applyFill="1" applyBorder="1" applyAlignment="1" applyProtection="1">
      <alignment horizontal="center" vertical="center"/>
      <protection locked="0"/>
    </xf>
    <xf numFmtId="179" fontId="55" fillId="26" borderId="10" xfId="2" applyNumberFormat="1" applyFont="1" applyFill="1" applyBorder="1" applyAlignment="1" applyProtection="1">
      <alignment horizontal="center" vertical="center"/>
      <protection locked="0"/>
    </xf>
    <xf numFmtId="179" fontId="55" fillId="26" borderId="11" xfId="0" applyNumberFormat="1" applyFont="1" applyFill="1" applyBorder="1" applyAlignment="1" applyProtection="1">
      <alignment horizontal="center" vertical="center"/>
      <protection locked="0"/>
    </xf>
    <xf numFmtId="193" fontId="55" fillId="26" borderId="11" xfId="0" applyNumberFormat="1" applyFont="1" applyFill="1" applyBorder="1" applyAlignment="1" applyProtection="1">
      <alignment horizontal="center" vertical="center"/>
      <protection locked="0"/>
    </xf>
    <xf numFmtId="179" fontId="55" fillId="26" borderId="11" xfId="2" applyNumberFormat="1" applyFont="1" applyFill="1" applyBorder="1" applyAlignment="1" applyProtection="1">
      <alignment horizontal="center" vertical="center"/>
      <protection locked="0"/>
    </xf>
    <xf numFmtId="179" fontId="55" fillId="9" borderId="4" xfId="0" applyNumberFormat="1" applyFont="1" applyFill="1" applyBorder="1" applyAlignment="1" applyProtection="1">
      <alignment horizontal="center" vertical="center"/>
      <protection locked="0"/>
    </xf>
    <xf numFmtId="193" fontId="55" fillId="9" borderId="4" xfId="0" applyNumberFormat="1" applyFont="1" applyFill="1" applyBorder="1" applyAlignment="1" applyProtection="1">
      <alignment horizontal="center" vertical="center"/>
      <protection locked="0"/>
    </xf>
    <xf numFmtId="179" fontId="55" fillId="9" borderId="4" xfId="2" applyNumberFormat="1" applyFont="1" applyFill="1" applyBorder="1" applyAlignment="1" applyProtection="1">
      <alignment horizontal="center" vertical="center"/>
      <protection locked="0"/>
    </xf>
    <xf numFmtId="179" fontId="55" fillId="9" borderId="10" xfId="0" applyNumberFormat="1" applyFont="1" applyFill="1" applyBorder="1" applyAlignment="1" applyProtection="1">
      <alignment horizontal="center" vertical="center"/>
      <protection locked="0"/>
    </xf>
    <xf numFmtId="193" fontId="55" fillId="25" borderId="10" xfId="4" applyNumberFormat="1" applyFont="1" applyBorder="1" applyAlignment="1" applyProtection="1">
      <alignment horizontal="center" vertical="center"/>
      <protection locked="0"/>
    </xf>
    <xf numFmtId="179" fontId="55" fillId="25" borderId="10" xfId="2" applyNumberFormat="1" applyFont="1" applyFill="1" applyBorder="1" applyAlignment="1" applyProtection="1">
      <alignment horizontal="center" vertical="center"/>
      <protection locked="0"/>
    </xf>
    <xf numFmtId="193" fontId="55" fillId="9" borderId="10" xfId="0" applyNumberFormat="1" applyFont="1" applyFill="1" applyBorder="1" applyAlignment="1" applyProtection="1">
      <alignment horizontal="center" vertical="center"/>
      <protection locked="0"/>
    </xf>
    <xf numFmtId="179" fontId="55" fillId="9" borderId="11" xfId="0" applyNumberFormat="1" applyFont="1" applyFill="1" applyBorder="1" applyAlignment="1" applyProtection="1">
      <alignment horizontal="center" vertical="center"/>
      <protection locked="0"/>
    </xf>
    <xf numFmtId="193" fontId="55" fillId="9" borderId="11" xfId="0" applyNumberFormat="1" applyFont="1" applyFill="1" applyBorder="1" applyAlignment="1" applyProtection="1">
      <alignment horizontal="center" vertical="center"/>
      <protection locked="0"/>
    </xf>
    <xf numFmtId="179" fontId="55" fillId="9" borderId="11" xfId="2" applyNumberFormat="1" applyFont="1" applyFill="1" applyBorder="1" applyAlignment="1" applyProtection="1">
      <alignment horizontal="center" vertical="center"/>
      <protection locked="0"/>
    </xf>
    <xf numFmtId="179" fontId="55" fillId="9" borderId="20" xfId="0" applyNumberFormat="1" applyFont="1" applyFill="1" applyBorder="1" applyAlignment="1" applyProtection="1">
      <alignment horizontal="center" vertical="center"/>
      <protection locked="0"/>
    </xf>
    <xf numFmtId="193" fontId="55" fillId="9" borderId="20" xfId="0" applyNumberFormat="1" applyFont="1" applyFill="1" applyBorder="1" applyAlignment="1" applyProtection="1">
      <alignment horizontal="center" vertical="center"/>
      <protection locked="0"/>
    </xf>
    <xf numFmtId="179" fontId="55" fillId="9" borderId="20" xfId="2" applyNumberFormat="1" applyFont="1" applyFill="1" applyBorder="1" applyAlignment="1" applyProtection="1">
      <alignment horizontal="center" vertical="center"/>
      <protection locked="0"/>
    </xf>
    <xf numFmtId="193" fontId="55" fillId="25" borderId="20" xfId="4" applyNumberFormat="1" applyFont="1" applyBorder="1" applyAlignment="1" applyProtection="1">
      <alignment horizontal="center" vertical="center"/>
      <protection locked="0"/>
    </xf>
    <xf numFmtId="179" fontId="55" fillId="25" borderId="20" xfId="2" applyNumberFormat="1" applyFont="1" applyFill="1" applyBorder="1" applyAlignment="1" applyProtection="1">
      <alignment horizontal="center" vertical="center"/>
      <protection locked="0"/>
    </xf>
    <xf numFmtId="179" fontId="55" fillId="26" borderId="20" xfId="0" applyNumberFormat="1" applyFont="1" applyFill="1" applyBorder="1" applyAlignment="1" applyProtection="1">
      <alignment horizontal="center" vertical="center"/>
      <protection locked="0"/>
    </xf>
    <xf numFmtId="193" fontId="55" fillId="26" borderId="20" xfId="0" applyNumberFormat="1" applyFont="1" applyFill="1" applyBorder="1" applyAlignment="1" applyProtection="1">
      <alignment horizontal="center" vertical="center"/>
      <protection locked="0"/>
    </xf>
    <xf numFmtId="179" fontId="55" fillId="26" borderId="20" xfId="2" applyNumberFormat="1" applyFont="1" applyFill="1" applyBorder="1" applyAlignment="1" applyProtection="1">
      <alignment horizontal="center" vertical="center"/>
      <protection locked="0"/>
    </xf>
    <xf numFmtId="179" fontId="55" fillId="4" borderId="20" xfId="0" applyNumberFormat="1" applyFont="1" applyFill="1" applyBorder="1" applyAlignment="1" applyProtection="1">
      <alignment horizontal="center" vertical="center"/>
      <protection locked="0"/>
    </xf>
    <xf numFmtId="193" fontId="55" fillId="4" borderId="20" xfId="0" applyNumberFormat="1" applyFont="1" applyFill="1" applyBorder="1" applyAlignment="1" applyProtection="1">
      <alignment horizontal="center" vertical="center"/>
      <protection locked="0"/>
    </xf>
    <xf numFmtId="179" fontId="55" fillId="4" borderId="20" xfId="2" applyNumberFormat="1" applyFont="1" applyFill="1" applyBorder="1" applyAlignment="1" applyProtection="1">
      <alignment horizontal="center" vertical="center"/>
      <protection locked="0"/>
    </xf>
    <xf numFmtId="10" fontId="0" fillId="46" borderId="274" xfId="2" applyNumberFormat="1" applyFont="1" applyFill="1" applyBorder="1" applyAlignment="1">
      <alignment horizontal="center" vertical="center"/>
    </xf>
    <xf numFmtId="10" fontId="0" fillId="46" borderId="276" xfId="2" applyNumberFormat="1" applyFont="1" applyFill="1" applyBorder="1" applyAlignment="1">
      <alignment horizontal="center" vertical="center"/>
    </xf>
    <xf numFmtId="10" fontId="0" fillId="46" borderId="277" xfId="2" applyNumberFormat="1" applyFont="1" applyFill="1" applyBorder="1" applyAlignment="1">
      <alignment horizontal="center" vertical="center"/>
    </xf>
    <xf numFmtId="0" fontId="107" fillId="46" borderId="276" xfId="0" applyFont="1" applyFill="1" applyBorder="1" applyAlignment="1">
      <alignment horizontal="center" vertical="center"/>
    </xf>
    <xf numFmtId="0" fontId="107" fillId="46" borderId="277" xfId="0" applyFont="1" applyFill="1" applyBorder="1" applyAlignment="1">
      <alignment horizontal="center" vertical="center"/>
    </xf>
    <xf numFmtId="10" fontId="5" fillId="0" borderId="199" xfId="2" applyNumberFormat="1" applyFont="1" applyBorder="1" applyAlignment="1" applyProtection="1">
      <alignment horizontal="center" vertical="center"/>
    </xf>
    <xf numFmtId="10" fontId="5" fillId="0" borderId="111" xfId="2" applyNumberFormat="1" applyFont="1" applyBorder="1" applyAlignment="1" applyProtection="1">
      <alignment horizontal="center" vertical="center"/>
    </xf>
    <xf numFmtId="179" fontId="9" fillId="4" borderId="4" xfId="2" applyNumberFormat="1" applyFont="1" applyFill="1" applyBorder="1" applyAlignment="1" applyProtection="1">
      <alignment horizontal="center" vertical="center"/>
      <protection locked="0"/>
    </xf>
    <xf numFmtId="179" fontId="9" fillId="4" borderId="10" xfId="2" applyNumberFormat="1" applyFont="1" applyFill="1" applyBorder="1" applyAlignment="1" applyProtection="1">
      <alignment horizontal="center" vertical="center"/>
      <protection locked="0"/>
    </xf>
    <xf numFmtId="179" fontId="13" fillId="4" borderId="10" xfId="0" applyNumberFormat="1" applyFont="1" applyFill="1" applyBorder="1" applyAlignment="1" applyProtection="1">
      <alignment horizontal="center" vertical="center"/>
      <protection locked="0"/>
    </xf>
    <xf numFmtId="189" fontId="9" fillId="5" borderId="198" xfId="0" applyNumberFormat="1" applyFont="1" applyFill="1" applyBorder="1" applyAlignment="1" applyProtection="1">
      <alignment horizontal="center" vertical="center"/>
      <protection locked="0"/>
    </xf>
    <xf numFmtId="178" fontId="9" fillId="5" borderId="111" xfId="2" applyNumberFormat="1" applyFont="1" applyFill="1" applyBorder="1" applyAlignment="1" applyProtection="1">
      <alignment horizontal="center" vertical="center"/>
      <protection locked="0"/>
    </xf>
    <xf numFmtId="0" fontId="9" fillId="5" borderId="0" xfId="0" applyFont="1" applyFill="1" applyAlignment="1" applyProtection="1">
      <alignment horizontal="center" vertical="center"/>
      <protection locked="0"/>
    </xf>
    <xf numFmtId="41" fontId="26" fillId="0" borderId="0" xfId="0" applyNumberFormat="1" applyFont="1">
      <alignment vertical="center"/>
    </xf>
    <xf numFmtId="0" fontId="41" fillId="6" borderId="0" xfId="0" applyFont="1" applyFill="1">
      <alignment vertical="center"/>
    </xf>
    <xf numFmtId="0" fontId="41" fillId="51" borderId="392" xfId="0" applyFont="1" applyFill="1" applyBorder="1" applyAlignment="1">
      <alignment horizontal="center" vertical="center"/>
    </xf>
    <xf numFmtId="0" fontId="186" fillId="0" borderId="0" xfId="0" applyFont="1" applyAlignment="1">
      <alignment vertical="center" wrapText="1"/>
    </xf>
    <xf numFmtId="0" fontId="44" fillId="0" borderId="0" xfId="0" applyFont="1" applyAlignment="1">
      <alignment vertical="center" wrapText="1"/>
    </xf>
    <xf numFmtId="0" fontId="41" fillId="51" borderId="392" xfId="0" applyFont="1" applyFill="1" applyBorder="1" applyAlignment="1">
      <alignment horizontal="center" vertical="center" wrapText="1"/>
    </xf>
    <xf numFmtId="0" fontId="32" fillId="0" borderId="0" xfId="0" applyFont="1">
      <alignment vertical="center"/>
    </xf>
    <xf numFmtId="0" fontId="39" fillId="0" borderId="0" xfId="0" applyFont="1">
      <alignment vertical="center"/>
    </xf>
    <xf numFmtId="41" fontId="26" fillId="0" borderId="0" xfId="1" applyFont="1" applyFill="1" applyBorder="1" applyAlignment="1">
      <alignment vertical="center"/>
    </xf>
    <xf numFmtId="41" fontId="9" fillId="4" borderId="4" xfId="0" applyNumberFormat="1" applyFont="1" applyFill="1" applyBorder="1" applyAlignment="1" applyProtection="1">
      <alignment horizontal="center" vertical="center"/>
      <protection locked="0"/>
    </xf>
    <xf numFmtId="179" fontId="5" fillId="9" borderId="10" xfId="2" applyNumberFormat="1" applyFont="1" applyFill="1" applyBorder="1" applyAlignment="1" applyProtection="1">
      <alignment horizontal="center" vertical="center"/>
      <protection locked="0"/>
    </xf>
    <xf numFmtId="189" fontId="9" fillId="5" borderId="259" xfId="0" applyNumberFormat="1" applyFont="1" applyFill="1" applyBorder="1" applyAlignment="1" applyProtection="1">
      <alignment horizontal="center" vertical="center"/>
      <protection locked="0"/>
    </xf>
    <xf numFmtId="10" fontId="9" fillId="5" borderId="261" xfId="2" applyNumberFormat="1" applyFont="1" applyFill="1" applyBorder="1" applyAlignment="1" applyProtection="1">
      <alignment horizontal="center" vertical="center"/>
      <protection locked="0"/>
    </xf>
    <xf numFmtId="189" fontId="9" fillId="5" borderId="262" xfId="0" applyNumberFormat="1" applyFont="1" applyFill="1" applyBorder="1" applyAlignment="1" applyProtection="1">
      <alignment horizontal="center" vertical="center"/>
      <protection locked="0"/>
    </xf>
    <xf numFmtId="10" fontId="9" fillId="5" borderId="264" xfId="2" applyNumberFormat="1" applyFont="1" applyFill="1" applyBorder="1" applyAlignment="1" applyProtection="1">
      <alignment horizontal="center" vertical="center"/>
      <protection locked="0"/>
    </xf>
    <xf numFmtId="0" fontId="9" fillId="5" borderId="234" xfId="0" applyFont="1" applyFill="1" applyBorder="1" applyAlignment="1" applyProtection="1">
      <alignment horizontal="center" vertical="center"/>
      <protection locked="0"/>
    </xf>
    <xf numFmtId="10" fontId="9" fillId="5" borderId="235" xfId="2" applyNumberFormat="1" applyFont="1" applyFill="1" applyBorder="1" applyAlignment="1" applyProtection="1">
      <alignment horizontal="center" vertical="center"/>
      <protection locked="0"/>
    </xf>
    <xf numFmtId="0" fontId="89" fillId="5" borderId="87" xfId="0" applyFont="1" applyFill="1" applyBorder="1" applyAlignment="1" applyProtection="1">
      <alignment vertical="center" shrinkToFit="1"/>
      <protection locked="0"/>
    </xf>
    <xf numFmtId="0" fontId="74" fillId="5" borderId="87" xfId="0" applyFont="1" applyFill="1" applyBorder="1" applyAlignment="1">
      <alignment horizontal="center" vertical="center"/>
    </xf>
    <xf numFmtId="178" fontId="74" fillId="5" borderId="202" xfId="2" applyNumberFormat="1" applyFont="1" applyFill="1" applyBorder="1" applyAlignment="1">
      <alignment horizontal="center" vertical="center"/>
    </xf>
    <xf numFmtId="178" fontId="74" fillId="5" borderId="113" xfId="2" applyNumberFormat="1" applyFont="1" applyFill="1" applyBorder="1" applyAlignment="1">
      <alignment horizontal="center" vertical="center"/>
    </xf>
    <xf numFmtId="3" fontId="41" fillId="47" borderId="391" xfId="0" applyNumberFormat="1" applyFont="1" applyFill="1" applyBorder="1" applyAlignment="1">
      <alignment horizontal="center" vertical="center"/>
    </xf>
    <xf numFmtId="0" fontId="41" fillId="47" borderId="406" xfId="0" applyFont="1" applyFill="1" applyBorder="1" applyAlignment="1">
      <alignment horizontal="center" vertical="center"/>
    </xf>
    <xf numFmtId="0" fontId="26" fillId="0" borderId="5" xfId="0" applyFont="1" applyBorder="1" applyAlignment="1">
      <alignment horizontal="center" vertical="center" shrinkToFit="1"/>
    </xf>
    <xf numFmtId="0" fontId="121" fillId="33" borderId="59" xfId="0" applyFont="1" applyFill="1" applyBorder="1" applyAlignment="1">
      <alignment horizontal="center" vertical="center"/>
    </xf>
    <xf numFmtId="0" fontId="121" fillId="33" borderId="87" xfId="0" applyFont="1" applyFill="1" applyBorder="1" applyAlignment="1">
      <alignment horizontal="center" vertical="center"/>
    </xf>
    <xf numFmtId="0" fontId="121" fillId="33" borderId="54" xfId="0" applyFont="1" applyFill="1" applyBorder="1" applyAlignment="1">
      <alignment horizontal="center" vertical="center"/>
    </xf>
    <xf numFmtId="0" fontId="15" fillId="48" borderId="294" xfId="0" applyFont="1" applyFill="1" applyBorder="1" applyAlignment="1">
      <alignment horizontal="center" vertical="center" wrapText="1"/>
    </xf>
    <xf numFmtId="0" fontId="15" fillId="48" borderId="294" xfId="0" applyFont="1" applyFill="1" applyBorder="1" applyAlignment="1">
      <alignment horizontal="center" vertical="center"/>
    </xf>
    <xf numFmtId="10" fontId="0" fillId="6" borderId="294" xfId="0" applyNumberFormat="1" applyFill="1" applyBorder="1" applyAlignment="1" applyProtection="1">
      <alignment horizontal="center" vertical="center"/>
      <protection locked="0"/>
    </xf>
    <xf numFmtId="0" fontId="15" fillId="23" borderId="294" xfId="0" applyFont="1" applyFill="1" applyBorder="1" applyAlignment="1">
      <alignment horizontal="center" vertical="center" wrapText="1"/>
    </xf>
    <xf numFmtId="0" fontId="15" fillId="23" borderId="294" xfId="0" applyFont="1" applyFill="1" applyBorder="1" applyAlignment="1">
      <alignment horizontal="center" vertical="center"/>
    </xf>
    <xf numFmtId="0" fontId="0" fillId="6" borderId="294" xfId="0" applyFill="1" applyBorder="1" applyAlignment="1" applyProtection="1">
      <alignment horizontal="center" vertical="center"/>
      <protection locked="0"/>
    </xf>
    <xf numFmtId="0" fontId="187" fillId="34" borderId="58" xfId="0" applyFont="1" applyFill="1" applyBorder="1" applyAlignment="1">
      <alignment horizontal="center" vertical="center" shrinkToFit="1"/>
    </xf>
    <xf numFmtId="0" fontId="188" fillId="34" borderId="118" xfId="0" applyFont="1" applyFill="1" applyBorder="1" applyAlignment="1">
      <alignment horizontal="center" vertical="center" shrinkToFit="1"/>
    </xf>
    <xf numFmtId="0" fontId="188" fillId="34" borderId="119" xfId="0" applyFont="1" applyFill="1" applyBorder="1" applyAlignment="1">
      <alignment horizontal="center" vertical="center" shrinkToFit="1"/>
    </xf>
    <xf numFmtId="0" fontId="26" fillId="9" borderId="198" xfId="0" applyFont="1" applyFill="1" applyBorder="1" applyAlignment="1">
      <alignment horizontal="center" vertical="center"/>
    </xf>
    <xf numFmtId="0" fontId="26" fillId="9" borderId="199" xfId="0" applyFont="1" applyFill="1" applyBorder="1" applyAlignment="1">
      <alignment horizontal="center" vertical="center"/>
    </xf>
    <xf numFmtId="178" fontId="26" fillId="0" borderId="199" xfId="0" applyNumberFormat="1" applyFont="1" applyBorder="1" applyAlignment="1">
      <alignment horizontal="center" vertical="center"/>
    </xf>
    <xf numFmtId="41" fontId="26" fillId="0" borderId="199" xfId="1" applyFont="1" applyBorder="1" applyAlignment="1">
      <alignment horizontal="center" vertical="center"/>
    </xf>
    <xf numFmtId="183" fontId="64" fillId="0" borderId="191" xfId="0" applyNumberFormat="1" applyFont="1" applyBorder="1" applyAlignment="1">
      <alignment horizontal="center" vertical="center"/>
    </xf>
    <xf numFmtId="178" fontId="26" fillId="9" borderId="111" xfId="0" applyNumberFormat="1" applyFont="1" applyFill="1" applyBorder="1" applyAlignment="1">
      <alignment horizontal="center" vertical="center"/>
    </xf>
    <xf numFmtId="178" fontId="26" fillId="9" borderId="107" xfId="0" applyNumberFormat="1" applyFont="1" applyFill="1" applyBorder="1" applyAlignment="1">
      <alignment horizontal="center" vertical="center"/>
    </xf>
    <xf numFmtId="178" fontId="26" fillId="9" borderId="198" xfId="0" applyNumberFormat="1" applyFont="1" applyFill="1" applyBorder="1" applyAlignment="1">
      <alignment horizontal="center" vertical="center"/>
    </xf>
    <xf numFmtId="178" fontId="26" fillId="0" borderId="111" xfId="0" applyNumberFormat="1" applyFont="1" applyBorder="1" applyAlignment="1">
      <alignment horizontal="center" vertical="center"/>
    </xf>
    <xf numFmtId="178" fontId="26" fillId="0" borderId="107" xfId="0" applyNumberFormat="1" applyFont="1" applyBorder="1" applyAlignment="1">
      <alignment horizontal="center" vertical="center"/>
    </xf>
    <xf numFmtId="178" fontId="26" fillId="0" borderId="198" xfId="0" applyNumberFormat="1" applyFont="1" applyBorder="1" applyAlignment="1">
      <alignment horizontal="center" vertical="center"/>
    </xf>
    <xf numFmtId="183" fontId="64" fillId="0" borderId="182" xfId="0" applyNumberFormat="1" applyFont="1" applyBorder="1" applyAlignment="1">
      <alignment horizontal="center" vertical="center"/>
    </xf>
    <xf numFmtId="183" fontId="33" fillId="0" borderId="183" xfId="0" applyNumberFormat="1" applyFont="1" applyBorder="1">
      <alignment vertical="center"/>
    </xf>
    <xf numFmtId="0" fontId="33" fillId="0" borderId="184" xfId="0" applyFont="1" applyBorder="1">
      <alignment vertical="center"/>
    </xf>
    <xf numFmtId="183" fontId="64" fillId="0" borderId="183" xfId="0" applyNumberFormat="1" applyFont="1" applyBorder="1">
      <alignment vertical="center"/>
    </xf>
    <xf numFmtId="0" fontId="64" fillId="0" borderId="184" xfId="0" applyFont="1" applyBorder="1">
      <alignment vertical="center"/>
    </xf>
    <xf numFmtId="183" fontId="33" fillId="0" borderId="184" xfId="0" applyNumberFormat="1" applyFont="1" applyBorder="1">
      <alignment vertical="center"/>
    </xf>
    <xf numFmtId="0" fontId="33" fillId="0" borderId="185" xfId="0" applyFont="1" applyBorder="1">
      <alignment vertical="center"/>
    </xf>
    <xf numFmtId="179" fontId="113" fillId="0" borderId="199" xfId="0" applyNumberFormat="1" applyFont="1" applyBorder="1" applyAlignment="1">
      <alignment horizontal="center" vertical="center"/>
    </xf>
    <xf numFmtId="179" fontId="113" fillId="0" borderId="201" xfId="0" applyNumberFormat="1" applyFont="1" applyBorder="1" applyAlignment="1">
      <alignment horizontal="center" vertical="center"/>
    </xf>
    <xf numFmtId="9" fontId="113" fillId="0" borderId="199" xfId="2" applyFont="1" applyBorder="1" applyAlignment="1">
      <alignment horizontal="center" vertical="center"/>
    </xf>
    <xf numFmtId="9" fontId="113" fillId="0" borderId="111" xfId="2" applyFont="1" applyBorder="1" applyAlignment="1">
      <alignment horizontal="center" vertical="center"/>
    </xf>
    <xf numFmtId="9" fontId="113" fillId="0" borderId="201" xfId="2" applyFont="1" applyBorder="1" applyAlignment="1">
      <alignment horizontal="center" vertical="center"/>
    </xf>
    <xf numFmtId="9" fontId="113" fillId="0" borderId="113" xfId="2" applyFont="1" applyBorder="1" applyAlignment="1">
      <alignment horizontal="center" vertical="center"/>
    </xf>
    <xf numFmtId="178" fontId="41" fillId="41" borderId="260" xfId="0" applyNumberFormat="1" applyFont="1" applyFill="1" applyBorder="1" applyAlignment="1">
      <alignment horizontal="center" vertical="center"/>
    </xf>
    <xf numFmtId="178" fontId="41" fillId="41" borderId="261" xfId="0" applyNumberFormat="1" applyFont="1" applyFill="1" applyBorder="1" applyAlignment="1">
      <alignment horizontal="center" vertical="center"/>
    </xf>
    <xf numFmtId="183" fontId="32" fillId="0" borderId="184" xfId="0" applyNumberFormat="1" applyFont="1" applyBorder="1">
      <alignment vertical="center"/>
    </xf>
    <xf numFmtId="0" fontId="32" fillId="0" borderId="184" xfId="0" applyFont="1" applyBorder="1">
      <alignment vertical="center"/>
    </xf>
    <xf numFmtId="0" fontId="32" fillId="0" borderId="185" xfId="0" applyFont="1" applyBorder="1">
      <alignment vertical="center"/>
    </xf>
    <xf numFmtId="0" fontId="26" fillId="0" borderId="199" xfId="0" applyFont="1" applyBorder="1" applyAlignment="1">
      <alignment horizontal="center" vertical="center"/>
    </xf>
    <xf numFmtId="183" fontId="64" fillId="0" borderId="184" xfId="0" applyNumberFormat="1" applyFont="1" applyBorder="1">
      <alignment vertical="center"/>
    </xf>
    <xf numFmtId="183" fontId="32" fillId="0" borderId="183" xfId="0" applyNumberFormat="1" applyFont="1" applyBorder="1">
      <alignment vertical="center"/>
    </xf>
    <xf numFmtId="0" fontId="26" fillId="6" borderId="398" xfId="0" applyFont="1" applyFill="1" applyBorder="1" applyAlignment="1">
      <alignment horizontal="center" vertical="center"/>
    </xf>
    <xf numFmtId="202" fontId="44" fillId="0" borderId="398" xfId="1" applyNumberFormat="1" applyFont="1" applyBorder="1" applyAlignment="1">
      <alignment horizontal="center" vertical="center"/>
    </xf>
    <xf numFmtId="202" fontId="44" fillId="0" borderId="399" xfId="1" applyNumberFormat="1" applyFont="1" applyBorder="1" applyAlignment="1">
      <alignment horizontal="center" vertical="center"/>
    </xf>
    <xf numFmtId="187" fontId="26" fillId="0" borderId="199" xfId="0" applyNumberFormat="1" applyFont="1" applyBorder="1" applyAlignment="1">
      <alignment horizontal="center" vertical="center"/>
    </xf>
    <xf numFmtId="0" fontId="26" fillId="0" borderId="111" xfId="0" applyFont="1" applyBorder="1" applyAlignment="1">
      <alignment horizontal="center" vertical="center"/>
    </xf>
    <xf numFmtId="183" fontId="33" fillId="0" borderId="182" xfId="0" applyNumberFormat="1" applyFont="1" applyBorder="1" applyAlignment="1">
      <alignment horizontal="center" vertical="center"/>
    </xf>
    <xf numFmtId="183" fontId="32" fillId="0" borderId="182" xfId="0" applyNumberFormat="1" applyFont="1" applyBorder="1" applyAlignment="1">
      <alignment horizontal="center" vertical="center"/>
    </xf>
    <xf numFmtId="178" fontId="41" fillId="45" borderId="260" xfId="0" applyNumberFormat="1" applyFont="1" applyFill="1" applyBorder="1" applyAlignment="1">
      <alignment horizontal="center" vertical="center"/>
    </xf>
    <xf numFmtId="10" fontId="26" fillId="0" borderId="199" xfId="2" applyNumberFormat="1" applyFont="1" applyBorder="1" applyAlignment="1">
      <alignment horizontal="center" vertical="center"/>
    </xf>
    <xf numFmtId="190" fontId="26" fillId="0" borderId="199" xfId="0" applyNumberFormat="1" applyFont="1" applyBorder="1" applyAlignment="1">
      <alignment horizontal="center" vertical="center"/>
    </xf>
    <xf numFmtId="188" fontId="26" fillId="0" borderId="199" xfId="0" applyNumberFormat="1" applyFont="1" applyBorder="1" applyAlignment="1">
      <alignment horizontal="center" vertical="center"/>
    </xf>
    <xf numFmtId="188" fontId="26" fillId="0" borderId="111" xfId="0" applyNumberFormat="1" applyFont="1" applyBorder="1" applyAlignment="1">
      <alignment horizontal="center" vertical="center"/>
    </xf>
    <xf numFmtId="0" fontId="26" fillId="6" borderId="396" xfId="0" applyFont="1" applyFill="1" applyBorder="1" applyAlignment="1">
      <alignment horizontal="center" vertical="center"/>
    </xf>
    <xf numFmtId="202" fontId="26" fillId="0" borderId="396" xfId="1" applyNumberFormat="1" applyFont="1" applyBorder="1" applyAlignment="1">
      <alignment horizontal="right" vertical="center" indent="1"/>
    </xf>
    <xf numFmtId="202" fontId="26" fillId="0" borderId="397" xfId="1" applyNumberFormat="1" applyFont="1" applyBorder="1" applyAlignment="1">
      <alignment horizontal="right" vertical="center" indent="1"/>
    </xf>
    <xf numFmtId="0" fontId="26" fillId="6" borderId="59" xfId="0" applyFont="1" applyFill="1" applyBorder="1" applyAlignment="1">
      <alignment horizontal="center" vertical="center"/>
    </xf>
    <xf numFmtId="0" fontId="26" fillId="6" borderId="87" xfId="0" applyFont="1" applyFill="1" applyBorder="1" applyAlignment="1">
      <alignment horizontal="center" vertical="center"/>
    </xf>
    <xf numFmtId="0" fontId="26" fillId="6" borderId="400" xfId="0" applyFont="1" applyFill="1" applyBorder="1" applyAlignment="1">
      <alignment horizontal="center" vertical="center"/>
    </xf>
    <xf numFmtId="202" fontId="44" fillId="0" borderId="401" xfId="1" applyNumberFormat="1" applyFont="1" applyBorder="1" applyAlignment="1">
      <alignment horizontal="left" vertical="center" indent="6"/>
    </xf>
    <xf numFmtId="202" fontId="44" fillId="0" borderId="87" xfId="1" applyNumberFormat="1" applyFont="1" applyBorder="1" applyAlignment="1">
      <alignment horizontal="left" vertical="center" indent="6"/>
    </xf>
    <xf numFmtId="202" fontId="44" fillId="0" borderId="54" xfId="1" applyNumberFormat="1" applyFont="1" applyBorder="1" applyAlignment="1">
      <alignment horizontal="left" vertical="center" indent="6"/>
    </xf>
    <xf numFmtId="3" fontId="86" fillId="6" borderId="73" xfId="0" applyNumberFormat="1" applyFont="1" applyFill="1" applyBorder="1" applyAlignment="1" applyProtection="1">
      <alignment horizontal="center" vertical="center"/>
      <protection locked="0"/>
    </xf>
    <xf numFmtId="3" fontId="86" fillId="6" borderId="105" xfId="0" applyNumberFormat="1" applyFont="1" applyFill="1" applyBorder="1" applyAlignment="1" applyProtection="1">
      <alignment horizontal="center" vertical="center"/>
      <protection locked="0"/>
    </xf>
    <xf numFmtId="0" fontId="153" fillId="41" borderId="386" xfId="0" applyFont="1" applyFill="1" applyBorder="1" applyAlignment="1" applyProtection="1">
      <alignment horizontal="left" vertical="center"/>
      <protection hidden="1"/>
    </xf>
    <xf numFmtId="0" fontId="42" fillId="6" borderId="386" xfId="0" applyFont="1" applyFill="1" applyBorder="1" applyAlignment="1" applyProtection="1">
      <alignment horizontal="left" vertical="center"/>
      <protection hidden="1"/>
    </xf>
    <xf numFmtId="0" fontId="32" fillId="4" borderId="386" xfId="0" applyFont="1" applyFill="1" applyBorder="1" applyAlignment="1" applyProtection="1">
      <alignment horizontal="left" vertical="center"/>
      <protection hidden="1"/>
    </xf>
    <xf numFmtId="0" fontId="39" fillId="27" borderId="386" xfId="0" applyFont="1" applyFill="1" applyBorder="1" applyAlignment="1" applyProtection="1">
      <alignment horizontal="center" vertical="center" wrapText="1"/>
      <protection locked="0"/>
    </xf>
    <xf numFmtId="41" fontId="39" fillId="12" borderId="386" xfId="1" applyFont="1" applyFill="1" applyBorder="1" applyAlignment="1" applyProtection="1">
      <alignment horizontal="right" vertical="center"/>
      <protection hidden="1"/>
    </xf>
    <xf numFmtId="0" fontId="32" fillId="28" borderId="386" xfId="0" applyFont="1" applyFill="1" applyBorder="1" applyAlignment="1" applyProtection="1">
      <alignment horizontal="center" vertical="center" shrinkToFit="1"/>
      <protection locked="0"/>
    </xf>
    <xf numFmtId="41" fontId="39" fillId="27" borderId="386" xfId="1" applyFont="1" applyFill="1" applyBorder="1" applyAlignment="1" applyProtection="1">
      <alignment horizontal="center" vertical="center"/>
      <protection locked="0"/>
    </xf>
    <xf numFmtId="0" fontId="32" fillId="6" borderId="386" xfId="0" applyFont="1" applyFill="1" applyBorder="1" applyAlignment="1" applyProtection="1">
      <alignment horizontal="left" vertical="center" wrapText="1"/>
      <protection hidden="1"/>
    </xf>
    <xf numFmtId="0" fontId="32" fillId="6" borderId="387" xfId="0" applyFont="1" applyFill="1" applyBorder="1" applyAlignment="1" applyProtection="1">
      <alignment horizontal="left" vertical="center" wrapText="1"/>
      <protection hidden="1"/>
    </xf>
    <xf numFmtId="3" fontId="86" fillId="30" borderId="101" xfId="0" applyNumberFormat="1" applyFont="1" applyFill="1" applyBorder="1" applyAlignment="1" applyProtection="1">
      <alignment horizontal="left" vertical="center"/>
      <protection locked="0"/>
    </xf>
    <xf numFmtId="3" fontId="86" fillId="30" borderId="83" xfId="0" applyNumberFormat="1" applyFont="1" applyFill="1" applyBorder="1" applyAlignment="1" applyProtection="1">
      <alignment horizontal="left" vertical="center"/>
      <protection locked="0"/>
    </xf>
    <xf numFmtId="3" fontId="86" fillId="6" borderId="83" xfId="1" applyNumberFormat="1" applyFont="1" applyFill="1" applyBorder="1" applyAlignment="1" applyProtection="1">
      <alignment horizontal="center" vertical="center"/>
      <protection locked="0"/>
    </xf>
    <xf numFmtId="3" fontId="86" fillId="6" borderId="104" xfId="1" applyNumberFormat="1" applyFont="1" applyFill="1" applyBorder="1" applyAlignment="1" applyProtection="1">
      <alignment horizontal="center" vertical="center"/>
      <protection locked="0"/>
    </xf>
    <xf numFmtId="0" fontId="42" fillId="6" borderId="387" xfId="0" applyFont="1" applyFill="1" applyBorder="1" applyAlignment="1" applyProtection="1">
      <alignment horizontal="left" vertical="center"/>
      <protection hidden="1"/>
    </xf>
    <xf numFmtId="3" fontId="86" fillId="30" borderId="76" xfId="0" applyNumberFormat="1" applyFont="1" applyFill="1" applyBorder="1" applyAlignment="1" applyProtection="1">
      <alignment horizontal="left" vertical="center"/>
      <protection locked="0"/>
    </xf>
    <xf numFmtId="3" fontId="86" fillId="30" borderId="73" xfId="0" applyNumberFormat="1" applyFont="1" applyFill="1" applyBorder="1" applyAlignment="1" applyProtection="1">
      <alignment horizontal="left" vertical="center"/>
      <protection locked="0"/>
    </xf>
    <xf numFmtId="3" fontId="86" fillId="6" borderId="73" xfId="1" applyNumberFormat="1" applyFont="1" applyFill="1" applyBorder="1" applyAlignment="1" applyProtection="1">
      <alignment horizontal="center" vertical="center"/>
      <protection locked="0"/>
    </xf>
    <xf numFmtId="3" fontId="86" fillId="6" borderId="105" xfId="1" applyNumberFormat="1" applyFont="1" applyFill="1" applyBorder="1" applyAlignment="1" applyProtection="1">
      <alignment horizontal="center" vertical="center"/>
      <protection locked="0"/>
    </xf>
    <xf numFmtId="180" fontId="39" fillId="6" borderId="236" xfId="0" applyNumberFormat="1" applyFont="1" applyFill="1" applyBorder="1" applyAlignment="1" applyProtection="1">
      <alignment horizontal="center" vertical="center"/>
      <protection locked="0"/>
    </xf>
    <xf numFmtId="180" fontId="39" fillId="6" borderId="0" xfId="0" applyNumberFormat="1" applyFont="1" applyFill="1" applyAlignment="1" applyProtection="1">
      <alignment horizontal="center" vertical="center"/>
      <protection locked="0"/>
    </xf>
    <xf numFmtId="10" fontId="39" fillId="12" borderId="0" xfId="2" applyNumberFormat="1" applyFont="1" applyFill="1" applyBorder="1" applyAlignment="1">
      <alignment horizontal="center" vertical="center"/>
    </xf>
    <xf numFmtId="0" fontId="41" fillId="47" borderId="45" xfId="0" applyFont="1" applyFill="1" applyBorder="1" applyAlignment="1">
      <alignment horizontal="distributed" vertical="center" indent="1"/>
    </xf>
    <xf numFmtId="0" fontId="41" fillId="47" borderId="36" xfId="0" applyFont="1" applyFill="1" applyBorder="1" applyAlignment="1">
      <alignment horizontal="distributed" vertical="center" indent="1"/>
    </xf>
    <xf numFmtId="41" fontId="33" fillId="16" borderId="305" xfId="1" applyFont="1" applyFill="1" applyBorder="1" applyAlignment="1" applyProtection="1">
      <alignment horizontal="center" vertical="center"/>
      <protection locked="0"/>
    </xf>
    <xf numFmtId="41" fontId="33" fillId="16" borderId="314" xfId="1" applyFont="1" applyFill="1" applyBorder="1" applyAlignment="1" applyProtection="1">
      <alignment horizontal="center" vertical="center"/>
      <protection locked="0"/>
    </xf>
    <xf numFmtId="0" fontId="26" fillId="6" borderId="199" xfId="0" applyFont="1" applyFill="1" applyBorder="1" applyAlignment="1">
      <alignment horizontal="center" vertical="center"/>
    </xf>
    <xf numFmtId="202" fontId="26" fillId="0" borderId="199" xfId="1" applyNumberFormat="1" applyFont="1" applyBorder="1" applyAlignment="1">
      <alignment horizontal="right" vertical="center" indent="1"/>
    </xf>
    <xf numFmtId="202" fontId="26" fillId="0" borderId="111" xfId="1" applyNumberFormat="1" applyFont="1" applyBorder="1" applyAlignment="1">
      <alignment horizontal="right" vertical="center" indent="1"/>
    </xf>
    <xf numFmtId="0" fontId="26" fillId="0" borderId="192" xfId="0" applyFont="1" applyBorder="1" applyAlignment="1">
      <alignment horizontal="center" vertical="center"/>
    </xf>
    <xf numFmtId="0" fontId="26" fillId="0" borderId="193" xfId="0" applyFont="1" applyBorder="1" applyAlignment="1">
      <alignment horizontal="center" vertical="center"/>
    </xf>
    <xf numFmtId="0" fontId="26" fillId="13" borderId="309" xfId="0" applyFont="1" applyFill="1" applyBorder="1" applyAlignment="1" applyProtection="1">
      <alignment horizontal="center" vertical="center"/>
      <protection locked="0"/>
    </xf>
    <xf numFmtId="0" fontId="26" fillId="13" borderId="310" xfId="0" applyFont="1" applyFill="1" applyBorder="1" applyAlignment="1" applyProtection="1">
      <alignment horizontal="center" vertical="center"/>
      <protection locked="0"/>
    </xf>
    <xf numFmtId="0" fontId="26" fillId="13" borderId="371" xfId="0" applyFont="1" applyFill="1" applyBorder="1" applyAlignment="1" applyProtection="1">
      <alignment horizontal="center" vertical="center"/>
      <protection locked="0"/>
    </xf>
    <xf numFmtId="0" fontId="41" fillId="47" borderId="36" xfId="0" applyFont="1" applyFill="1" applyBorder="1" applyAlignment="1">
      <alignment horizontal="center" vertical="center"/>
    </xf>
    <xf numFmtId="0" fontId="41" fillId="47" borderId="34" xfId="0" applyFont="1" applyFill="1" applyBorder="1" applyAlignment="1">
      <alignment horizontal="center" vertical="center"/>
    </xf>
    <xf numFmtId="0" fontId="26" fillId="0" borderId="194" xfId="0" applyFont="1" applyBorder="1" applyAlignment="1">
      <alignment horizontal="center" vertical="center"/>
    </xf>
    <xf numFmtId="188" fontId="26" fillId="16" borderId="350" xfId="1" applyNumberFormat="1" applyFont="1" applyFill="1" applyBorder="1" applyAlignment="1" applyProtection="1">
      <alignment horizontal="center" vertical="center"/>
      <protection locked="0"/>
    </xf>
    <xf numFmtId="188" fontId="26" fillId="16" borderId="297" xfId="1" applyNumberFormat="1" applyFont="1" applyFill="1" applyBorder="1" applyAlignment="1" applyProtection="1">
      <alignment horizontal="center" vertical="center"/>
      <protection locked="0"/>
    </xf>
    <xf numFmtId="0" fontId="41" fillId="47" borderId="34" xfId="0" applyFont="1" applyFill="1" applyBorder="1" applyAlignment="1">
      <alignment horizontal="distributed" vertical="center" indent="1"/>
    </xf>
    <xf numFmtId="0" fontId="26" fillId="13" borderId="311" xfId="0" applyFont="1" applyFill="1" applyBorder="1" applyAlignment="1" applyProtection="1">
      <alignment horizontal="center" vertical="center"/>
      <protection locked="0"/>
    </xf>
    <xf numFmtId="0" fontId="26" fillId="0" borderId="0" xfId="0" applyFont="1" applyAlignment="1">
      <alignment horizontal="left" vertical="center" wrapText="1"/>
    </xf>
    <xf numFmtId="0" fontId="41" fillId="47" borderId="303" xfId="0" applyFont="1" applyFill="1" applyBorder="1" applyAlignment="1">
      <alignment horizontal="distributed" vertical="center" indent="1"/>
    </xf>
    <xf numFmtId="0" fontId="41" fillId="47" borderId="304" xfId="0" applyFont="1" applyFill="1" applyBorder="1" applyAlignment="1">
      <alignment horizontal="distributed" vertical="center" indent="1"/>
    </xf>
    <xf numFmtId="0" fontId="26" fillId="0" borderId="0" xfId="0" applyFont="1" applyAlignment="1">
      <alignment horizontal="left" vertical="center"/>
    </xf>
    <xf numFmtId="0" fontId="40" fillId="13" borderId="334" xfId="0" applyFont="1" applyFill="1" applyBorder="1" applyAlignment="1">
      <alignment horizontal="center" vertical="center"/>
    </xf>
    <xf numFmtId="0" fontId="40" fillId="13" borderId="335" xfId="0" applyFont="1" applyFill="1" applyBorder="1" applyAlignment="1">
      <alignment horizontal="center" vertical="center"/>
    </xf>
    <xf numFmtId="0" fontId="40" fillId="13" borderId="370" xfId="0" applyFont="1" applyFill="1" applyBorder="1" applyAlignment="1">
      <alignment horizontal="center" vertical="center"/>
    </xf>
    <xf numFmtId="0" fontId="41" fillId="47" borderId="301" xfId="0" applyFont="1" applyFill="1" applyBorder="1" applyAlignment="1">
      <alignment horizontal="distributed" vertical="center" indent="1"/>
    </xf>
    <xf numFmtId="0" fontId="41" fillId="47" borderId="328" xfId="0" applyFont="1" applyFill="1" applyBorder="1" applyAlignment="1">
      <alignment horizontal="distributed" vertical="center" indent="1"/>
    </xf>
    <xf numFmtId="0" fontId="26" fillId="13" borderId="334" xfId="0" applyFont="1" applyFill="1" applyBorder="1" applyAlignment="1">
      <alignment horizontal="center" vertical="center"/>
    </xf>
    <xf numFmtId="0" fontId="26" fillId="13" borderId="335" xfId="0" applyFont="1" applyFill="1" applyBorder="1" applyAlignment="1">
      <alignment horizontal="center" vertical="center"/>
    </xf>
    <xf numFmtId="0" fontId="26" fillId="13" borderId="336" xfId="0" applyFont="1" applyFill="1" applyBorder="1" applyAlignment="1">
      <alignment horizontal="center" vertical="center"/>
    </xf>
    <xf numFmtId="0" fontId="61" fillId="47" borderId="36" xfId="0" applyFont="1" applyFill="1" applyBorder="1" applyAlignment="1">
      <alignment horizontal="center" vertical="center"/>
    </xf>
    <xf numFmtId="0" fontId="61" fillId="47" borderId="34" xfId="0" applyFont="1" applyFill="1" applyBorder="1" applyAlignment="1">
      <alignment horizontal="center" vertical="center"/>
    </xf>
    <xf numFmtId="0" fontId="41" fillId="47" borderId="301" xfId="0" applyFont="1" applyFill="1" applyBorder="1" applyAlignment="1">
      <alignment horizontal="distributed" vertical="center"/>
    </xf>
    <xf numFmtId="0" fontId="41" fillId="47" borderId="328" xfId="0" applyFont="1" applyFill="1" applyBorder="1" applyAlignment="1">
      <alignment horizontal="distributed" vertical="center"/>
    </xf>
    <xf numFmtId="10" fontId="26" fillId="9" borderId="199" xfId="0" applyNumberFormat="1" applyFont="1" applyFill="1" applyBorder="1" applyAlignment="1">
      <alignment horizontal="center" vertical="center"/>
    </xf>
    <xf numFmtId="212" fontId="26" fillId="0" borderId="199" xfId="1" applyNumberFormat="1" applyFont="1" applyBorder="1" applyAlignment="1">
      <alignment horizontal="right" vertical="center" indent="1"/>
    </xf>
    <xf numFmtId="212" fontId="26" fillId="0" borderId="111" xfId="1" applyNumberFormat="1" applyFont="1" applyBorder="1" applyAlignment="1">
      <alignment horizontal="right" vertical="center" indent="1"/>
    </xf>
    <xf numFmtId="0" fontId="28" fillId="0" borderId="253" xfId="0" applyFont="1" applyBorder="1" applyAlignment="1">
      <alignment horizontal="center" vertical="center"/>
    </xf>
    <xf numFmtId="0" fontId="28" fillId="0" borderId="254" xfId="0" applyFont="1" applyBorder="1" applyAlignment="1">
      <alignment horizontal="center" vertical="center"/>
    </xf>
    <xf numFmtId="0" fontId="28" fillId="0" borderId="255" xfId="0" applyFont="1" applyBorder="1" applyAlignment="1">
      <alignment horizontal="center" vertical="center"/>
    </xf>
    <xf numFmtId="0" fontId="41" fillId="47" borderId="46" xfId="0" applyFont="1" applyFill="1" applyBorder="1" applyAlignment="1">
      <alignment horizontal="distributed" vertical="center"/>
    </xf>
    <xf numFmtId="0" fontId="41" fillId="47" borderId="155" xfId="0" applyFont="1" applyFill="1" applyBorder="1" applyAlignment="1">
      <alignment horizontal="distributed" vertical="center"/>
    </xf>
    <xf numFmtId="41" fontId="26" fillId="12" borderId="342" xfId="1" applyFont="1" applyFill="1" applyBorder="1" applyAlignment="1">
      <alignment horizontal="center" vertical="center"/>
    </xf>
    <xf numFmtId="41" fontId="26" fillId="12" borderId="344" xfId="1" applyFont="1" applyFill="1" applyBorder="1" applyAlignment="1">
      <alignment horizontal="center" vertical="center"/>
    </xf>
    <xf numFmtId="0" fontId="41" fillId="47" borderId="301" xfId="0" applyFont="1" applyFill="1" applyBorder="1" applyAlignment="1">
      <alignment horizontal="center" vertical="center"/>
    </xf>
    <xf numFmtId="0" fontId="41" fillId="47" borderId="328" xfId="0" applyFont="1" applyFill="1" applyBorder="1" applyAlignment="1">
      <alignment horizontal="center" vertical="center"/>
    </xf>
    <xf numFmtId="178" fontId="26" fillId="13" borderId="346" xfId="0" applyNumberFormat="1" applyFont="1" applyFill="1" applyBorder="1" applyAlignment="1" applyProtection="1">
      <alignment horizontal="center" vertical="center"/>
      <protection locked="0"/>
    </xf>
    <xf numFmtId="178" fontId="26" fillId="13" borderId="342" xfId="0" applyNumberFormat="1" applyFont="1" applyFill="1" applyBorder="1" applyAlignment="1" applyProtection="1">
      <alignment horizontal="center" vertical="center"/>
      <protection locked="0"/>
    </xf>
    <xf numFmtId="3" fontId="86" fillId="6" borderId="79" xfId="1" applyNumberFormat="1" applyFont="1" applyFill="1" applyBorder="1" applyAlignment="1" applyProtection="1">
      <alignment horizontal="center" vertical="center"/>
      <protection locked="0"/>
    </xf>
    <xf numFmtId="3" fontId="86" fillId="6" borderId="112" xfId="1" applyNumberFormat="1" applyFont="1" applyFill="1" applyBorder="1" applyAlignment="1" applyProtection="1">
      <alignment horizontal="center" vertical="center"/>
      <protection locked="0"/>
    </xf>
    <xf numFmtId="179" fontId="26" fillId="13" borderId="305" xfId="0" applyNumberFormat="1" applyFont="1" applyFill="1" applyBorder="1" applyAlignment="1" applyProtection="1">
      <alignment horizontal="center" vertical="center"/>
      <protection locked="0"/>
    </xf>
    <xf numFmtId="179" fontId="26" fillId="13" borderId="314" xfId="0" applyNumberFormat="1" applyFont="1" applyFill="1" applyBorder="1" applyAlignment="1" applyProtection="1">
      <alignment horizontal="center" vertical="center"/>
      <protection locked="0"/>
    </xf>
    <xf numFmtId="179" fontId="26" fillId="13" borderId="375" xfId="0" applyNumberFormat="1" applyFont="1" applyFill="1" applyBorder="1" applyAlignment="1" applyProtection="1">
      <alignment horizontal="center" vertical="center"/>
      <protection locked="0"/>
    </xf>
    <xf numFmtId="41" fontId="30" fillId="12" borderId="327" xfId="1" applyFont="1" applyFill="1" applyBorder="1" applyAlignment="1">
      <alignment horizontal="center" vertical="center"/>
    </xf>
    <xf numFmtId="41" fontId="30" fillId="12" borderId="314" xfId="1" applyFont="1" applyFill="1" applyBorder="1" applyAlignment="1">
      <alignment horizontal="center" vertical="center"/>
    </xf>
    <xf numFmtId="214" fontId="52" fillId="12" borderId="305" xfId="0" applyNumberFormat="1" applyFont="1" applyFill="1" applyBorder="1" applyAlignment="1">
      <alignment horizontal="center" vertical="center"/>
    </xf>
    <xf numFmtId="214" fontId="52" fillId="12" borderId="314" xfId="0" applyNumberFormat="1" applyFont="1" applyFill="1" applyBorder="1" applyAlignment="1">
      <alignment horizontal="center" vertical="center"/>
    </xf>
    <xf numFmtId="0" fontId="30" fillId="31" borderId="25" xfId="0" applyFont="1" applyFill="1" applyBorder="1" applyAlignment="1">
      <alignment horizontal="distributed" vertical="center" indent="2"/>
    </xf>
    <xf numFmtId="0" fontId="30" fillId="31" borderId="24" xfId="0" applyFont="1" applyFill="1" applyBorder="1" applyAlignment="1">
      <alignment horizontal="distributed" vertical="center" indent="2"/>
    </xf>
    <xf numFmtId="0" fontId="33" fillId="31" borderId="31" xfId="0" applyFont="1" applyFill="1" applyBorder="1" applyAlignment="1">
      <alignment horizontal="center" vertical="center"/>
    </xf>
    <xf numFmtId="0" fontId="33" fillId="31" borderId="25" xfId="0" applyFont="1" applyFill="1" applyBorder="1" applyAlignment="1">
      <alignment horizontal="center" vertical="center"/>
    </xf>
    <xf numFmtId="0" fontId="30" fillId="31" borderId="31" xfId="0" applyFont="1" applyFill="1" applyBorder="1" applyAlignment="1">
      <alignment horizontal="center" vertical="center"/>
    </xf>
    <xf numFmtId="211" fontId="26" fillId="0" borderId="30" xfId="0" applyNumberFormat="1" applyFont="1" applyBorder="1" applyAlignment="1">
      <alignment horizontal="center" vertical="center"/>
    </xf>
    <xf numFmtId="211" fontId="26" fillId="0" borderId="31" xfId="0" applyNumberFormat="1" applyFont="1" applyBorder="1" applyAlignment="1">
      <alignment horizontal="center" vertical="center"/>
    </xf>
    <xf numFmtId="0" fontId="41" fillId="47" borderId="386" xfId="0" applyFont="1" applyFill="1" applyBorder="1" applyAlignment="1">
      <alignment horizontal="distributed" vertical="center" indent="1"/>
    </xf>
    <xf numFmtId="3" fontId="88" fillId="6" borderId="83" xfId="0" applyNumberFormat="1" applyFont="1" applyFill="1" applyBorder="1" applyAlignment="1" applyProtection="1">
      <alignment horizontal="center" vertical="center"/>
      <protection locked="0"/>
    </xf>
    <xf numFmtId="3" fontId="88" fillId="6" borderId="104" xfId="0" applyNumberFormat="1" applyFont="1" applyFill="1" applyBorder="1" applyAlignment="1" applyProtection="1">
      <alignment horizontal="center" vertical="center"/>
      <protection locked="0"/>
    </xf>
    <xf numFmtId="0" fontId="39" fillId="27" borderId="386" xfId="0" applyFont="1" applyFill="1" applyBorder="1" applyAlignment="1" applyProtection="1">
      <alignment horizontal="center" vertical="center"/>
      <protection locked="0"/>
    </xf>
    <xf numFmtId="0" fontId="39" fillId="6" borderId="386" xfId="0" applyFont="1" applyFill="1" applyBorder="1" applyAlignment="1" applyProtection="1">
      <alignment horizontal="left" vertical="center"/>
      <protection hidden="1"/>
    </xf>
    <xf numFmtId="0" fontId="32" fillId="4" borderId="386" xfId="0" applyFont="1" applyFill="1" applyBorder="1" applyAlignment="1" applyProtection="1">
      <alignment horizontal="left" vertical="center" wrapText="1"/>
      <protection hidden="1"/>
    </xf>
    <xf numFmtId="3" fontId="86" fillId="6" borderId="100" xfId="0" applyNumberFormat="1" applyFont="1" applyFill="1" applyBorder="1" applyAlignment="1" applyProtection="1">
      <alignment horizontal="center" vertical="center"/>
      <protection locked="0"/>
    </xf>
    <xf numFmtId="3" fontId="86" fillId="6" borderId="106" xfId="0" applyNumberFormat="1" applyFont="1" applyFill="1" applyBorder="1" applyAlignment="1" applyProtection="1">
      <alignment horizontal="center" vertical="center"/>
      <protection locked="0"/>
    </xf>
    <xf numFmtId="0" fontId="41" fillId="47" borderId="390" xfId="0" applyFont="1" applyFill="1" applyBorder="1" applyAlignment="1">
      <alignment horizontal="center" vertical="center"/>
    </xf>
    <xf numFmtId="0" fontId="41" fillId="47" borderId="386" xfId="0" applyFont="1" applyFill="1" applyBorder="1" applyAlignment="1">
      <alignment horizontal="center" vertical="center"/>
    </xf>
    <xf numFmtId="41" fontId="39" fillId="12" borderId="386" xfId="1" applyFont="1" applyFill="1" applyBorder="1" applyAlignment="1" applyProtection="1">
      <alignment horizontal="center" vertical="center" wrapText="1"/>
      <protection hidden="1"/>
    </xf>
    <xf numFmtId="0" fontId="39" fillId="6" borderId="386" xfId="0" applyFont="1" applyFill="1" applyBorder="1" applyAlignment="1" applyProtection="1">
      <alignment horizontal="left" vertical="center" wrapText="1"/>
      <protection hidden="1"/>
    </xf>
    <xf numFmtId="3" fontId="86" fillId="6" borderId="101" xfId="0" applyNumberFormat="1" applyFont="1" applyFill="1" applyBorder="1" applyAlignment="1" applyProtection="1">
      <alignment horizontal="left" vertical="center"/>
      <protection locked="0"/>
    </xf>
    <xf numFmtId="3" fontId="86" fillId="6" borderId="83" xfId="0" applyNumberFormat="1" applyFont="1" applyFill="1" applyBorder="1" applyAlignment="1" applyProtection="1">
      <alignment horizontal="left" vertical="center"/>
      <protection locked="0"/>
    </xf>
    <xf numFmtId="3" fontId="86" fillId="6" borderId="76" xfId="0" applyNumberFormat="1" applyFont="1" applyFill="1" applyBorder="1" applyAlignment="1" applyProtection="1">
      <alignment horizontal="center" vertical="center"/>
      <protection locked="0"/>
    </xf>
    <xf numFmtId="3" fontId="86" fillId="6" borderId="107" xfId="0" applyNumberFormat="1" applyFont="1" applyFill="1" applyBorder="1" applyAlignment="1" applyProtection="1">
      <alignment horizontal="center" vertical="center"/>
      <protection locked="0"/>
    </xf>
    <xf numFmtId="3" fontId="86" fillId="6" borderId="98" xfId="0" applyNumberFormat="1" applyFont="1" applyFill="1" applyBorder="1" applyAlignment="1" applyProtection="1">
      <alignment horizontal="center" vertical="center"/>
      <protection locked="0"/>
    </xf>
    <xf numFmtId="3" fontId="86" fillId="30" borderId="107" xfId="0" applyNumberFormat="1" applyFont="1" applyFill="1" applyBorder="1" applyAlignment="1" applyProtection="1">
      <alignment horizontal="left" vertical="center"/>
      <protection locked="0"/>
    </xf>
    <xf numFmtId="3" fontId="86" fillId="30" borderId="78" xfId="0" applyNumberFormat="1" applyFont="1" applyFill="1" applyBorder="1" applyAlignment="1" applyProtection="1">
      <alignment horizontal="left" vertical="center"/>
      <protection locked="0"/>
    </xf>
    <xf numFmtId="3" fontId="86" fillId="30" borderId="79" xfId="0" applyNumberFormat="1" applyFont="1" applyFill="1" applyBorder="1" applyAlignment="1" applyProtection="1">
      <alignment horizontal="left" vertical="center"/>
      <protection locked="0"/>
    </xf>
    <xf numFmtId="180" fontId="26" fillId="0" borderId="236" xfId="0" applyNumberFormat="1" applyFont="1" applyBorder="1" applyAlignment="1" applyProtection="1">
      <alignment horizontal="center" vertical="center"/>
      <protection locked="0"/>
    </xf>
    <xf numFmtId="180" fontId="26" fillId="0" borderId="0" xfId="0" applyNumberFormat="1" applyFont="1" applyAlignment="1" applyProtection="1">
      <alignment horizontal="center" vertical="center"/>
      <protection locked="0"/>
    </xf>
    <xf numFmtId="10" fontId="26" fillId="12" borderId="0" xfId="2" applyNumberFormat="1" applyFont="1" applyFill="1" applyBorder="1" applyAlignment="1">
      <alignment horizontal="center" vertical="center"/>
    </xf>
    <xf numFmtId="180" fontId="26" fillId="0" borderId="57" xfId="0" applyNumberFormat="1" applyFont="1" applyBorder="1" applyAlignment="1" applyProtection="1">
      <alignment horizontal="center" vertical="center"/>
      <protection locked="0"/>
    </xf>
    <xf numFmtId="10" fontId="26" fillId="12" borderId="313" xfId="2" applyNumberFormat="1" applyFont="1" applyFill="1" applyBorder="1" applyAlignment="1">
      <alignment horizontal="center" vertical="center"/>
    </xf>
    <xf numFmtId="10" fontId="26" fillId="12" borderId="56" xfId="2" applyNumberFormat="1" applyFont="1" applyFill="1" applyBorder="1" applyAlignment="1">
      <alignment horizontal="center" vertical="center"/>
    </xf>
    <xf numFmtId="185" fontId="26" fillId="16" borderId="367" xfId="1" applyNumberFormat="1" applyFont="1" applyFill="1" applyBorder="1" applyAlignment="1" applyProtection="1">
      <alignment horizontal="center" vertical="center"/>
      <protection locked="0"/>
    </xf>
    <xf numFmtId="185" fontId="26" fillId="16" borderId="298" xfId="1" applyNumberFormat="1" applyFont="1" applyFill="1" applyBorder="1" applyAlignment="1" applyProtection="1">
      <alignment horizontal="center" vertical="center"/>
      <protection locked="0"/>
    </xf>
    <xf numFmtId="187" fontId="178" fillId="0" borderId="33" xfId="0" applyNumberFormat="1" applyFont="1" applyBorder="1" applyAlignment="1">
      <alignment horizontal="right" vertical="center" shrinkToFit="1"/>
    </xf>
    <xf numFmtId="187" fontId="178" fillId="0" borderId="27" xfId="0" applyNumberFormat="1" applyFont="1" applyBorder="1" applyAlignment="1">
      <alignment horizontal="right" vertical="center" shrinkToFit="1"/>
    </xf>
    <xf numFmtId="0" fontId="33" fillId="31" borderId="25" xfId="0" applyFont="1" applyFill="1" applyBorder="1" applyAlignment="1">
      <alignment horizontal="distributed" vertical="center" indent="1"/>
    </xf>
    <xf numFmtId="0" fontId="33" fillId="31" borderId="24" xfId="0" applyFont="1" applyFill="1" applyBorder="1" applyAlignment="1">
      <alignment horizontal="distributed" vertical="center" indent="1"/>
    </xf>
    <xf numFmtId="0" fontId="26" fillId="0" borderId="33" xfId="0" applyFont="1" applyBorder="1" applyAlignment="1">
      <alignment horizontal="center" vertical="center"/>
    </xf>
    <xf numFmtId="0" fontId="26" fillId="0" borderId="27" xfId="0" applyFont="1" applyBorder="1" applyAlignment="1">
      <alignment horizontal="center" vertical="center"/>
    </xf>
    <xf numFmtId="0" fontId="46" fillId="0" borderId="31" xfId="0" applyFont="1" applyBorder="1" applyAlignment="1">
      <alignment horizontal="center" vertical="center"/>
    </xf>
    <xf numFmtId="179" fontId="26" fillId="14" borderId="42" xfId="2" applyNumberFormat="1" applyFont="1" applyFill="1" applyBorder="1" applyAlignment="1">
      <alignment horizontal="center" vertical="center"/>
    </xf>
    <xf numFmtId="179" fontId="26" fillId="14" borderId="33" xfId="2" applyNumberFormat="1" applyFont="1" applyFill="1" applyBorder="1" applyAlignment="1">
      <alignment horizontal="center" vertical="center"/>
    </xf>
    <xf numFmtId="179" fontId="26" fillId="14" borderId="43" xfId="2" applyNumberFormat="1" applyFont="1" applyFill="1" applyBorder="1" applyAlignment="1">
      <alignment horizontal="center" vertical="center"/>
    </xf>
    <xf numFmtId="179" fontId="26" fillId="14" borderId="26" xfId="2" applyNumberFormat="1" applyFont="1" applyFill="1" applyBorder="1" applyAlignment="1">
      <alignment horizontal="center" vertical="center"/>
    </xf>
    <xf numFmtId="179" fontId="26" fillId="14" borderId="27" xfId="2" applyNumberFormat="1" applyFont="1" applyFill="1" applyBorder="1" applyAlignment="1">
      <alignment horizontal="center" vertical="center"/>
    </xf>
    <xf numFmtId="179" fontId="26" fillId="14" borderId="41" xfId="2" applyNumberFormat="1" applyFont="1" applyFill="1" applyBorder="1" applyAlignment="1">
      <alignment horizontal="center" vertical="center"/>
    </xf>
    <xf numFmtId="187" fontId="179" fillId="6" borderId="290" xfId="0" applyNumberFormat="1" applyFont="1" applyFill="1" applyBorder="1" applyAlignment="1">
      <alignment horizontal="center" vertical="center"/>
    </xf>
    <xf numFmtId="187" fontId="179" fillId="6" borderId="279" xfId="0" applyNumberFormat="1" applyFont="1" applyFill="1" applyBorder="1" applyAlignment="1">
      <alignment horizontal="center" vertical="center"/>
    </xf>
    <xf numFmtId="187" fontId="179" fillId="6" borderId="293" xfId="0" applyNumberFormat="1" applyFont="1" applyFill="1" applyBorder="1" applyAlignment="1">
      <alignment horizontal="center" vertical="center"/>
    </xf>
    <xf numFmtId="187" fontId="179" fillId="6" borderId="285" xfId="0" applyNumberFormat="1" applyFont="1" applyFill="1" applyBorder="1" applyAlignment="1">
      <alignment horizontal="center" vertical="center"/>
    </xf>
    <xf numFmtId="3" fontId="86" fillId="6" borderId="105" xfId="1" applyNumberFormat="1" applyFont="1" applyFill="1" applyBorder="1" applyAlignment="1" applyProtection="1">
      <alignment horizontal="right" vertical="center"/>
      <protection locked="0"/>
    </xf>
    <xf numFmtId="3" fontId="86" fillId="6" borderId="107" xfId="1" applyNumberFormat="1" applyFont="1" applyFill="1" applyBorder="1" applyAlignment="1" applyProtection="1">
      <alignment horizontal="right" vertical="center"/>
      <protection locked="0"/>
    </xf>
    <xf numFmtId="0" fontId="96" fillId="47" borderId="298" xfId="0" applyFont="1" applyFill="1" applyBorder="1" applyAlignment="1" applyProtection="1">
      <alignment horizontal="center" vertical="center" wrapText="1"/>
      <protection hidden="1"/>
    </xf>
    <xf numFmtId="0" fontId="96" fillId="47" borderId="299" xfId="0" applyFont="1" applyFill="1" applyBorder="1" applyAlignment="1" applyProtection="1">
      <alignment horizontal="center" vertical="center" wrapText="1"/>
      <protection hidden="1"/>
    </xf>
    <xf numFmtId="41" fontId="44" fillId="12" borderId="323" xfId="0" applyNumberFormat="1" applyFont="1" applyFill="1" applyBorder="1" applyAlignment="1">
      <alignment horizontal="center" vertical="center"/>
    </xf>
    <xf numFmtId="41" fontId="44" fillId="12" borderId="317" xfId="0" applyNumberFormat="1" applyFont="1" applyFill="1" applyBorder="1" applyAlignment="1">
      <alignment horizontal="center" vertical="center"/>
    </xf>
    <xf numFmtId="41" fontId="44" fillId="12" borderId="318" xfId="0" applyNumberFormat="1" applyFont="1" applyFill="1" applyBorder="1" applyAlignment="1">
      <alignment horizontal="center" vertical="center"/>
    </xf>
    <xf numFmtId="0" fontId="41" fillId="47" borderId="298" xfId="0" applyFont="1" applyFill="1" applyBorder="1" applyAlignment="1">
      <alignment horizontal="distributed" vertical="center" indent="1"/>
    </xf>
    <xf numFmtId="0" fontId="41" fillId="47" borderId="325" xfId="0" applyFont="1" applyFill="1" applyBorder="1" applyAlignment="1">
      <alignment horizontal="distributed" vertical="center" indent="1"/>
    </xf>
    <xf numFmtId="0" fontId="41" fillId="47" borderId="35" xfId="0" applyFont="1" applyFill="1" applyBorder="1" applyAlignment="1">
      <alignment horizontal="distributed" vertical="center" indent="1"/>
    </xf>
    <xf numFmtId="0" fontId="41" fillId="47" borderId="44" xfId="0" applyFont="1" applyFill="1" applyBorder="1" applyAlignment="1">
      <alignment horizontal="distributed" vertical="center" indent="1"/>
    </xf>
    <xf numFmtId="41" fontId="33" fillId="12" borderId="352" xfId="1" applyFont="1" applyFill="1" applyBorder="1" applyAlignment="1">
      <alignment vertical="center"/>
    </xf>
    <xf numFmtId="41" fontId="33" fillId="12" borderId="353" xfId="1" applyFont="1" applyFill="1" applyBorder="1" applyAlignment="1">
      <alignment vertical="center"/>
    </xf>
    <xf numFmtId="0" fontId="68" fillId="0" borderId="0" xfId="0" applyFont="1" applyAlignment="1">
      <alignment horizontal="center" vertical="center"/>
    </xf>
    <xf numFmtId="41" fontId="44" fillId="13" borderId="383" xfId="1" applyFont="1" applyFill="1" applyBorder="1" applyAlignment="1" applyProtection="1">
      <alignment vertical="center"/>
      <protection locked="0"/>
    </xf>
    <xf numFmtId="0" fontId="26" fillId="12" borderId="309" xfId="0" applyFont="1" applyFill="1" applyBorder="1" applyAlignment="1">
      <alignment horizontal="center" vertical="center"/>
    </xf>
    <xf numFmtId="0" fontId="26" fillId="12" borderId="310" xfId="0" applyFont="1" applyFill="1" applyBorder="1" applyAlignment="1">
      <alignment horizontal="center" vertical="center"/>
    </xf>
    <xf numFmtId="0" fontId="26" fillId="12" borderId="311" xfId="0" applyFont="1" applyFill="1" applyBorder="1" applyAlignment="1">
      <alignment horizontal="center" vertical="center"/>
    </xf>
    <xf numFmtId="0" fontId="26" fillId="16" borderId="384" xfId="0" applyFont="1" applyFill="1" applyBorder="1" applyAlignment="1" applyProtection="1">
      <alignment horizontal="center" vertical="center" wrapText="1"/>
      <protection locked="0"/>
    </xf>
    <xf numFmtId="0" fontId="26" fillId="16" borderId="385" xfId="0" applyFont="1" applyFill="1" applyBorder="1" applyAlignment="1" applyProtection="1">
      <alignment horizontal="center" vertical="center" wrapText="1"/>
      <protection locked="0"/>
    </xf>
    <xf numFmtId="3" fontId="86" fillId="6" borderId="71" xfId="0" applyNumberFormat="1" applyFont="1" applyFill="1" applyBorder="1" applyAlignment="1" applyProtection="1">
      <alignment horizontal="center" vertical="center"/>
      <protection locked="0"/>
    </xf>
    <xf numFmtId="0" fontId="26" fillId="31" borderId="25" xfId="0" applyFont="1" applyFill="1" applyBorder="1" applyAlignment="1">
      <alignment horizontal="distributed" vertical="center" indent="1"/>
    </xf>
    <xf numFmtId="0" fontId="26" fillId="31" borderId="24" xfId="0" applyFont="1" applyFill="1" applyBorder="1" applyAlignment="1">
      <alignment horizontal="distributed" vertical="center" indent="1"/>
    </xf>
    <xf numFmtId="41" fontId="33" fillId="16" borderId="295" xfId="1" applyFont="1" applyFill="1" applyBorder="1" applyAlignment="1" applyProtection="1">
      <alignment horizontal="center" vertical="center"/>
      <protection locked="0"/>
    </xf>
    <xf numFmtId="41" fontId="30" fillId="12" borderId="324" xfId="1" applyFont="1" applyFill="1" applyBorder="1" applyAlignment="1">
      <alignment horizontal="center" vertical="center"/>
    </xf>
    <xf numFmtId="41" fontId="30" fillId="12" borderId="310" xfId="1" applyFont="1" applyFill="1" applyBorder="1" applyAlignment="1">
      <alignment horizontal="center" vertical="center"/>
    </xf>
    <xf numFmtId="41" fontId="30" fillId="12" borderId="311" xfId="1" applyFont="1" applyFill="1" applyBorder="1" applyAlignment="1">
      <alignment horizontal="center" vertical="center"/>
    </xf>
    <xf numFmtId="187" fontId="26" fillId="0" borderId="33" xfId="1" applyNumberFormat="1" applyFont="1" applyBorder="1" applyAlignment="1">
      <alignment horizontal="right" vertical="center" indent="1"/>
    </xf>
    <xf numFmtId="187" fontId="26" fillId="0" borderId="31" xfId="0" applyNumberFormat="1" applyFont="1" applyBorder="1" applyAlignment="1">
      <alignment horizontal="center" vertical="center"/>
    </xf>
    <xf numFmtId="187" fontId="26" fillId="0" borderId="31" xfId="0" applyNumberFormat="1" applyFont="1" applyBorder="1" applyAlignment="1">
      <alignment horizontal="right" vertical="center"/>
    </xf>
    <xf numFmtId="0" fontId="33" fillId="31" borderId="39" xfId="0" applyFont="1" applyFill="1" applyBorder="1" applyAlignment="1">
      <alignment horizontal="distributed" vertical="center" indent="1"/>
    </xf>
    <xf numFmtId="0" fontId="33" fillId="31" borderId="40" xfId="0" applyFont="1" applyFill="1" applyBorder="1" applyAlignment="1">
      <alignment horizontal="distributed" vertical="center" indent="1"/>
    </xf>
    <xf numFmtId="0" fontId="38" fillId="47" borderId="288" xfId="0" applyFont="1" applyFill="1" applyBorder="1" applyAlignment="1">
      <alignment horizontal="distributed" vertical="center" indent="1"/>
    </xf>
    <xf numFmtId="0" fontId="38" fillId="47" borderId="289" xfId="0" applyFont="1" applyFill="1" applyBorder="1" applyAlignment="1">
      <alignment horizontal="distributed" vertical="center" indent="1"/>
    </xf>
    <xf numFmtId="0" fontId="38" fillId="47" borderId="291" xfId="0" applyFont="1" applyFill="1" applyBorder="1" applyAlignment="1">
      <alignment horizontal="distributed" vertical="center" indent="1"/>
    </xf>
    <xf numFmtId="0" fontId="38" fillId="47" borderId="292" xfId="0" applyFont="1" applyFill="1" applyBorder="1" applyAlignment="1">
      <alignment horizontal="distributed" vertical="center" indent="1"/>
    </xf>
    <xf numFmtId="187" fontId="44" fillId="0" borderId="33" xfId="1" applyNumberFormat="1" applyFont="1" applyBorder="1" applyAlignment="1">
      <alignment horizontal="right" vertical="center" indent="1"/>
    </xf>
    <xf numFmtId="0" fontId="41" fillId="47" borderId="154" xfId="0" applyFont="1" applyFill="1" applyBorder="1" applyAlignment="1">
      <alignment horizontal="distributed" vertical="center" indent="1"/>
    </xf>
    <xf numFmtId="41" fontId="26" fillId="16" borderId="312" xfId="1" applyFont="1" applyFill="1" applyBorder="1" applyAlignment="1">
      <alignment horizontal="center" vertical="center"/>
    </xf>
    <xf numFmtId="41" fontId="26" fillId="16" borderId="313" xfId="1" applyFont="1" applyFill="1" applyBorder="1" applyAlignment="1">
      <alignment horizontal="center" vertical="center"/>
    </xf>
    <xf numFmtId="0" fontId="41" fillId="47" borderId="303" xfId="0" applyFont="1" applyFill="1" applyBorder="1" applyAlignment="1">
      <alignment horizontal="center" vertical="center"/>
    </xf>
    <xf numFmtId="0" fontId="41" fillId="47" borderId="304" xfId="0" applyFont="1" applyFill="1" applyBorder="1" applyAlignment="1">
      <alignment horizontal="center" vertical="center"/>
    </xf>
    <xf numFmtId="41" fontId="26" fillId="16" borderId="326" xfId="1" applyFont="1" applyFill="1" applyBorder="1" applyAlignment="1">
      <alignment horizontal="center" vertical="center"/>
    </xf>
    <xf numFmtId="41" fontId="26" fillId="16" borderId="294" xfId="1" applyFont="1" applyFill="1" applyBorder="1" applyAlignment="1">
      <alignment horizontal="center" vertical="center"/>
    </xf>
    <xf numFmtId="41" fontId="26" fillId="13" borderId="294" xfId="1" applyFont="1" applyFill="1" applyBorder="1" applyAlignment="1" applyProtection="1">
      <alignment horizontal="center" vertical="center"/>
      <protection locked="0"/>
    </xf>
    <xf numFmtId="41" fontId="26" fillId="13" borderId="327" xfId="1" applyFont="1" applyFill="1" applyBorder="1" applyAlignment="1" applyProtection="1">
      <alignment horizontal="center" vertical="center"/>
      <protection locked="0"/>
    </xf>
    <xf numFmtId="0" fontId="31" fillId="0" borderId="0" xfId="0" applyFont="1" applyAlignment="1">
      <alignment horizontal="center" vertical="center"/>
    </xf>
    <xf numFmtId="0" fontId="41" fillId="47" borderId="35" xfId="0" applyFont="1" applyFill="1" applyBorder="1" applyAlignment="1">
      <alignment horizontal="center" vertical="center"/>
    </xf>
    <xf numFmtId="0" fontId="41" fillId="47" borderId="44" xfId="0" applyFont="1" applyFill="1" applyBorder="1" applyAlignment="1">
      <alignment horizontal="center" vertical="center"/>
    </xf>
    <xf numFmtId="0" fontId="33" fillId="13" borderId="312" xfId="0" applyFont="1" applyFill="1" applyBorder="1" applyAlignment="1" applyProtection="1">
      <alignment horizontal="center" vertical="center"/>
      <protection locked="0"/>
    </xf>
    <xf numFmtId="0" fontId="33" fillId="13" borderId="313" xfId="0" applyFont="1" applyFill="1" applyBorder="1" applyAlignment="1" applyProtection="1">
      <alignment horizontal="center" vertical="center"/>
      <protection locked="0"/>
    </xf>
    <xf numFmtId="0" fontId="33" fillId="13" borderId="56" xfId="0" applyFont="1" applyFill="1" applyBorder="1" applyAlignment="1" applyProtection="1">
      <alignment horizontal="center" vertical="center"/>
      <protection locked="0"/>
    </xf>
    <xf numFmtId="0" fontId="41" fillId="47" borderId="48" xfId="0" applyFont="1" applyFill="1" applyBorder="1" applyAlignment="1">
      <alignment horizontal="distributed" vertical="center" indent="1"/>
    </xf>
    <xf numFmtId="0" fontId="41" fillId="47" borderId="153" xfId="0" applyFont="1" applyFill="1" applyBorder="1" applyAlignment="1">
      <alignment horizontal="distributed" vertical="center" indent="1"/>
    </xf>
    <xf numFmtId="41" fontId="33" fillId="16" borderId="359" xfId="1" applyFont="1" applyFill="1" applyBorder="1" applyAlignment="1" applyProtection="1">
      <alignment horizontal="center" vertical="center"/>
      <protection locked="0"/>
    </xf>
    <xf numFmtId="41" fontId="33" fillId="16" borderId="349" xfId="1" applyFont="1" applyFill="1" applyBorder="1" applyAlignment="1" applyProtection="1">
      <alignment horizontal="center" vertical="center"/>
      <protection locked="0"/>
    </xf>
    <xf numFmtId="41" fontId="33" fillId="16" borderId="360" xfId="1" applyFont="1" applyFill="1" applyBorder="1" applyAlignment="1" applyProtection="1">
      <alignment horizontal="center" vertical="center"/>
      <protection locked="0"/>
    </xf>
    <xf numFmtId="187" fontId="44" fillId="0" borderId="27" xfId="1" applyNumberFormat="1" applyFont="1" applyBorder="1" applyAlignment="1">
      <alignment horizontal="right" vertical="center" indent="1"/>
    </xf>
    <xf numFmtId="187" fontId="26" fillId="0" borderId="30" xfId="0" applyNumberFormat="1" applyFont="1" applyBorder="1" applyAlignment="1">
      <alignment horizontal="left" vertical="center" indent="1"/>
    </xf>
    <xf numFmtId="187" fontId="26" fillId="0" borderId="31" xfId="0" applyNumberFormat="1" applyFont="1" applyBorder="1" applyAlignment="1">
      <alignment horizontal="left" vertical="center" indent="1"/>
    </xf>
    <xf numFmtId="206" fontId="26" fillId="31" borderId="25" xfId="0" applyNumberFormat="1" applyFont="1" applyFill="1" applyBorder="1" applyAlignment="1">
      <alignment horizontal="distributed" vertical="center" indent="1"/>
    </xf>
    <xf numFmtId="206" fontId="26" fillId="31" borderId="24" xfId="0" applyNumberFormat="1" applyFont="1" applyFill="1" applyBorder="1" applyAlignment="1">
      <alignment horizontal="distributed" vertical="center" indent="1"/>
    </xf>
    <xf numFmtId="185" fontId="26" fillId="0" borderId="31" xfId="0" applyNumberFormat="1" applyFont="1" applyBorder="1" applyAlignment="1">
      <alignment horizontal="center" vertical="center"/>
    </xf>
    <xf numFmtId="188" fontId="26" fillId="0" borderId="31" xfId="0" applyNumberFormat="1" applyFont="1" applyBorder="1" applyAlignment="1">
      <alignment horizontal="center" vertical="center"/>
    </xf>
    <xf numFmtId="0" fontId="41" fillId="47" borderId="354" xfId="0" applyFont="1" applyFill="1" applyBorder="1" applyAlignment="1">
      <alignment horizontal="center" vertical="center"/>
    </xf>
    <xf numFmtId="0" fontId="41" fillId="47" borderId="355" xfId="0" applyFont="1" applyFill="1" applyBorder="1" applyAlignment="1">
      <alignment horizontal="center" vertical="center"/>
    </xf>
    <xf numFmtId="0" fontId="40" fillId="31" borderId="25" xfId="0" applyFont="1" applyFill="1" applyBorder="1" applyAlignment="1">
      <alignment horizontal="distributed" vertical="center" indent="1"/>
    </xf>
    <xf numFmtId="0" fontId="40" fillId="31" borderId="24" xfId="0" applyFont="1" applyFill="1" applyBorder="1" applyAlignment="1">
      <alignment horizontal="distributed" vertical="center" indent="1"/>
    </xf>
    <xf numFmtId="0" fontId="33" fillId="0" borderId="32" xfId="0" applyFont="1" applyBorder="1" applyAlignment="1">
      <alignment horizontal="center" vertical="center" shrinkToFit="1"/>
    </xf>
    <xf numFmtId="0" fontId="26" fillId="0" borderId="0" xfId="0" applyFont="1" applyAlignment="1">
      <alignment horizontal="center" vertical="center"/>
    </xf>
    <xf numFmtId="0" fontId="33" fillId="0" borderId="31" xfId="0" applyFont="1" applyBorder="1" applyAlignment="1">
      <alignment horizontal="left" vertical="center" indent="1"/>
    </xf>
    <xf numFmtId="187" fontId="26" fillId="0" borderId="31" xfId="0" applyNumberFormat="1" applyFont="1" applyBorder="1" applyAlignment="1">
      <alignment horizontal="left" vertical="center" indent="1" shrinkToFit="1"/>
    </xf>
    <xf numFmtId="0" fontId="41" fillId="47" borderId="319" xfId="0" applyFont="1" applyFill="1" applyBorder="1" applyAlignment="1">
      <alignment horizontal="distributed" vertical="center" indent="1"/>
    </xf>
    <xf numFmtId="0" fontId="41" fillId="47" borderId="320" xfId="0" applyFont="1" applyFill="1" applyBorder="1" applyAlignment="1">
      <alignment horizontal="distributed" vertical="center" indent="1"/>
    </xf>
    <xf numFmtId="0" fontId="41" fillId="47" borderId="321" xfId="0" applyFont="1" applyFill="1" applyBorder="1" applyAlignment="1">
      <alignment horizontal="distributed" vertical="center" indent="1"/>
    </xf>
    <xf numFmtId="0" fontId="41" fillId="47" borderId="404" xfId="0" applyFont="1" applyFill="1" applyBorder="1" applyAlignment="1">
      <alignment horizontal="distributed" vertical="center" indent="1"/>
    </xf>
    <xf numFmtId="0" fontId="41" fillId="47" borderId="405" xfId="0" applyFont="1" applyFill="1" applyBorder="1" applyAlignment="1">
      <alignment horizontal="distributed" vertical="center" indent="1"/>
    </xf>
    <xf numFmtId="186" fontId="33" fillId="0" borderId="31" xfId="0" applyNumberFormat="1" applyFont="1" applyBorder="1" applyAlignment="1">
      <alignment horizontal="left" vertical="center"/>
    </xf>
    <xf numFmtId="41" fontId="33" fillId="0" borderId="31" xfId="1" applyFont="1" applyBorder="1" applyAlignment="1">
      <alignment horizontal="left" vertical="center" indent="1" shrinkToFit="1"/>
    </xf>
    <xf numFmtId="31" fontId="26" fillId="0" borderId="0" xfId="0" applyNumberFormat="1" applyFont="1" applyAlignment="1">
      <alignment horizontal="center" vertical="center"/>
    </xf>
    <xf numFmtId="0" fontId="41" fillId="47" borderId="47" xfId="0" applyFont="1" applyFill="1" applyBorder="1" applyAlignment="1">
      <alignment horizontal="center" vertical="center"/>
    </xf>
    <xf numFmtId="0" fontId="41" fillId="47" borderId="48" xfId="0" applyFont="1" applyFill="1" applyBorder="1" applyAlignment="1">
      <alignment horizontal="center" vertical="center"/>
    </xf>
    <xf numFmtId="0" fontId="41" fillId="47" borderId="45" xfId="0" applyFont="1" applyFill="1" applyBorder="1" applyAlignment="1">
      <alignment horizontal="center" vertical="center"/>
    </xf>
    <xf numFmtId="0" fontId="41" fillId="47" borderId="383" xfId="0" applyFont="1" applyFill="1" applyBorder="1" applyAlignment="1">
      <alignment horizontal="center" vertical="center"/>
    </xf>
    <xf numFmtId="41" fontId="26" fillId="12" borderId="305" xfId="1" applyFont="1" applyFill="1" applyBorder="1" applyAlignment="1">
      <alignment horizontal="center" vertical="center"/>
    </xf>
    <xf numFmtId="41" fontId="26" fillId="12" borderId="314" xfId="1" applyFont="1" applyFill="1" applyBorder="1" applyAlignment="1">
      <alignment horizontal="center" vertical="center"/>
    </xf>
    <xf numFmtId="10" fontId="26" fillId="13" borderId="313" xfId="0" applyNumberFormat="1" applyFont="1" applyFill="1" applyBorder="1" applyAlignment="1" applyProtection="1">
      <alignment horizontal="center" vertical="center"/>
      <protection locked="0"/>
    </xf>
    <xf numFmtId="10" fontId="26" fillId="13" borderId="56" xfId="0" applyNumberFormat="1" applyFont="1" applyFill="1" applyBorder="1" applyAlignment="1" applyProtection="1">
      <alignment horizontal="center" vertical="center"/>
      <protection locked="0"/>
    </xf>
    <xf numFmtId="41" fontId="26" fillId="12" borderId="309" xfId="0" applyNumberFormat="1" applyFont="1" applyFill="1" applyBorder="1" applyAlignment="1">
      <alignment horizontal="center" vertical="center"/>
    </xf>
    <xf numFmtId="41" fontId="26" fillId="12" borderId="310" xfId="0" applyNumberFormat="1" applyFont="1" applyFill="1" applyBorder="1" applyAlignment="1">
      <alignment horizontal="center" vertical="center"/>
    </xf>
    <xf numFmtId="41" fontId="26" fillId="12" borderId="311" xfId="0" applyNumberFormat="1" applyFont="1" applyFill="1" applyBorder="1" applyAlignment="1">
      <alignment horizontal="center" vertical="center"/>
    </xf>
    <xf numFmtId="0" fontId="44" fillId="11" borderId="156" xfId="0" applyFont="1" applyFill="1" applyBorder="1" applyAlignment="1">
      <alignment horizontal="left" vertical="center" wrapText="1"/>
    </xf>
    <xf numFmtId="0" fontId="44" fillId="11" borderId="0" xfId="0" applyFont="1" applyFill="1" applyAlignment="1">
      <alignment horizontal="left" vertical="center" wrapText="1"/>
    </xf>
    <xf numFmtId="0" fontId="44" fillId="11" borderId="157" xfId="0" applyFont="1" applyFill="1" applyBorder="1" applyAlignment="1">
      <alignment horizontal="left" vertical="center" wrapText="1"/>
    </xf>
    <xf numFmtId="41" fontId="44" fillId="12" borderId="323" xfId="1" applyFont="1" applyFill="1" applyBorder="1" applyAlignment="1">
      <alignment horizontal="center" vertical="center"/>
    </xf>
    <xf numFmtId="41" fontId="44" fillId="12" borderId="317" xfId="1" applyFont="1" applyFill="1" applyBorder="1" applyAlignment="1">
      <alignment horizontal="center" vertical="center"/>
    </xf>
    <xf numFmtId="41" fontId="44" fillId="12" borderId="318" xfId="1" applyFont="1" applyFill="1" applyBorder="1" applyAlignment="1">
      <alignment horizontal="center" vertical="center"/>
    </xf>
    <xf numFmtId="0" fontId="44" fillId="11" borderId="118" xfId="0" applyFont="1" applyFill="1" applyBorder="1" applyAlignment="1">
      <alignment horizontal="left" vertical="center" wrapText="1"/>
    </xf>
    <xf numFmtId="0" fontId="44" fillId="11" borderId="117" xfId="0" applyFont="1" applyFill="1" applyBorder="1" applyAlignment="1">
      <alignment horizontal="left" vertical="center" wrapText="1"/>
    </xf>
    <xf numFmtId="0" fontId="41" fillId="44" borderId="393" xfId="0" applyFont="1" applyFill="1" applyBorder="1" applyAlignment="1" applyProtection="1">
      <alignment horizontal="center" vertical="center"/>
      <protection locked="0"/>
    </xf>
    <xf numFmtId="0" fontId="41" fillId="44" borderId="394" xfId="0" applyFont="1" applyFill="1" applyBorder="1" applyAlignment="1" applyProtection="1">
      <alignment horizontal="center" vertical="center"/>
      <protection locked="0"/>
    </xf>
    <xf numFmtId="0" fontId="41" fillId="44" borderId="395" xfId="0" applyFont="1" applyFill="1" applyBorder="1" applyAlignment="1" applyProtection="1">
      <alignment horizontal="center" vertical="center"/>
      <protection locked="0"/>
    </xf>
    <xf numFmtId="41" fontId="26" fillId="13" borderId="34" xfId="1" applyFont="1" applyFill="1" applyBorder="1" applyAlignment="1" applyProtection="1">
      <alignment horizontal="center" vertical="center"/>
      <protection locked="0"/>
    </xf>
    <xf numFmtId="41" fontId="26" fillId="13" borderId="350" xfId="1" applyFont="1" applyFill="1" applyBorder="1" applyAlignment="1" applyProtection="1">
      <alignment horizontal="center" vertical="center"/>
      <protection locked="0"/>
    </xf>
    <xf numFmtId="41" fontId="26" fillId="13" borderId="297" xfId="1" applyFont="1" applyFill="1" applyBorder="1" applyAlignment="1" applyProtection="1">
      <alignment horizontal="center" vertical="center"/>
      <protection locked="0"/>
    </xf>
    <xf numFmtId="0" fontId="26" fillId="16" borderId="368" xfId="0" applyFont="1" applyFill="1" applyBorder="1" applyAlignment="1" applyProtection="1">
      <alignment horizontal="center" vertical="center" wrapText="1"/>
      <protection locked="0"/>
    </xf>
    <xf numFmtId="0" fontId="26" fillId="16" borderId="295" xfId="0" applyFont="1" applyFill="1" applyBorder="1" applyAlignment="1" applyProtection="1">
      <alignment horizontal="center" vertical="center" wrapText="1"/>
      <protection locked="0"/>
    </xf>
    <xf numFmtId="0" fontId="41" fillId="47" borderId="348" xfId="0" applyFont="1" applyFill="1" applyBorder="1" applyAlignment="1">
      <alignment horizontal="distributed" vertical="center" indent="1"/>
    </xf>
    <xf numFmtId="0" fontId="41" fillId="47" borderId="349" xfId="0" applyFont="1" applyFill="1" applyBorder="1" applyAlignment="1">
      <alignment horizontal="distributed" vertical="center" indent="1"/>
    </xf>
    <xf numFmtId="41" fontId="26" fillId="13" borderId="310" xfId="1" applyFont="1" applyFill="1" applyBorder="1" applyAlignment="1" applyProtection="1">
      <alignment horizontal="center" vertical="center"/>
      <protection locked="0"/>
    </xf>
    <xf numFmtId="41" fontId="26" fillId="13" borderId="311" xfId="1" applyFont="1" applyFill="1" applyBorder="1" applyAlignment="1" applyProtection="1">
      <alignment horizontal="center" vertical="center"/>
      <protection locked="0"/>
    </xf>
    <xf numFmtId="184" fontId="26" fillId="12" borderId="309" xfId="1" applyNumberFormat="1" applyFont="1" applyFill="1" applyBorder="1" applyAlignment="1">
      <alignment horizontal="center" vertical="center"/>
    </xf>
    <xf numFmtId="184" fontId="26" fillId="12" borderId="310" xfId="1" applyNumberFormat="1" applyFont="1" applyFill="1" applyBorder="1" applyAlignment="1">
      <alignment horizontal="center" vertical="center"/>
    </xf>
    <xf numFmtId="184" fontId="26" fillId="12" borderId="311" xfId="1" applyNumberFormat="1" applyFont="1" applyFill="1" applyBorder="1" applyAlignment="1">
      <alignment horizontal="center" vertical="center"/>
    </xf>
    <xf numFmtId="41" fontId="44" fillId="13" borderId="322" xfId="1" applyFont="1" applyFill="1" applyBorder="1" applyAlignment="1" applyProtection="1">
      <alignment vertical="center"/>
      <protection locked="0"/>
    </xf>
    <xf numFmtId="41" fontId="44" fillId="13" borderId="307" xfId="1" applyFont="1" applyFill="1" applyBorder="1" applyAlignment="1" applyProtection="1">
      <alignment vertical="center"/>
      <protection locked="0"/>
    </xf>
    <xf numFmtId="41" fontId="44" fillId="13" borderId="308" xfId="1" applyFont="1" applyFill="1" applyBorder="1" applyAlignment="1" applyProtection="1">
      <alignment vertical="center"/>
      <protection locked="0"/>
    </xf>
    <xf numFmtId="41" fontId="26" fillId="16" borderId="314" xfId="1" applyFont="1" applyFill="1" applyBorder="1" applyAlignment="1" applyProtection="1">
      <alignment horizontal="right" vertical="center" wrapText="1"/>
      <protection locked="0"/>
    </xf>
    <xf numFmtId="0" fontId="26" fillId="41" borderId="386" xfId="0" applyFont="1" applyFill="1" applyBorder="1" applyAlignment="1" applyProtection="1">
      <alignment horizontal="center" vertical="center" wrapText="1"/>
      <protection hidden="1"/>
    </xf>
    <xf numFmtId="41" fontId="26" fillId="12" borderId="322" xfId="0" applyNumberFormat="1" applyFont="1" applyFill="1" applyBorder="1" applyAlignment="1">
      <alignment horizontal="center" vertical="center"/>
    </xf>
    <xf numFmtId="41" fontId="26" fillId="12" borderId="307" xfId="0" applyNumberFormat="1" applyFont="1" applyFill="1" applyBorder="1" applyAlignment="1">
      <alignment horizontal="center" vertical="center"/>
    </xf>
    <xf numFmtId="41" fontId="26" fillId="12" borderId="308" xfId="0" applyNumberFormat="1" applyFont="1" applyFill="1" applyBorder="1" applyAlignment="1">
      <alignment horizontal="center" vertical="center"/>
    </xf>
    <xf numFmtId="0" fontId="26" fillId="16" borderId="356" xfId="0" applyFont="1" applyFill="1" applyBorder="1" applyAlignment="1" applyProtection="1">
      <alignment horizontal="center" vertical="center"/>
      <protection locked="0"/>
    </xf>
    <xf numFmtId="0" fontId="26" fillId="16" borderId="357" xfId="0" applyFont="1" applyFill="1" applyBorder="1" applyAlignment="1" applyProtection="1">
      <alignment horizontal="center" vertical="center"/>
      <protection locked="0"/>
    </xf>
    <xf numFmtId="0" fontId="41" fillId="41" borderId="386" xfId="0" applyFont="1" applyFill="1" applyBorder="1" applyAlignment="1" applyProtection="1">
      <alignment horizontal="center" vertical="center" wrapText="1"/>
      <protection hidden="1"/>
    </xf>
    <xf numFmtId="41" fontId="26" fillId="13" borderId="357" xfId="1" applyFont="1" applyFill="1" applyBorder="1" applyAlignment="1" applyProtection="1">
      <alignment horizontal="center" vertical="center"/>
      <protection locked="0"/>
    </xf>
    <xf numFmtId="41" fontId="26" fillId="13" borderId="358" xfId="1" applyFont="1" applyFill="1" applyBorder="1" applyAlignment="1" applyProtection="1">
      <alignment horizontal="center" vertical="center"/>
      <protection locked="0"/>
    </xf>
    <xf numFmtId="41" fontId="41" fillId="47" borderId="45" xfId="1" applyFont="1" applyFill="1" applyBorder="1" applyAlignment="1">
      <alignment horizontal="center" vertical="center"/>
    </xf>
    <xf numFmtId="0" fontId="34" fillId="0" borderId="31" xfId="0" applyFont="1" applyBorder="1" applyAlignment="1">
      <alignment horizontal="center" vertical="center"/>
    </xf>
    <xf numFmtId="187" fontId="44" fillId="0" borderId="31" xfId="0" applyNumberFormat="1" applyFont="1" applyBorder="1" applyAlignment="1">
      <alignment horizontal="right" vertical="center"/>
    </xf>
    <xf numFmtId="0" fontId="41" fillId="47" borderId="386" xfId="0" applyFont="1" applyFill="1" applyBorder="1" applyAlignment="1">
      <alignment horizontal="center" vertical="center" wrapText="1"/>
    </xf>
    <xf numFmtId="0" fontId="41" fillId="47" borderId="36" xfId="0" applyFont="1" applyFill="1" applyBorder="1" applyAlignment="1">
      <alignment horizontal="distributed" vertical="center"/>
    </xf>
    <xf numFmtId="0" fontId="41" fillId="47" borderId="34" xfId="0" applyFont="1" applyFill="1" applyBorder="1" applyAlignment="1">
      <alignment horizontal="distributed" vertical="center"/>
    </xf>
    <xf numFmtId="41" fontId="26" fillId="16" borderId="351" xfId="1" applyFont="1" applyFill="1" applyBorder="1" applyAlignment="1">
      <alignment horizontal="center" vertical="center"/>
    </xf>
    <xf numFmtId="41" fontId="26" fillId="16" borderId="352" xfId="1" applyFont="1" applyFill="1" applyBorder="1" applyAlignment="1">
      <alignment horizontal="center" vertical="center"/>
    </xf>
    <xf numFmtId="41" fontId="44" fillId="12" borderId="351" xfId="1" applyFont="1" applyFill="1" applyBorder="1" applyAlignment="1">
      <alignment vertical="center"/>
    </xf>
    <xf numFmtId="41" fontId="44" fillId="12" borderId="352" xfId="1" applyFont="1" applyFill="1" applyBorder="1" applyAlignment="1">
      <alignment vertical="center"/>
    </xf>
    <xf numFmtId="41" fontId="44" fillId="12" borderId="353" xfId="1" applyFont="1" applyFill="1" applyBorder="1" applyAlignment="1">
      <alignment vertical="center"/>
    </xf>
    <xf numFmtId="41" fontId="26" fillId="12" borderId="352" xfId="1" applyFont="1" applyFill="1" applyBorder="1" applyAlignment="1">
      <alignment horizontal="center" vertical="center"/>
    </xf>
    <xf numFmtId="41" fontId="26" fillId="12" borderId="353" xfId="1" applyFont="1" applyFill="1" applyBorder="1" applyAlignment="1">
      <alignment horizontal="center" vertical="center"/>
    </xf>
    <xf numFmtId="179" fontId="113" fillId="0" borderId="199" xfId="2" applyNumberFormat="1" applyFont="1" applyBorder="1" applyAlignment="1">
      <alignment horizontal="center" vertical="center"/>
    </xf>
    <xf numFmtId="179" fontId="113" fillId="0" borderId="111" xfId="2" applyNumberFormat="1" applyFont="1" applyBorder="1" applyAlignment="1">
      <alignment horizontal="center" vertical="center"/>
    </xf>
    <xf numFmtId="179" fontId="113" fillId="0" borderId="201" xfId="2" applyNumberFormat="1" applyFont="1" applyBorder="1" applyAlignment="1">
      <alignment horizontal="center" vertical="center"/>
    </xf>
    <xf numFmtId="179" fontId="113" fillId="0" borderId="113" xfId="2" applyNumberFormat="1" applyFont="1" applyBorder="1" applyAlignment="1">
      <alignment horizontal="center" vertical="center"/>
    </xf>
    <xf numFmtId="178" fontId="41" fillId="45" borderId="260" xfId="0" applyNumberFormat="1" applyFont="1" applyFill="1" applyBorder="1" applyAlignment="1">
      <alignment horizontal="center" vertical="center" shrinkToFit="1"/>
    </xf>
    <xf numFmtId="41" fontId="26" fillId="9" borderId="261" xfId="1" applyFont="1" applyFill="1" applyBorder="1" applyAlignment="1">
      <alignment horizontal="center" vertical="center" shrinkToFit="1"/>
    </xf>
    <xf numFmtId="41" fontId="26" fillId="9" borderId="268" xfId="1" applyFont="1" applyFill="1" applyBorder="1" applyAlignment="1">
      <alignment horizontal="center" vertical="center" shrinkToFit="1"/>
    </xf>
    <xf numFmtId="41" fontId="26" fillId="9" borderId="259" xfId="1" applyFont="1" applyFill="1" applyBorder="1" applyAlignment="1">
      <alignment horizontal="center" vertical="center" shrinkToFit="1"/>
    </xf>
    <xf numFmtId="0" fontId="178" fillId="31" borderId="33" xfId="0" applyFont="1" applyFill="1" applyBorder="1" applyAlignment="1">
      <alignment horizontal="distributed" vertical="center" indent="1"/>
    </xf>
    <xf numFmtId="0" fontId="178" fillId="31" borderId="39" xfId="0" applyFont="1" applyFill="1" applyBorder="1" applyAlignment="1">
      <alignment horizontal="distributed" vertical="center" indent="1"/>
    </xf>
    <xf numFmtId="0" fontId="178" fillId="31" borderId="27" xfId="0" applyFont="1" applyFill="1" applyBorder="1" applyAlignment="1">
      <alignment horizontal="distributed" vertical="center" indent="1"/>
    </xf>
    <xf numFmtId="0" fontId="178" fillId="31" borderId="28" xfId="0" applyFont="1" applyFill="1" applyBorder="1" applyAlignment="1">
      <alignment horizontal="distributed" vertical="center" indent="1"/>
    </xf>
    <xf numFmtId="194" fontId="59" fillId="0" borderId="49" xfId="0" applyNumberFormat="1" applyFont="1" applyBorder="1" applyAlignment="1">
      <alignment horizontal="right" vertical="center"/>
    </xf>
    <xf numFmtId="194" fontId="59" fillId="0" borderId="50" xfId="0" applyNumberFormat="1" applyFont="1" applyBorder="1" applyAlignment="1">
      <alignment horizontal="right" vertical="center"/>
    </xf>
    <xf numFmtId="194" fontId="59" fillId="0" borderId="51" xfId="0" applyNumberFormat="1" applyFont="1" applyBorder="1" applyAlignment="1">
      <alignment horizontal="right" vertical="center"/>
    </xf>
    <xf numFmtId="0" fontId="181" fillId="31" borderId="284" xfId="0" applyFont="1" applyFill="1" applyBorder="1" applyAlignment="1">
      <alignment horizontal="center" vertical="center" wrapText="1"/>
    </xf>
    <xf numFmtId="0" fontId="181" fillId="31" borderId="285" xfId="0" applyFont="1" applyFill="1" applyBorder="1" applyAlignment="1">
      <alignment horizontal="center" vertical="center" wrapText="1"/>
    </xf>
    <xf numFmtId="0" fontId="181" fillId="31" borderId="286" xfId="0" applyFont="1" applyFill="1" applyBorder="1" applyAlignment="1">
      <alignment horizontal="center" vertical="center" wrapText="1"/>
    </xf>
    <xf numFmtId="0" fontId="33" fillId="31" borderId="278" xfId="0" applyFont="1" applyFill="1" applyBorder="1" applyAlignment="1">
      <alignment horizontal="distributed" vertical="center" wrapText="1" indent="1"/>
    </xf>
    <xf numFmtId="0" fontId="33" fillId="31" borderId="279" xfId="0" applyFont="1" applyFill="1" applyBorder="1" applyAlignment="1">
      <alignment horizontal="distributed" vertical="center" wrapText="1" indent="1"/>
    </xf>
    <xf numFmtId="0" fontId="33" fillId="31" borderId="280" xfId="0" applyFont="1" applyFill="1" applyBorder="1" applyAlignment="1">
      <alignment horizontal="distributed" vertical="center" wrapText="1" indent="1"/>
    </xf>
    <xf numFmtId="0" fontId="33" fillId="31" borderId="282" xfId="0" applyFont="1" applyFill="1" applyBorder="1" applyAlignment="1">
      <alignment horizontal="distributed" vertical="center" wrapText="1" indent="1"/>
    </xf>
    <xf numFmtId="0" fontId="33" fillId="31" borderId="31" xfId="0" applyFont="1" applyFill="1" applyBorder="1" applyAlignment="1">
      <alignment horizontal="distributed" vertical="center" wrapText="1" indent="1"/>
    </xf>
    <xf numFmtId="0" fontId="33" fillId="31" borderId="25" xfId="0" applyFont="1" applyFill="1" applyBorder="1" applyAlignment="1">
      <alignment horizontal="distributed" vertical="center" wrapText="1" indent="1"/>
    </xf>
    <xf numFmtId="187" fontId="180" fillId="0" borderId="279" xfId="0" applyNumberFormat="1" applyFont="1" applyBorder="1" applyAlignment="1">
      <alignment horizontal="center" vertical="center"/>
    </xf>
    <xf numFmtId="187" fontId="180" fillId="0" borderId="281" xfId="0" applyNumberFormat="1" applyFont="1" applyBorder="1" applyAlignment="1">
      <alignment horizontal="center" vertical="center"/>
    </xf>
    <xf numFmtId="187" fontId="180" fillId="0" borderId="31" xfId="0" applyNumberFormat="1" applyFont="1" applyBorder="1" applyAlignment="1">
      <alignment horizontal="center" vertical="center"/>
    </xf>
    <xf numFmtId="187" fontId="180" fillId="0" borderId="283" xfId="0" applyNumberFormat="1" applyFont="1" applyBorder="1" applyAlignment="1">
      <alignment horizontal="center" vertical="center"/>
    </xf>
    <xf numFmtId="0" fontId="33" fillId="31" borderId="31" xfId="0" applyFont="1" applyFill="1" applyBorder="1" applyAlignment="1">
      <alignment horizontal="distributed" vertical="center" indent="1"/>
    </xf>
    <xf numFmtId="0" fontId="33" fillId="31" borderId="27" xfId="0" applyFont="1" applyFill="1" applyBorder="1" applyAlignment="1">
      <alignment horizontal="distributed" vertical="center" indent="1"/>
    </xf>
    <xf numFmtId="0" fontId="33" fillId="31" borderId="28" xfId="0" applyFont="1" applyFill="1" applyBorder="1" applyAlignment="1">
      <alignment horizontal="distributed" vertical="center" indent="1"/>
    </xf>
    <xf numFmtId="10" fontId="26" fillId="14" borderId="30" xfId="0" applyNumberFormat="1" applyFont="1" applyFill="1" applyBorder="1" applyAlignment="1">
      <alignment horizontal="center" vertical="center"/>
    </xf>
    <xf numFmtId="10" fontId="26" fillId="14" borderId="31" xfId="0" applyNumberFormat="1" applyFont="1" applyFill="1" applyBorder="1" applyAlignment="1">
      <alignment horizontal="center" vertical="center"/>
    </xf>
    <xf numFmtId="10" fontId="26" fillId="14" borderId="38" xfId="0" applyNumberFormat="1" applyFont="1" applyFill="1" applyBorder="1" applyAlignment="1">
      <alignment horizontal="center" vertical="center"/>
    </xf>
    <xf numFmtId="187" fontId="26" fillId="0" borderId="287" xfId="0" applyNumberFormat="1" applyFont="1" applyBorder="1" applyAlignment="1">
      <alignment horizontal="right" vertical="center" indent="1"/>
    </xf>
    <xf numFmtId="187" fontId="26" fillId="0" borderId="27" xfId="0" applyNumberFormat="1" applyFont="1" applyBorder="1" applyAlignment="1">
      <alignment horizontal="right" vertical="center" indent="1"/>
    </xf>
    <xf numFmtId="0" fontId="33" fillId="31" borderId="24" xfId="0" applyFont="1" applyFill="1" applyBorder="1" applyAlignment="1">
      <alignment horizontal="center" vertical="center"/>
    </xf>
    <xf numFmtId="0" fontId="33" fillId="31" borderId="30" xfId="0" applyFont="1" applyFill="1" applyBorder="1" applyAlignment="1">
      <alignment horizontal="center" vertical="center"/>
    </xf>
    <xf numFmtId="194" fontId="59" fillId="0" borderId="27" xfId="0" applyNumberFormat="1" applyFont="1" applyBorder="1" applyAlignment="1">
      <alignment horizontal="center" vertical="center"/>
    </xf>
    <xf numFmtId="187" fontId="26" fillId="0" borderId="55" xfId="0" applyNumberFormat="1" applyFont="1" applyBorder="1" applyAlignment="1">
      <alignment horizontal="right" vertical="center" indent="1"/>
    </xf>
    <xf numFmtId="187" fontId="26" fillId="0" borderId="31" xfId="0" applyNumberFormat="1" applyFont="1" applyBorder="1" applyAlignment="1">
      <alignment horizontal="right" vertical="center" indent="1"/>
    </xf>
    <xf numFmtId="0" fontId="30" fillId="31" borderId="30" xfId="0" applyFont="1" applyFill="1" applyBorder="1" applyAlignment="1">
      <alignment horizontal="distributed" vertical="center" indent="1"/>
    </xf>
    <xf numFmtId="0" fontId="30" fillId="31" borderId="31" xfId="0" applyFont="1" applyFill="1" applyBorder="1" applyAlignment="1">
      <alignment horizontal="distributed" vertical="center" indent="1"/>
    </xf>
    <xf numFmtId="10" fontId="26" fillId="14" borderId="26" xfId="0" applyNumberFormat="1" applyFont="1" applyFill="1" applyBorder="1" applyAlignment="1">
      <alignment horizontal="center" vertical="center"/>
    </xf>
    <xf numFmtId="10" fontId="26" fillId="14" borderId="27" xfId="0" applyNumberFormat="1" applyFont="1" applyFill="1" applyBorder="1" applyAlignment="1">
      <alignment horizontal="center" vertical="center"/>
    </xf>
    <xf numFmtId="10" fontId="26" fillId="14" borderId="41" xfId="0" applyNumberFormat="1" applyFont="1" applyFill="1" applyBorder="1" applyAlignment="1">
      <alignment horizontal="center" vertical="center"/>
    </xf>
    <xf numFmtId="178" fontId="26" fillId="0" borderId="117" xfId="0" applyNumberFormat="1" applyFont="1" applyBorder="1" applyAlignment="1">
      <alignment horizontal="center" vertical="center"/>
    </xf>
    <xf numFmtId="41" fontId="32" fillId="16" borderId="392" xfId="1" applyFont="1" applyFill="1" applyBorder="1" applyAlignment="1" applyProtection="1">
      <alignment horizontal="center" vertical="center"/>
      <protection locked="0"/>
    </xf>
    <xf numFmtId="0" fontId="32" fillId="16" borderId="392" xfId="0" applyFont="1" applyFill="1" applyBorder="1" applyAlignment="1" applyProtection="1">
      <alignment horizontal="center" vertical="center"/>
      <protection locked="0"/>
    </xf>
    <xf numFmtId="0" fontId="176" fillId="11" borderId="14" xfId="0" applyFont="1" applyFill="1" applyBorder="1" applyAlignment="1" applyProtection="1">
      <alignment horizontal="left" vertical="center" wrapText="1"/>
      <protection locked="0"/>
    </xf>
    <xf numFmtId="0" fontId="176" fillId="11" borderId="0" xfId="0" applyFont="1" applyFill="1" applyAlignment="1" applyProtection="1">
      <alignment horizontal="left" vertical="center" wrapText="1"/>
      <protection locked="0"/>
    </xf>
    <xf numFmtId="0" fontId="176" fillId="11" borderId="1" xfId="0" applyFont="1" applyFill="1" applyBorder="1" applyAlignment="1" applyProtection="1">
      <alignment horizontal="left" vertical="center" wrapText="1"/>
      <protection locked="0"/>
    </xf>
    <xf numFmtId="0" fontId="41" fillId="45" borderId="259" xfId="0" applyFont="1" applyFill="1" applyBorder="1" applyAlignment="1">
      <alignment horizontal="center" vertical="center"/>
    </xf>
    <xf numFmtId="0" fontId="41" fillId="45" borderId="260" xfId="0" applyFont="1" applyFill="1" applyBorder="1" applyAlignment="1">
      <alignment horizontal="center" vertical="center"/>
    </xf>
    <xf numFmtId="178" fontId="26" fillId="9" borderId="260" xfId="0" applyNumberFormat="1" applyFont="1" applyFill="1" applyBorder="1" applyAlignment="1">
      <alignment horizontal="center" vertical="center"/>
    </xf>
    <xf numFmtId="0" fontId="26" fillId="13" borderId="337" xfId="0" applyFont="1" applyFill="1" applyBorder="1" applyAlignment="1" applyProtection="1">
      <alignment horizontal="center" vertical="center"/>
      <protection locked="0"/>
    </xf>
    <xf numFmtId="0" fontId="26" fillId="13" borderId="338" xfId="0" applyFont="1" applyFill="1" applyBorder="1" applyAlignment="1" applyProtection="1">
      <alignment horizontal="center" vertical="center"/>
      <protection locked="0"/>
    </xf>
    <xf numFmtId="0" fontId="26" fillId="13" borderId="372" xfId="0" applyFont="1" applyFill="1" applyBorder="1" applyAlignment="1" applyProtection="1">
      <alignment horizontal="center" vertical="center"/>
      <protection locked="0"/>
    </xf>
    <xf numFmtId="0" fontId="41" fillId="47" borderId="330" xfId="0" applyFont="1" applyFill="1" applyBorder="1" applyAlignment="1">
      <alignment horizontal="center" vertical="center"/>
    </xf>
    <xf numFmtId="0" fontId="26" fillId="13" borderId="339" xfId="0" applyFont="1" applyFill="1" applyBorder="1" applyAlignment="1" applyProtection="1">
      <alignment horizontal="center" vertical="center"/>
      <protection locked="0"/>
    </xf>
    <xf numFmtId="0" fontId="41" fillId="47" borderId="329" xfId="0" applyFont="1" applyFill="1" applyBorder="1" applyAlignment="1">
      <alignment horizontal="center" vertical="center"/>
    </xf>
    <xf numFmtId="179" fontId="26" fillId="16" borderId="373" xfId="1" applyNumberFormat="1" applyFont="1" applyFill="1" applyBorder="1" applyAlignment="1" applyProtection="1">
      <alignment horizontal="center" vertical="center"/>
      <protection locked="0"/>
    </xf>
    <xf numFmtId="179" fontId="26" fillId="16" borderId="374" xfId="1" applyNumberFormat="1" applyFont="1" applyFill="1" applyBorder="1" applyAlignment="1" applyProtection="1">
      <alignment horizontal="center" vertical="center"/>
      <protection locked="0"/>
    </xf>
    <xf numFmtId="178" fontId="52" fillId="12" borderId="326" xfId="0" applyNumberFormat="1" applyFont="1" applyFill="1" applyBorder="1" applyAlignment="1">
      <alignment horizontal="center" vertical="center"/>
    </xf>
    <xf numFmtId="178" fontId="52" fillId="12" borderId="294" xfId="0" applyNumberFormat="1" applyFont="1" applyFill="1" applyBorder="1" applyAlignment="1">
      <alignment horizontal="center" vertical="center"/>
    </xf>
    <xf numFmtId="178" fontId="52" fillId="12" borderId="327" xfId="0" applyNumberFormat="1" applyFont="1" applyFill="1" applyBorder="1" applyAlignment="1">
      <alignment horizontal="center" vertical="center"/>
    </xf>
    <xf numFmtId="190" fontId="33" fillId="12" borderId="364" xfId="0" applyNumberFormat="1" applyFont="1" applyFill="1" applyBorder="1" applyAlignment="1">
      <alignment horizontal="center" vertical="center"/>
    </xf>
    <xf numFmtId="190" fontId="33" fillId="12" borderId="299" xfId="0" applyNumberFormat="1" applyFont="1" applyFill="1" applyBorder="1" applyAlignment="1">
      <alignment horizontal="center" vertical="center"/>
    </xf>
    <xf numFmtId="10" fontId="32" fillId="12" borderId="326" xfId="2" applyNumberFormat="1" applyFont="1" applyFill="1" applyBorder="1" applyAlignment="1">
      <alignment horizontal="center" vertical="center"/>
    </xf>
    <xf numFmtId="10" fontId="32" fillId="12" borderId="294" xfId="2" applyNumberFormat="1" applyFont="1" applyFill="1" applyBorder="1" applyAlignment="1">
      <alignment horizontal="center" vertical="center"/>
    </xf>
    <xf numFmtId="41" fontId="42" fillId="12" borderId="294" xfId="1" applyFont="1" applyFill="1" applyBorder="1" applyAlignment="1">
      <alignment horizontal="center" vertical="center"/>
    </xf>
    <xf numFmtId="41" fontId="42" fillId="12" borderId="327" xfId="1" applyFont="1" applyFill="1" applyBorder="1" applyAlignment="1">
      <alignment horizontal="center" vertical="center"/>
    </xf>
    <xf numFmtId="0" fontId="44" fillId="11" borderId="118" xfId="0" applyFont="1" applyFill="1" applyBorder="1" applyAlignment="1">
      <alignment horizontal="left" vertical="top" wrapText="1"/>
    </xf>
    <xf numFmtId="0" fontId="44" fillId="11" borderId="0" xfId="0" applyFont="1" applyFill="1" applyAlignment="1">
      <alignment horizontal="left" vertical="top" wrapText="1"/>
    </xf>
    <xf numFmtId="0" fontId="44" fillId="11" borderId="117" xfId="0" applyFont="1" applyFill="1" applyBorder="1" applyAlignment="1">
      <alignment horizontal="left" vertical="top" wrapText="1"/>
    </xf>
    <xf numFmtId="179" fontId="113" fillId="0" borderId="198" xfId="0" applyNumberFormat="1" applyFont="1" applyBorder="1" applyAlignment="1">
      <alignment horizontal="center" vertical="center"/>
    </xf>
    <xf numFmtId="179" fontId="113" fillId="0" borderId="200" xfId="0" applyNumberFormat="1" applyFont="1" applyBorder="1" applyAlignment="1">
      <alignment horizontal="center" vertical="center"/>
    </xf>
    <xf numFmtId="179" fontId="40" fillId="14" borderId="42" xfId="0" applyNumberFormat="1" applyFont="1" applyFill="1" applyBorder="1" applyAlignment="1">
      <alignment horizontal="center" vertical="center"/>
    </xf>
    <xf numFmtId="179" fontId="40" fillId="14" borderId="43" xfId="0" applyNumberFormat="1" applyFont="1" applyFill="1" applyBorder="1" applyAlignment="1">
      <alignment horizontal="center" vertical="center"/>
    </xf>
    <xf numFmtId="179" fontId="40" fillId="14" borderId="26" xfId="0" applyNumberFormat="1" applyFont="1" applyFill="1" applyBorder="1" applyAlignment="1">
      <alignment horizontal="center" vertical="center"/>
    </xf>
    <xf numFmtId="179" fontId="40" fillId="14" borderId="41" xfId="0" applyNumberFormat="1" applyFont="1" applyFill="1" applyBorder="1" applyAlignment="1">
      <alignment horizontal="center" vertical="center"/>
    </xf>
    <xf numFmtId="0" fontId="53" fillId="0" borderId="27" xfId="0" applyFont="1" applyBorder="1" applyAlignment="1">
      <alignment horizontal="center" vertical="center"/>
    </xf>
    <xf numFmtId="187" fontId="33" fillId="0" borderId="33" xfId="1" applyNumberFormat="1" applyFont="1" applyBorder="1" applyAlignment="1" applyProtection="1">
      <alignment horizontal="right" vertical="center"/>
      <protection hidden="1"/>
    </xf>
    <xf numFmtId="187" fontId="33" fillId="0" borderId="27" xfId="1" applyNumberFormat="1" applyFont="1" applyBorder="1" applyAlignment="1" applyProtection="1">
      <alignment horizontal="right" vertical="center"/>
      <protection hidden="1"/>
    </xf>
    <xf numFmtId="10" fontId="40" fillId="14" borderId="25" xfId="0" applyNumberFormat="1" applyFont="1" applyFill="1" applyBorder="1">
      <alignment vertical="center"/>
    </xf>
    <xf numFmtId="10" fontId="40" fillId="14" borderId="37" xfId="0" applyNumberFormat="1" applyFont="1" applyFill="1" applyBorder="1">
      <alignment vertical="center"/>
    </xf>
    <xf numFmtId="0" fontId="33" fillId="23" borderId="25" xfId="0" applyFont="1" applyFill="1" applyBorder="1" applyAlignment="1">
      <alignment horizontal="distributed" vertical="center" indent="1"/>
    </xf>
    <xf numFmtId="0" fontId="33" fillId="23" borderId="24" xfId="0" applyFont="1" applyFill="1" applyBorder="1" applyAlignment="1">
      <alignment horizontal="distributed" vertical="center" indent="1"/>
    </xf>
    <xf numFmtId="187" fontId="65" fillId="0" borderId="25" xfId="0" applyNumberFormat="1" applyFont="1" applyBorder="1" applyAlignment="1">
      <alignment horizontal="right" vertical="center"/>
    </xf>
    <xf numFmtId="187" fontId="65" fillId="0" borderId="24" xfId="0" applyNumberFormat="1" applyFont="1" applyBorder="1" applyAlignment="1">
      <alignment horizontal="right" vertical="center"/>
    </xf>
    <xf numFmtId="187" fontId="65" fillId="0" borderId="30" xfId="0" applyNumberFormat="1" applyFont="1" applyBorder="1" applyAlignment="1">
      <alignment horizontal="right" vertical="center"/>
    </xf>
    <xf numFmtId="185" fontId="45" fillId="0" borderId="25" xfId="0" applyNumberFormat="1" applyFont="1" applyBorder="1" applyAlignment="1">
      <alignment horizontal="right" vertical="center"/>
    </xf>
    <xf numFmtId="0" fontId="45" fillId="0" borderId="24" xfId="0" applyFont="1" applyBorder="1" applyAlignment="1">
      <alignment horizontal="right" vertical="center"/>
    </xf>
    <xf numFmtId="0" fontId="45" fillId="0" borderId="30" xfId="0" applyFont="1" applyBorder="1" applyAlignment="1">
      <alignment horizontal="right" vertical="center"/>
    </xf>
    <xf numFmtId="185" fontId="45" fillId="0" borderId="25" xfId="0" applyNumberFormat="1" applyFont="1" applyBorder="1" applyAlignment="1" applyProtection="1">
      <alignment horizontal="right" vertical="center"/>
      <protection hidden="1"/>
    </xf>
    <xf numFmtId="0" fontId="45" fillId="0" borderId="24" xfId="0" applyFont="1" applyBorder="1" applyAlignment="1" applyProtection="1">
      <alignment horizontal="right" vertical="center"/>
      <protection hidden="1"/>
    </xf>
    <xf numFmtId="0" fontId="45" fillId="0" borderId="30" xfId="0" applyFont="1" applyBorder="1" applyAlignment="1" applyProtection="1">
      <alignment horizontal="right" vertical="center"/>
      <protection hidden="1"/>
    </xf>
    <xf numFmtId="187" fontId="33" fillId="0" borderId="33" xfId="1" applyNumberFormat="1" applyFont="1" applyBorder="1" applyAlignment="1">
      <alignment horizontal="right" vertical="center"/>
    </xf>
    <xf numFmtId="187" fontId="33" fillId="0" borderId="27" xfId="1" applyNumberFormat="1" applyFont="1" applyBorder="1" applyAlignment="1">
      <alignment horizontal="right" vertical="center"/>
    </xf>
    <xf numFmtId="188" fontId="45" fillId="0" borderId="25" xfId="0" applyNumberFormat="1" applyFont="1" applyBorder="1" applyAlignment="1">
      <alignment horizontal="right" vertical="center"/>
    </xf>
    <xf numFmtId="188" fontId="45" fillId="0" borderId="24" xfId="0" applyNumberFormat="1" applyFont="1" applyBorder="1" applyAlignment="1">
      <alignment horizontal="right" vertical="center"/>
    </xf>
    <xf numFmtId="188" fontId="45" fillId="0" borderId="30" xfId="0" applyNumberFormat="1" applyFont="1" applyBorder="1" applyAlignment="1">
      <alignment horizontal="right" vertical="center"/>
    </xf>
    <xf numFmtId="188" fontId="45" fillId="0" borderId="25" xfId="0" applyNumberFormat="1" applyFont="1" applyBorder="1" applyAlignment="1" applyProtection="1">
      <alignment horizontal="right" vertical="center"/>
      <protection hidden="1"/>
    </xf>
    <xf numFmtId="188" fontId="45" fillId="0" borderId="24" xfId="0" applyNumberFormat="1" applyFont="1" applyBorder="1" applyAlignment="1" applyProtection="1">
      <alignment horizontal="right" vertical="center"/>
      <protection hidden="1"/>
    </xf>
    <xf numFmtId="188" fontId="45" fillId="0" borderId="30" xfId="0" applyNumberFormat="1" applyFont="1" applyBorder="1" applyAlignment="1" applyProtection="1">
      <alignment horizontal="right" vertical="center"/>
      <protection hidden="1"/>
    </xf>
    <xf numFmtId="179" fontId="40" fillId="14" borderId="33" xfId="0" applyNumberFormat="1" applyFont="1" applyFill="1" applyBorder="1" applyAlignment="1">
      <alignment horizontal="center" vertical="center"/>
    </xf>
    <xf numFmtId="179" fontId="40" fillId="14" borderId="27" xfId="0" applyNumberFormat="1" applyFont="1" applyFill="1" applyBorder="1" applyAlignment="1">
      <alignment horizontal="center" vertical="center"/>
    </xf>
    <xf numFmtId="187" fontId="44" fillId="0" borderId="25" xfId="0" applyNumberFormat="1" applyFont="1" applyBorder="1" applyAlignment="1">
      <alignment horizontal="right" vertical="center"/>
    </xf>
    <xf numFmtId="187" fontId="44" fillId="0" borderId="24" xfId="0" applyNumberFormat="1" applyFont="1" applyBorder="1" applyAlignment="1">
      <alignment horizontal="right" vertical="center"/>
    </xf>
    <xf numFmtId="187" fontId="44" fillId="0" borderId="30" xfId="0" applyNumberFormat="1" applyFont="1" applyBorder="1" applyAlignment="1">
      <alignment horizontal="right" vertical="center"/>
    </xf>
    <xf numFmtId="0" fontId="39" fillId="31" borderId="24" xfId="0" applyFont="1" applyFill="1" applyBorder="1" applyAlignment="1">
      <alignment horizontal="distributed" vertical="center" indent="1"/>
    </xf>
    <xf numFmtId="187" fontId="26" fillId="0" borderId="25" xfId="0" applyNumberFormat="1" applyFont="1" applyBorder="1" applyAlignment="1">
      <alignment horizontal="right" vertical="center"/>
    </xf>
    <xf numFmtId="187" fontId="26" fillId="0" borderId="24" xfId="0" applyNumberFormat="1" applyFont="1" applyBorder="1" applyAlignment="1">
      <alignment horizontal="right" vertical="center"/>
    </xf>
    <xf numFmtId="187" fontId="26" fillId="0" borderId="30" xfId="0" applyNumberFormat="1" applyFont="1" applyBorder="1" applyAlignment="1">
      <alignment horizontal="right" vertical="center"/>
    </xf>
    <xf numFmtId="0" fontId="177" fillId="31" borderId="25" xfId="0" applyFont="1" applyFill="1" applyBorder="1" applyAlignment="1">
      <alignment horizontal="distributed" vertical="center" indent="1"/>
    </xf>
    <xf numFmtId="0" fontId="177" fillId="31" borderId="24" xfId="0" applyFont="1" applyFill="1" applyBorder="1" applyAlignment="1">
      <alignment horizontal="distributed" vertical="center" indent="1"/>
    </xf>
    <xf numFmtId="187" fontId="178" fillId="0" borderId="30" xfId="0" applyNumberFormat="1" applyFont="1" applyBorder="1" applyAlignment="1">
      <alignment horizontal="right" vertical="center" shrinkToFit="1"/>
    </xf>
    <xf numFmtId="187" fontId="178" fillId="0" borderId="31" xfId="0" applyNumberFormat="1" applyFont="1" applyBorder="1" applyAlignment="1">
      <alignment horizontal="right" vertical="center" shrinkToFit="1"/>
    </xf>
    <xf numFmtId="0" fontId="33" fillId="0" borderId="25" xfId="0" applyFont="1" applyBorder="1" applyAlignment="1">
      <alignment horizontal="left" vertical="center" indent="1"/>
    </xf>
    <xf numFmtId="0" fontId="33" fillId="0" borderId="24" xfId="0" applyFont="1" applyBorder="1" applyAlignment="1">
      <alignment horizontal="left" vertical="center" indent="1"/>
    </xf>
    <xf numFmtId="0" fontId="33" fillId="0" borderId="30" xfId="0" applyFont="1" applyBorder="1" applyAlignment="1">
      <alignment horizontal="left" vertical="center" indent="1"/>
    </xf>
    <xf numFmtId="188" fontId="26" fillId="16" borderId="294" xfId="1" applyNumberFormat="1" applyFont="1" applyFill="1" applyBorder="1" applyAlignment="1" applyProtection="1">
      <alignment horizontal="center" vertical="center"/>
      <protection locked="0"/>
    </xf>
    <xf numFmtId="188" fontId="26" fillId="16" borderId="327" xfId="1" applyNumberFormat="1" applyFont="1" applyFill="1" applyBorder="1" applyAlignment="1" applyProtection="1">
      <alignment horizontal="center" vertical="center"/>
      <protection locked="0"/>
    </xf>
    <xf numFmtId="190" fontId="33" fillId="12" borderId="343" xfId="0" applyNumberFormat="1" applyFont="1" applyFill="1" applyBorder="1" applyAlignment="1">
      <alignment horizontal="center" vertical="center"/>
    </xf>
    <xf numFmtId="190" fontId="33" fillId="12" borderId="345" xfId="0" applyNumberFormat="1" applyFont="1" applyFill="1" applyBorder="1" applyAlignment="1">
      <alignment horizontal="center" vertical="center"/>
    </xf>
    <xf numFmtId="0" fontId="41" fillId="47" borderId="361" xfId="0" applyFont="1" applyFill="1" applyBorder="1" applyAlignment="1">
      <alignment horizontal="center" vertical="center"/>
    </xf>
    <xf numFmtId="41" fontId="33" fillId="12" borderId="324" xfId="1" applyFont="1" applyFill="1" applyBorder="1" applyAlignment="1">
      <alignment vertical="center"/>
    </xf>
    <xf numFmtId="41" fontId="33" fillId="12" borderId="310" xfId="1" applyFont="1" applyFill="1" applyBorder="1" applyAlignment="1">
      <alignment vertical="center"/>
    </xf>
    <xf numFmtId="41" fontId="33" fillId="12" borderId="311" xfId="1" applyFont="1" applyFill="1" applyBorder="1" applyAlignment="1">
      <alignment vertical="center"/>
    </xf>
    <xf numFmtId="211" fontId="26" fillId="13" borderId="337" xfId="0" applyNumberFormat="1" applyFont="1" applyFill="1" applyBorder="1" applyAlignment="1" applyProtection="1">
      <alignment horizontal="center" vertical="center"/>
      <protection locked="0"/>
    </xf>
    <xf numFmtId="211" fontId="26" fillId="13" borderId="338" xfId="0" applyNumberFormat="1" applyFont="1" applyFill="1" applyBorder="1" applyAlignment="1" applyProtection="1">
      <alignment horizontal="center" vertical="center"/>
      <protection locked="0"/>
    </xf>
    <xf numFmtId="211" fontId="26" fillId="13" borderId="339" xfId="0" applyNumberFormat="1" applyFont="1" applyFill="1" applyBorder="1" applyAlignment="1" applyProtection="1">
      <alignment horizontal="center" vertical="center"/>
      <protection locked="0"/>
    </xf>
    <xf numFmtId="0" fontId="26" fillId="13" borderId="333" xfId="0" applyFont="1" applyFill="1" applyBorder="1" applyAlignment="1" applyProtection="1">
      <alignment horizontal="center" vertical="center"/>
      <protection locked="0"/>
    </xf>
    <xf numFmtId="0" fontId="26" fillId="13" borderId="341" xfId="0" applyFont="1" applyFill="1" applyBorder="1" applyAlignment="1" applyProtection="1">
      <alignment horizontal="center" vertical="center"/>
      <protection locked="0"/>
    </xf>
    <xf numFmtId="185" fontId="26" fillId="16" borderId="322" xfId="1" applyNumberFormat="1" applyFont="1" applyFill="1" applyBorder="1" applyAlignment="1" applyProtection="1">
      <alignment horizontal="center" vertical="center"/>
      <protection locked="0"/>
    </xf>
    <xf numFmtId="185" fontId="26" fillId="16" borderId="307" xfId="1" applyNumberFormat="1" applyFont="1" applyFill="1" applyBorder="1" applyAlignment="1" applyProtection="1">
      <alignment horizontal="center" vertical="center"/>
      <protection locked="0"/>
    </xf>
    <xf numFmtId="185" fontId="26" fillId="16" borderId="308" xfId="1" applyNumberFormat="1" applyFont="1" applyFill="1" applyBorder="1" applyAlignment="1" applyProtection="1">
      <alignment horizontal="center" vertical="center"/>
      <protection locked="0"/>
    </xf>
    <xf numFmtId="41" fontId="30" fillId="12" borderId="294" xfId="1" applyFont="1" applyFill="1" applyBorder="1" applyAlignment="1">
      <alignment horizontal="center" vertical="center"/>
    </xf>
    <xf numFmtId="179" fontId="26" fillId="13" borderId="294" xfId="0" applyNumberFormat="1" applyFont="1" applyFill="1" applyBorder="1" applyAlignment="1" applyProtection="1">
      <alignment horizontal="center" vertical="center"/>
      <protection locked="0"/>
    </xf>
    <xf numFmtId="185" fontId="26" fillId="16" borderId="306" xfId="1" applyNumberFormat="1" applyFont="1" applyFill="1" applyBorder="1" applyAlignment="1" applyProtection="1">
      <alignment horizontal="center" vertical="center"/>
      <protection locked="0"/>
    </xf>
    <xf numFmtId="179" fontId="26" fillId="13" borderId="326" xfId="0" applyNumberFormat="1" applyFont="1" applyFill="1" applyBorder="1" applyAlignment="1" applyProtection="1">
      <alignment horizontal="center" vertical="center"/>
      <protection locked="0"/>
    </xf>
    <xf numFmtId="214" fontId="52" fillId="12" borderId="326" xfId="0" applyNumberFormat="1" applyFont="1" applyFill="1" applyBorder="1" applyAlignment="1">
      <alignment horizontal="center" vertical="center"/>
    </xf>
    <xf numFmtId="214" fontId="52" fillId="12" borderId="294" xfId="0" applyNumberFormat="1" applyFont="1" applyFill="1" applyBorder="1" applyAlignment="1">
      <alignment horizontal="center" vertical="center"/>
    </xf>
    <xf numFmtId="0" fontId="30" fillId="31" borderId="31" xfId="0" applyFont="1" applyFill="1" applyBorder="1" applyAlignment="1">
      <alignment horizontal="distributed" vertical="center"/>
    </xf>
    <xf numFmtId="187" fontId="180" fillId="0" borderId="31" xfId="0" applyNumberFormat="1" applyFont="1" applyBorder="1" applyAlignment="1" applyProtection="1">
      <alignment horizontal="right" vertical="center"/>
      <protection hidden="1"/>
    </xf>
    <xf numFmtId="187" fontId="180" fillId="0" borderId="31" xfId="0" applyNumberFormat="1" applyFont="1" applyBorder="1" applyAlignment="1">
      <alignment horizontal="right" vertical="center"/>
    </xf>
    <xf numFmtId="187" fontId="26" fillId="0" borderId="25" xfId="0" applyNumberFormat="1" applyFont="1" applyBorder="1" applyAlignment="1" applyProtection="1">
      <alignment horizontal="right" vertical="center"/>
      <protection hidden="1"/>
    </xf>
    <xf numFmtId="187" fontId="26" fillId="0" borderId="24" xfId="0" applyNumberFormat="1" applyFont="1" applyBorder="1" applyAlignment="1" applyProtection="1">
      <alignment horizontal="right" vertical="center"/>
      <protection hidden="1"/>
    </xf>
    <xf numFmtId="187" fontId="26" fillId="0" borderId="30" xfId="0" applyNumberFormat="1" applyFont="1" applyBorder="1" applyAlignment="1" applyProtection="1">
      <alignment horizontal="right" vertical="center"/>
      <protection hidden="1"/>
    </xf>
    <xf numFmtId="10" fontId="40" fillId="14" borderId="25" xfId="0" applyNumberFormat="1" applyFont="1" applyFill="1" applyBorder="1" applyProtection="1">
      <alignment vertical="center"/>
      <protection hidden="1"/>
    </xf>
    <xf numFmtId="10" fontId="40" fillId="14" borderId="37" xfId="0" applyNumberFormat="1" applyFont="1" applyFill="1" applyBorder="1" applyProtection="1">
      <alignment vertical="center"/>
      <protection hidden="1"/>
    </xf>
    <xf numFmtId="194" fontId="59" fillId="0" borderId="52" xfId="0" applyNumberFormat="1" applyFont="1" applyBorder="1" applyAlignment="1">
      <alignment horizontal="right" vertical="center"/>
    </xf>
    <xf numFmtId="41" fontId="33" fillId="16" borderId="333" xfId="1" applyFont="1" applyFill="1" applyBorder="1" applyAlignment="1" applyProtection="1">
      <alignment horizontal="center" vertical="center"/>
      <protection locked="0"/>
    </xf>
    <xf numFmtId="41" fontId="33" fillId="16" borderId="294" xfId="1" applyFont="1" applyFill="1" applyBorder="1" applyAlignment="1" applyProtection="1">
      <alignment horizontal="center" vertical="center"/>
      <protection locked="0"/>
    </xf>
    <xf numFmtId="214" fontId="52" fillId="12" borderId="327" xfId="0" applyNumberFormat="1" applyFont="1" applyFill="1" applyBorder="1" applyAlignment="1">
      <alignment horizontal="center" vertical="center"/>
    </xf>
    <xf numFmtId="0" fontId="43" fillId="47" borderId="36" xfId="0" applyFont="1" applyFill="1" applyBorder="1" applyAlignment="1">
      <alignment horizontal="center" vertical="center"/>
    </xf>
    <xf numFmtId="0" fontId="43" fillId="47" borderId="34" xfId="0" applyFont="1" applyFill="1" applyBorder="1" applyAlignment="1">
      <alignment horizontal="center" vertical="center"/>
    </xf>
    <xf numFmtId="41" fontId="30" fillId="12" borderId="342" xfId="1" applyFont="1" applyFill="1" applyBorder="1" applyAlignment="1">
      <alignment horizontal="center" vertical="center"/>
    </xf>
    <xf numFmtId="10" fontId="52" fillId="12" borderId="294" xfId="0" applyNumberFormat="1" applyFont="1" applyFill="1" applyBorder="1" applyAlignment="1">
      <alignment horizontal="center" vertical="center"/>
    </xf>
    <xf numFmtId="10" fontId="52" fillId="12" borderId="327" xfId="0" applyNumberFormat="1" applyFont="1" applyFill="1" applyBorder="1" applyAlignment="1">
      <alignment horizontal="center" vertical="center"/>
    </xf>
    <xf numFmtId="179" fontId="32" fillId="12" borderId="326" xfId="2" applyNumberFormat="1" applyFont="1" applyFill="1" applyBorder="1" applyAlignment="1">
      <alignment horizontal="center" vertical="center"/>
    </xf>
    <xf numFmtId="179" fontId="32" fillId="12" borderId="294" xfId="2" applyNumberFormat="1" applyFont="1" applyFill="1" applyBorder="1" applyAlignment="1">
      <alignment horizontal="center" vertical="center"/>
    </xf>
    <xf numFmtId="41" fontId="30" fillId="12" borderId="344" xfId="1" applyFont="1" applyFill="1" applyBorder="1" applyAlignment="1">
      <alignment horizontal="center" vertical="center"/>
    </xf>
    <xf numFmtId="180" fontId="26" fillId="0" borderId="294" xfId="0" applyNumberFormat="1" applyFont="1" applyBorder="1" applyAlignment="1" applyProtection="1">
      <alignment horizontal="right" vertical="center"/>
      <protection locked="0"/>
    </xf>
    <xf numFmtId="10" fontId="30" fillId="12" borderId="294" xfId="2" applyNumberFormat="1" applyFont="1" applyFill="1" applyBorder="1" applyAlignment="1">
      <alignment horizontal="right" vertical="center"/>
    </xf>
    <xf numFmtId="10" fontId="30" fillId="12" borderId="327" xfId="2" applyNumberFormat="1" applyFont="1" applyFill="1" applyBorder="1" applyAlignment="1">
      <alignment horizontal="right" vertical="center"/>
    </xf>
    <xf numFmtId="41" fontId="33" fillId="16" borderId="327" xfId="1" applyFont="1" applyFill="1" applyBorder="1" applyAlignment="1" applyProtection="1">
      <alignment horizontal="center" vertical="center"/>
      <protection locked="0"/>
    </xf>
    <xf numFmtId="190" fontId="33" fillId="12" borderId="347" xfId="0" applyNumberFormat="1" applyFont="1" applyFill="1" applyBorder="1" applyAlignment="1">
      <alignment horizontal="center" vertical="center"/>
    </xf>
    <xf numFmtId="10" fontId="52" fillId="12" borderId="326" xfId="0" applyNumberFormat="1" applyFont="1" applyFill="1" applyBorder="1" applyAlignment="1">
      <alignment horizontal="center" vertical="center"/>
    </xf>
    <xf numFmtId="180" fontId="26" fillId="0" borderId="326" xfId="0" applyNumberFormat="1" applyFont="1" applyBorder="1" applyAlignment="1" applyProtection="1">
      <alignment horizontal="right" vertical="center"/>
      <protection locked="0"/>
    </xf>
    <xf numFmtId="0" fontId="26" fillId="13" borderId="340" xfId="0" applyFont="1" applyFill="1" applyBorder="1" applyAlignment="1">
      <alignment horizontal="center" vertical="center"/>
    </xf>
    <xf numFmtId="0" fontId="34" fillId="0" borderId="25" xfId="0" applyFont="1" applyBorder="1" applyAlignment="1">
      <alignment horizontal="center" vertical="center"/>
    </xf>
    <xf numFmtId="0" fontId="34" fillId="0" borderId="24" xfId="0" applyFont="1" applyBorder="1" applyAlignment="1">
      <alignment horizontal="center" vertical="center"/>
    </xf>
    <xf numFmtId="0" fontId="34" fillId="0" borderId="30" xfId="0" applyFont="1" applyBorder="1" applyAlignment="1">
      <alignment horizontal="center" vertical="center"/>
    </xf>
    <xf numFmtId="0" fontId="41" fillId="47" borderId="362" xfId="0" applyFont="1" applyFill="1" applyBorder="1" applyAlignment="1">
      <alignment horizontal="distributed" vertical="center" indent="1"/>
    </xf>
    <xf numFmtId="41" fontId="26" fillId="13" borderId="324" xfId="1" applyFont="1" applyFill="1" applyBorder="1" applyAlignment="1" applyProtection="1">
      <alignment horizontal="center" vertical="center"/>
      <protection locked="0"/>
    </xf>
    <xf numFmtId="41" fontId="44" fillId="12" borderId="324" xfId="1" applyFont="1" applyFill="1" applyBorder="1" applyAlignment="1">
      <alignment vertical="center"/>
    </xf>
    <xf numFmtId="41" fontId="44" fillId="12" borderId="310" xfId="1" applyFont="1" applyFill="1" applyBorder="1" applyAlignment="1">
      <alignment vertical="center"/>
    </xf>
    <xf numFmtId="41" fontId="44" fillId="12" borderId="311" xfId="1" applyFont="1" applyFill="1" applyBorder="1" applyAlignment="1">
      <alignment vertical="center"/>
    </xf>
    <xf numFmtId="0" fontId="33" fillId="0" borderId="30" xfId="0" applyFont="1" applyBorder="1" applyAlignment="1">
      <alignment horizontal="left" vertical="center" indent="1" shrinkToFit="1"/>
    </xf>
    <xf numFmtId="0" fontId="33" fillId="0" borderId="31" xfId="0" applyFont="1" applyBorder="1" applyAlignment="1">
      <alignment horizontal="left" vertical="center" indent="1" shrinkToFit="1"/>
    </xf>
    <xf numFmtId="186" fontId="33" fillId="0" borderId="25" xfId="0" applyNumberFormat="1" applyFont="1" applyBorder="1" applyAlignment="1">
      <alignment horizontal="left" vertical="center" indent="1"/>
    </xf>
    <xf numFmtId="186" fontId="33" fillId="0" borderId="24" xfId="0" applyNumberFormat="1" applyFont="1" applyBorder="1" applyAlignment="1">
      <alignment horizontal="left" vertical="center" indent="1"/>
    </xf>
    <xf numFmtId="186" fontId="33" fillId="0" borderId="30" xfId="0" applyNumberFormat="1" applyFont="1" applyBorder="1" applyAlignment="1">
      <alignment horizontal="left" vertical="center" indent="1"/>
    </xf>
    <xf numFmtId="41" fontId="26" fillId="13" borderId="314" xfId="1" applyFont="1" applyFill="1" applyBorder="1" applyAlignment="1" applyProtection="1">
      <alignment horizontal="center" vertical="center"/>
      <protection locked="0"/>
    </xf>
    <xf numFmtId="41" fontId="44" fillId="13" borderId="302" xfId="1" applyFont="1" applyFill="1" applyBorder="1" applyAlignment="1" applyProtection="1">
      <alignment vertical="center"/>
      <protection locked="0"/>
    </xf>
    <xf numFmtId="0" fontId="41" fillId="47" borderId="300" xfId="0" applyFont="1" applyFill="1" applyBorder="1" applyAlignment="1">
      <alignment horizontal="distributed" vertical="center" indent="1"/>
    </xf>
    <xf numFmtId="0" fontId="33" fillId="13" borderId="306" xfId="0" applyFont="1" applyFill="1" applyBorder="1" applyAlignment="1" applyProtection="1">
      <alignment horizontal="center" vertical="center"/>
      <protection locked="0"/>
    </xf>
    <xf numFmtId="0" fontId="33" fillId="13" borderId="307" xfId="0" applyFont="1" applyFill="1" applyBorder="1" applyAlignment="1" applyProtection="1">
      <alignment horizontal="center" vertical="center"/>
      <protection locked="0"/>
    </xf>
    <xf numFmtId="0" fontId="33" fillId="13" borderId="308" xfId="0" applyFont="1" applyFill="1" applyBorder="1" applyAlignment="1" applyProtection="1">
      <alignment horizontal="center" vertical="center"/>
      <protection locked="0"/>
    </xf>
    <xf numFmtId="0" fontId="26" fillId="12" borderId="312" xfId="0" applyFont="1" applyFill="1" applyBorder="1" applyAlignment="1">
      <alignment horizontal="center" vertical="center"/>
    </xf>
    <xf numFmtId="0" fontId="26" fillId="12" borderId="313" xfId="0" applyFont="1" applyFill="1" applyBorder="1" applyAlignment="1">
      <alignment horizontal="center" vertical="center"/>
    </xf>
    <xf numFmtId="0" fontId="26" fillId="12" borderId="56" xfId="0" applyFont="1" applyFill="1" applyBorder="1" applyAlignment="1">
      <alignment horizontal="center" vertical="center"/>
    </xf>
    <xf numFmtId="187" fontId="26" fillId="0" borderId="25" xfId="1" applyNumberFormat="1" applyFont="1" applyBorder="1" applyAlignment="1" applyProtection="1">
      <alignment horizontal="right" vertical="center"/>
      <protection hidden="1"/>
    </xf>
    <xf numFmtId="187" fontId="26" fillId="0" borderId="24" xfId="1" applyNumberFormat="1" applyFont="1" applyBorder="1" applyAlignment="1" applyProtection="1">
      <alignment horizontal="right" vertical="center"/>
      <protection hidden="1"/>
    </xf>
    <xf numFmtId="187" fontId="26" fillId="0" borderId="30" xfId="1" applyNumberFormat="1" applyFont="1" applyBorder="1" applyAlignment="1" applyProtection="1">
      <alignment horizontal="right" vertical="center"/>
      <protection hidden="1"/>
    </xf>
    <xf numFmtId="187" fontId="26" fillId="0" borderId="25" xfId="1" applyNumberFormat="1" applyFont="1" applyBorder="1" applyAlignment="1">
      <alignment horizontal="right" vertical="center"/>
    </xf>
    <xf numFmtId="187" fontId="26" fillId="0" borderId="24" xfId="1" applyNumberFormat="1" applyFont="1" applyBorder="1" applyAlignment="1">
      <alignment horizontal="right" vertical="center"/>
    </xf>
    <xf numFmtId="187" fontId="26" fillId="0" borderId="30" xfId="1" applyNumberFormat="1" applyFont="1" applyBorder="1" applyAlignment="1">
      <alignment horizontal="right" vertical="center"/>
    </xf>
    <xf numFmtId="187" fontId="179" fillId="6" borderId="25" xfId="0" applyNumberFormat="1" applyFont="1" applyFill="1" applyBorder="1" applyAlignment="1">
      <alignment horizontal="right" vertical="center" shrinkToFit="1"/>
    </xf>
    <xf numFmtId="187" fontId="179" fillId="6" borderId="24" xfId="0" applyNumberFormat="1" applyFont="1" applyFill="1" applyBorder="1" applyAlignment="1">
      <alignment horizontal="right" vertical="center" shrinkToFit="1"/>
    </xf>
    <xf numFmtId="187" fontId="179" fillId="6" borderId="30" xfId="0" applyNumberFormat="1" applyFont="1" applyFill="1" applyBorder="1" applyAlignment="1">
      <alignment horizontal="right" vertical="center" shrinkToFit="1"/>
    </xf>
    <xf numFmtId="0" fontId="38" fillId="47" borderId="25" xfId="0" applyFont="1" applyFill="1" applyBorder="1" applyAlignment="1">
      <alignment horizontal="distributed" vertical="center" indent="1"/>
    </xf>
    <xf numFmtId="0" fontId="38" fillId="47" borderId="24" xfId="0" applyFont="1" applyFill="1" applyBorder="1" applyAlignment="1">
      <alignment horizontal="distributed" vertical="center" indent="1"/>
    </xf>
    <xf numFmtId="187" fontId="179" fillId="0" borderId="25" xfId="1" applyNumberFormat="1" applyFont="1" applyBorder="1" applyAlignment="1">
      <alignment horizontal="right" vertical="center" shrinkToFit="1"/>
    </xf>
    <xf numFmtId="187" fontId="179" fillId="0" borderId="24" xfId="1" applyNumberFormat="1" applyFont="1" applyBorder="1" applyAlignment="1">
      <alignment horizontal="right" vertical="center" shrinkToFit="1"/>
    </xf>
    <xf numFmtId="187" fontId="179" fillId="0" borderId="30" xfId="1" applyNumberFormat="1" applyFont="1" applyBorder="1" applyAlignment="1">
      <alignment horizontal="right" vertical="center" shrinkToFit="1"/>
    </xf>
    <xf numFmtId="187" fontId="179" fillId="0" borderId="25" xfId="1" applyNumberFormat="1" applyFont="1" applyBorder="1" applyAlignment="1" applyProtection="1">
      <alignment horizontal="right" vertical="center" shrinkToFit="1"/>
      <protection hidden="1"/>
    </xf>
    <xf numFmtId="187" fontId="179" fillId="0" borderId="24" xfId="1" applyNumberFormat="1" applyFont="1" applyBorder="1" applyAlignment="1" applyProtection="1">
      <alignment horizontal="right" vertical="center" shrinkToFit="1"/>
      <protection hidden="1"/>
    </xf>
    <xf numFmtId="187" fontId="179" fillId="0" borderId="30" xfId="1" applyNumberFormat="1" applyFont="1" applyBorder="1" applyAlignment="1" applyProtection="1">
      <alignment horizontal="right" vertical="center" shrinkToFit="1"/>
      <protection hidden="1"/>
    </xf>
    <xf numFmtId="0" fontId="58" fillId="47" borderId="31" xfId="0" applyFont="1" applyFill="1" applyBorder="1" applyAlignment="1">
      <alignment horizontal="distributed" vertical="center" indent="1"/>
    </xf>
    <xf numFmtId="187" fontId="39" fillId="0" borderId="24" xfId="0" applyNumberFormat="1" applyFont="1" applyBorder="1" applyAlignment="1">
      <alignment horizontal="right" vertical="center" shrinkToFit="1"/>
    </xf>
    <xf numFmtId="187" fontId="39" fillId="0" borderId="30" xfId="0" applyNumberFormat="1" applyFont="1" applyBorder="1" applyAlignment="1">
      <alignment horizontal="right" vertical="center" shrinkToFit="1"/>
    </xf>
    <xf numFmtId="0" fontId="37" fillId="0" borderId="25" xfId="0" applyFont="1" applyBorder="1" applyAlignment="1">
      <alignment horizontal="center" vertical="center"/>
    </xf>
    <xf numFmtId="0" fontId="37" fillId="0" borderId="24" xfId="0" applyFont="1" applyBorder="1" applyAlignment="1">
      <alignment horizontal="center" vertical="center"/>
    </xf>
    <xf numFmtId="0" fontId="37" fillId="0" borderId="30" xfId="0" applyFont="1" applyBorder="1" applyAlignment="1">
      <alignment horizontal="center" vertical="center"/>
    </xf>
    <xf numFmtId="0" fontId="28" fillId="31" borderId="0" xfId="0" applyFont="1" applyFill="1" applyAlignment="1">
      <alignment horizontal="left" vertical="center"/>
    </xf>
    <xf numFmtId="41" fontId="88" fillId="6" borderId="83" xfId="0" applyNumberFormat="1" applyFont="1" applyFill="1" applyBorder="1" applyAlignment="1" applyProtection="1">
      <alignment horizontal="center" vertical="center"/>
      <protection locked="0"/>
    </xf>
    <xf numFmtId="0" fontId="88" fillId="6" borderId="104" xfId="0" applyFont="1" applyFill="1" applyBorder="1" applyAlignment="1" applyProtection="1">
      <alignment horizontal="center" vertical="center"/>
      <protection locked="0"/>
    </xf>
    <xf numFmtId="0" fontId="86" fillId="6" borderId="76" xfId="0" applyFont="1" applyFill="1" applyBorder="1" applyAlignment="1" applyProtection="1">
      <alignment horizontal="center" vertical="center"/>
      <protection locked="0"/>
    </xf>
    <xf numFmtId="0" fontId="86" fillId="6" borderId="107" xfId="0" applyFont="1" applyFill="1" applyBorder="1" applyAlignment="1" applyProtection="1">
      <alignment horizontal="center" vertical="center"/>
      <protection locked="0"/>
    </xf>
    <xf numFmtId="0" fontId="86" fillId="6" borderId="98" xfId="0" applyFont="1" applyFill="1" applyBorder="1" applyAlignment="1" applyProtection="1">
      <alignment horizontal="center" vertical="center"/>
      <protection locked="0"/>
    </xf>
    <xf numFmtId="41" fontId="86" fillId="6" borderId="73" xfId="0" applyNumberFormat="1" applyFont="1" applyFill="1" applyBorder="1" applyAlignment="1" applyProtection="1">
      <alignment horizontal="center" vertical="center"/>
      <protection locked="0"/>
    </xf>
    <xf numFmtId="41" fontId="86" fillId="6" borderId="105" xfId="0" applyNumberFormat="1" applyFont="1" applyFill="1" applyBorder="1" applyAlignment="1" applyProtection="1">
      <alignment horizontal="center" vertical="center"/>
      <protection locked="0"/>
    </xf>
    <xf numFmtId="0" fontId="86" fillId="6" borderId="71" xfId="0" applyFont="1" applyFill="1" applyBorder="1" applyAlignment="1" applyProtection="1">
      <alignment horizontal="center" vertical="center"/>
      <protection locked="0"/>
    </xf>
    <xf numFmtId="0" fontId="86" fillId="6" borderId="100" xfId="0" applyFont="1" applyFill="1" applyBorder="1" applyAlignment="1" applyProtection="1">
      <alignment horizontal="center" vertical="center"/>
      <protection locked="0"/>
    </xf>
    <xf numFmtId="42" fontId="26" fillId="16" borderId="368" xfId="0" applyNumberFormat="1" applyFont="1" applyFill="1" applyBorder="1" applyAlignment="1" applyProtection="1">
      <alignment horizontal="right" vertical="center" wrapText="1"/>
      <protection locked="0"/>
    </xf>
    <xf numFmtId="42" fontId="26" fillId="16" borderId="295" xfId="0" applyNumberFormat="1" applyFont="1" applyFill="1" applyBorder="1" applyAlignment="1" applyProtection="1">
      <alignment horizontal="right" vertical="center" wrapText="1"/>
      <protection locked="0"/>
    </xf>
    <xf numFmtId="42" fontId="26" fillId="16" borderId="403" xfId="0" applyNumberFormat="1" applyFont="1" applyFill="1" applyBorder="1" applyAlignment="1" applyProtection="1">
      <alignment horizontal="right" vertical="center" wrapText="1"/>
      <protection locked="0"/>
    </xf>
    <xf numFmtId="0" fontId="176" fillId="11" borderId="118" xfId="0" applyFont="1" applyFill="1" applyBorder="1" applyAlignment="1">
      <alignment horizontal="left" vertical="center" wrapText="1"/>
    </xf>
    <xf numFmtId="0" fontId="176" fillId="11" borderId="118" xfId="0" applyFont="1" applyFill="1" applyBorder="1" applyAlignment="1">
      <alignment horizontal="left" vertical="center"/>
    </xf>
    <xf numFmtId="0" fontId="176" fillId="11" borderId="117" xfId="0" applyFont="1" applyFill="1" applyBorder="1" applyAlignment="1">
      <alignment horizontal="left" vertical="center"/>
    </xf>
    <xf numFmtId="41" fontId="86" fillId="6" borderId="100" xfId="0" applyNumberFormat="1" applyFont="1" applyFill="1" applyBorder="1" applyAlignment="1" applyProtection="1">
      <alignment horizontal="center" vertical="center"/>
      <protection locked="0"/>
    </xf>
    <xf numFmtId="41" fontId="86" fillId="6" borderId="106" xfId="0" applyNumberFormat="1" applyFont="1" applyFill="1" applyBorder="1" applyAlignment="1" applyProtection="1">
      <alignment horizontal="center" vertical="center"/>
      <protection locked="0"/>
    </xf>
    <xf numFmtId="0" fontId="86" fillId="30" borderId="101" xfId="0" applyFont="1" applyFill="1" applyBorder="1" applyAlignment="1" applyProtection="1">
      <alignment horizontal="left" vertical="center"/>
      <protection locked="0"/>
    </xf>
    <xf numFmtId="0" fontId="86" fillId="30" borderId="83" xfId="0" applyFont="1" applyFill="1" applyBorder="1" applyAlignment="1" applyProtection="1">
      <alignment horizontal="left" vertical="center"/>
      <protection locked="0"/>
    </xf>
    <xf numFmtId="41" fontId="86" fillId="6" borderId="83" xfId="1" applyFont="1" applyFill="1" applyBorder="1" applyAlignment="1" applyProtection="1">
      <alignment horizontal="center" vertical="center"/>
      <protection locked="0"/>
    </xf>
    <xf numFmtId="41" fontId="86" fillId="6" borderId="104" xfId="1" applyFont="1" applyFill="1" applyBorder="1" applyAlignment="1" applyProtection="1">
      <alignment horizontal="center" vertical="center"/>
      <protection locked="0"/>
    </xf>
    <xf numFmtId="0" fontId="86" fillId="30" borderId="76" xfId="0" applyFont="1" applyFill="1" applyBorder="1" applyAlignment="1" applyProtection="1">
      <alignment horizontal="left" vertical="center"/>
      <protection locked="0"/>
    </xf>
    <xf numFmtId="0" fontId="86" fillId="30" borderId="73" xfId="0" applyFont="1" applyFill="1" applyBorder="1" applyAlignment="1" applyProtection="1">
      <alignment horizontal="left" vertical="center"/>
      <protection locked="0"/>
    </xf>
    <xf numFmtId="41" fontId="86" fillId="6" borderId="73" xfId="1" applyFont="1" applyFill="1" applyBorder="1" applyAlignment="1" applyProtection="1">
      <alignment horizontal="center" vertical="center"/>
      <protection locked="0"/>
    </xf>
    <xf numFmtId="41" fontId="86" fillId="6" borderId="105" xfId="1" applyFont="1" applyFill="1" applyBorder="1" applyAlignment="1" applyProtection="1">
      <alignment horizontal="center" vertical="center"/>
      <protection locked="0"/>
    </xf>
    <xf numFmtId="41" fontId="66" fillId="12" borderId="294" xfId="1" applyFont="1" applyFill="1" applyBorder="1" applyAlignment="1">
      <alignment horizontal="center" vertical="center"/>
    </xf>
    <xf numFmtId="0" fontId="86" fillId="6" borderId="101" xfId="0" applyFont="1" applyFill="1" applyBorder="1" applyAlignment="1" applyProtection="1">
      <alignment horizontal="left" vertical="center"/>
      <protection locked="0"/>
    </xf>
    <xf numFmtId="0" fontId="86" fillId="6" borderId="83" xfId="0" applyFont="1" applyFill="1" applyBorder="1" applyAlignment="1" applyProtection="1">
      <alignment horizontal="left" vertical="center"/>
      <protection locked="0"/>
    </xf>
    <xf numFmtId="10" fontId="26" fillId="13" borderId="294" xfId="0" applyNumberFormat="1" applyFont="1" applyFill="1" applyBorder="1" applyAlignment="1" applyProtection="1">
      <alignment horizontal="center" vertical="center"/>
      <protection locked="0"/>
    </xf>
    <xf numFmtId="10" fontId="26" fillId="13" borderId="327" xfId="0" applyNumberFormat="1" applyFont="1" applyFill="1" applyBorder="1" applyAlignment="1" applyProtection="1">
      <alignment horizontal="center" vertical="center"/>
      <protection locked="0"/>
    </xf>
    <xf numFmtId="41" fontId="26" fillId="12" borderId="326" xfId="0" applyNumberFormat="1" applyFont="1" applyFill="1" applyBorder="1" applyAlignment="1">
      <alignment horizontal="center" vertical="center"/>
    </xf>
    <xf numFmtId="41" fontId="26" fillId="12" borderId="294" xfId="0" applyNumberFormat="1" applyFont="1" applyFill="1" applyBorder="1" applyAlignment="1">
      <alignment horizontal="center" vertical="center"/>
    </xf>
    <xf numFmtId="41" fontId="26" fillId="12" borderId="327" xfId="0" applyNumberFormat="1" applyFont="1" applyFill="1" applyBorder="1" applyAlignment="1">
      <alignment horizontal="center" vertical="center"/>
    </xf>
    <xf numFmtId="0" fontId="26" fillId="16" borderId="305" xfId="0" applyFont="1" applyFill="1" applyBorder="1" applyAlignment="1" applyProtection="1">
      <alignment horizontal="center" vertical="center" wrapText="1"/>
      <protection locked="0"/>
    </xf>
    <xf numFmtId="0" fontId="26" fillId="16" borderId="314" xfId="0" applyFont="1" applyFill="1" applyBorder="1" applyAlignment="1" applyProtection="1">
      <alignment horizontal="center" vertical="center" wrapText="1"/>
      <protection locked="0"/>
    </xf>
    <xf numFmtId="0" fontId="26" fillId="16" borderId="315" xfId="0" applyFont="1" applyFill="1" applyBorder="1" applyAlignment="1" applyProtection="1">
      <alignment horizontal="center" vertical="center" wrapText="1"/>
      <protection locked="0"/>
    </xf>
    <xf numFmtId="41" fontId="26" fillId="12" borderId="294" xfId="1" applyFont="1" applyFill="1" applyBorder="1" applyAlignment="1">
      <alignment horizontal="center" vertical="center"/>
    </xf>
    <xf numFmtId="41" fontId="26" fillId="12" borderId="327" xfId="1" applyFont="1" applyFill="1" applyBorder="1" applyAlignment="1">
      <alignment horizontal="center" vertical="center"/>
    </xf>
    <xf numFmtId="0" fontId="26" fillId="16" borderId="326" xfId="0" applyFont="1" applyFill="1" applyBorder="1" applyAlignment="1" applyProtection="1">
      <alignment horizontal="center" vertical="center"/>
      <protection locked="0"/>
    </xf>
    <xf numFmtId="0" fontId="26" fillId="16" borderId="294" xfId="0" applyFont="1" applyFill="1" applyBorder="1" applyAlignment="1" applyProtection="1">
      <alignment horizontal="center" vertical="center"/>
      <protection locked="0"/>
    </xf>
    <xf numFmtId="41" fontId="33" fillId="16" borderId="326" xfId="1" applyFont="1" applyFill="1" applyBorder="1" applyAlignment="1" applyProtection="1">
      <alignment horizontal="center" vertical="center"/>
      <protection locked="0"/>
    </xf>
    <xf numFmtId="0" fontId="176" fillId="11" borderId="14" xfId="0" applyFont="1" applyFill="1" applyBorder="1" applyAlignment="1" applyProtection="1">
      <alignment horizontal="left" vertical="center" wrapText="1" shrinkToFit="1"/>
      <protection locked="0"/>
    </xf>
    <xf numFmtId="0" fontId="176" fillId="11" borderId="14" xfId="0" applyFont="1" applyFill="1" applyBorder="1" applyAlignment="1" applyProtection="1">
      <alignment horizontal="left" vertical="center" shrinkToFit="1"/>
      <protection locked="0"/>
    </xf>
    <xf numFmtId="0" fontId="176" fillId="11" borderId="0" xfId="0" applyFont="1" applyFill="1" applyAlignment="1" applyProtection="1">
      <alignment horizontal="left" vertical="center" shrinkToFit="1"/>
      <protection locked="0"/>
    </xf>
    <xf numFmtId="0" fontId="176" fillId="11" borderId="1" xfId="0" applyFont="1" applyFill="1" applyBorder="1" applyAlignment="1" applyProtection="1">
      <alignment horizontal="left" vertical="center" shrinkToFit="1"/>
      <protection locked="0"/>
    </xf>
    <xf numFmtId="179" fontId="26" fillId="16" borderId="331" xfId="1" applyNumberFormat="1" applyFont="1" applyFill="1" applyBorder="1" applyAlignment="1" applyProtection="1">
      <alignment horizontal="center" vertical="center"/>
      <protection locked="0"/>
    </xf>
    <xf numFmtId="179" fontId="26" fillId="16" borderId="382" xfId="1" applyNumberFormat="1" applyFont="1" applyFill="1" applyBorder="1" applyAlignment="1" applyProtection="1">
      <alignment horizontal="center" vertical="center"/>
      <protection locked="0"/>
    </xf>
    <xf numFmtId="0" fontId="86" fillId="30" borderId="78" xfId="0" applyFont="1" applyFill="1" applyBorder="1" applyAlignment="1" applyProtection="1">
      <alignment horizontal="left" vertical="center"/>
      <protection locked="0"/>
    </xf>
    <xf numFmtId="0" fontId="86" fillId="30" borderId="79" xfId="0" applyFont="1" applyFill="1" applyBorder="1" applyAlignment="1" applyProtection="1">
      <alignment horizontal="left" vertical="center"/>
      <protection locked="0"/>
    </xf>
    <xf numFmtId="41" fontId="86" fillId="6" borderId="79" xfId="1" applyFont="1" applyFill="1" applyBorder="1" applyAlignment="1" applyProtection="1">
      <alignment horizontal="center" vertical="center"/>
      <protection locked="0"/>
    </xf>
    <xf numFmtId="41" fontId="86" fillId="6" borderId="112" xfId="1" applyFont="1" applyFill="1" applyBorder="1" applyAlignment="1" applyProtection="1">
      <alignment horizontal="center" vertical="center"/>
      <protection locked="0"/>
    </xf>
    <xf numFmtId="41" fontId="86" fillId="6" borderId="71" xfId="1" applyFont="1" applyFill="1" applyBorder="1" applyAlignment="1" applyProtection="1">
      <alignment horizontal="center" vertical="center"/>
      <protection locked="0"/>
    </xf>
    <xf numFmtId="41" fontId="86" fillId="6" borderId="114" xfId="1" applyFont="1" applyFill="1" applyBorder="1" applyAlignment="1" applyProtection="1">
      <alignment horizontal="center" vertical="center"/>
      <protection locked="0"/>
    </xf>
    <xf numFmtId="0" fontId="86" fillId="6" borderId="79" xfId="0" applyFont="1" applyFill="1" applyBorder="1" applyAlignment="1" applyProtection="1">
      <alignment horizontal="center" vertical="center"/>
      <protection locked="0"/>
    </xf>
    <xf numFmtId="188" fontId="26" fillId="16" borderId="326" xfId="1" applyNumberFormat="1" applyFont="1" applyFill="1" applyBorder="1" applyAlignment="1" applyProtection="1">
      <alignment horizontal="center" vertical="center"/>
      <protection locked="0"/>
    </xf>
    <xf numFmtId="0" fontId="86" fillId="30" borderId="107" xfId="0" applyFont="1" applyFill="1" applyBorder="1" applyAlignment="1" applyProtection="1">
      <alignment horizontal="left" vertical="center"/>
      <protection locked="0"/>
    </xf>
    <xf numFmtId="41" fontId="86" fillId="6" borderId="105" xfId="1" applyFont="1" applyFill="1" applyBorder="1" applyAlignment="1" applyProtection="1">
      <alignment horizontal="right" vertical="center"/>
      <protection locked="0"/>
    </xf>
    <xf numFmtId="41" fontId="86" fillId="6" borderId="107" xfId="1" applyFont="1" applyFill="1" applyBorder="1" applyAlignment="1" applyProtection="1">
      <alignment horizontal="right" vertical="center"/>
      <protection locked="0"/>
    </xf>
    <xf numFmtId="0" fontId="74" fillId="5" borderId="257" xfId="0" applyFont="1" applyFill="1" applyBorder="1" applyAlignment="1">
      <alignment horizontal="center" vertical="center"/>
    </xf>
    <xf numFmtId="0" fontId="74" fillId="5" borderId="258" xfId="0" applyFont="1" applyFill="1" applyBorder="1" applyAlignment="1">
      <alignment horizontal="center" vertical="center"/>
    </xf>
    <xf numFmtId="0" fontId="9" fillId="0" borderId="1" xfId="0" applyFont="1" applyBorder="1" applyAlignment="1" applyProtection="1">
      <alignment horizontal="left" vertical="center"/>
      <protection locked="0"/>
    </xf>
    <xf numFmtId="0" fontId="9" fillId="0" borderId="0" xfId="0" applyFont="1" applyAlignment="1" applyProtection="1">
      <alignment horizontal="left" vertical="center"/>
      <protection locked="0"/>
    </xf>
    <xf numFmtId="0" fontId="13" fillId="4" borderId="15" xfId="0" applyFont="1" applyFill="1" applyBorder="1" applyAlignment="1" applyProtection="1">
      <alignment horizontal="center" vertical="center"/>
      <protection locked="0"/>
    </xf>
    <xf numFmtId="0" fontId="13" fillId="4" borderId="7" xfId="0" applyFont="1" applyFill="1" applyBorder="1" applyAlignment="1" applyProtection="1">
      <alignment horizontal="center" vertical="center"/>
      <protection locked="0"/>
    </xf>
    <xf numFmtId="0" fontId="9" fillId="4" borderId="15" xfId="0" applyFont="1" applyFill="1" applyBorder="1" applyAlignment="1" applyProtection="1">
      <alignment horizontal="center" vertical="center"/>
      <protection locked="0"/>
    </xf>
    <xf numFmtId="0" fontId="9" fillId="4" borderId="7" xfId="0" applyFont="1" applyFill="1" applyBorder="1" applyAlignment="1" applyProtection="1">
      <alignment horizontal="center" vertical="center"/>
      <protection locked="0"/>
    </xf>
    <xf numFmtId="0" fontId="9" fillId="0" borderId="1" xfId="0" applyFont="1" applyBorder="1" applyProtection="1">
      <alignment vertical="center"/>
      <protection locked="0"/>
    </xf>
    <xf numFmtId="0" fontId="14" fillId="4" borderId="4" xfId="1" applyNumberFormat="1" applyFont="1" applyFill="1" applyBorder="1" applyAlignment="1" applyProtection="1">
      <alignment horizontal="center" vertical="center"/>
      <protection locked="0"/>
    </xf>
    <xf numFmtId="0" fontId="14" fillId="4" borderId="11" xfId="1" applyNumberFormat="1" applyFont="1" applyFill="1" applyBorder="1" applyAlignment="1" applyProtection="1">
      <alignment horizontal="center" vertical="center"/>
      <protection locked="0"/>
    </xf>
    <xf numFmtId="0" fontId="14" fillId="4" borderId="6" xfId="1" applyNumberFormat="1" applyFont="1" applyFill="1" applyBorder="1" applyAlignment="1" applyProtection="1">
      <alignment horizontal="center" vertical="center"/>
      <protection locked="0"/>
    </xf>
    <xf numFmtId="0" fontId="6" fillId="0" borderId="0" xfId="0" applyFont="1" applyAlignment="1" applyProtection="1">
      <alignment horizontal="left" vertical="center"/>
      <protection locked="0"/>
    </xf>
    <xf numFmtId="0" fontId="40" fillId="0" borderId="5" xfId="0" applyFont="1" applyBorder="1" applyAlignment="1">
      <alignment horizontal="center" vertical="center"/>
    </xf>
    <xf numFmtId="0" fontId="82" fillId="6" borderId="73" xfId="0" applyFont="1" applyFill="1" applyBorder="1" applyAlignment="1" applyProtection="1">
      <alignment horizontal="center" vertical="center"/>
      <protection locked="0"/>
    </xf>
    <xf numFmtId="0" fontId="40" fillId="0" borderId="89" xfId="0" applyFont="1" applyBorder="1" applyAlignment="1">
      <alignment horizontal="center" vertical="center"/>
    </xf>
    <xf numFmtId="0" fontId="40" fillId="0" borderId="88" xfId="0" applyFont="1" applyBorder="1" applyAlignment="1">
      <alignment horizontal="center" vertical="center"/>
    </xf>
    <xf numFmtId="0" fontId="40" fillId="0" borderId="95" xfId="0" applyFont="1" applyBorder="1" applyAlignment="1">
      <alignment horizontal="center" vertical="center"/>
    </xf>
    <xf numFmtId="0" fontId="83" fillId="6" borderId="73" xfId="0" applyFont="1" applyFill="1" applyBorder="1" applyAlignment="1" applyProtection="1">
      <alignment horizontal="center" vertical="center"/>
      <protection locked="0"/>
    </xf>
    <xf numFmtId="0" fontId="83" fillId="6" borderId="74" xfId="0" applyFont="1" applyFill="1" applyBorder="1" applyAlignment="1" applyProtection="1">
      <alignment horizontal="center" vertical="center"/>
      <protection locked="0"/>
    </xf>
    <xf numFmtId="0" fontId="82" fillId="6" borderId="67" xfId="0" applyFont="1" applyFill="1" applyBorder="1" applyAlignment="1" applyProtection="1">
      <alignment horizontal="center" vertical="center"/>
      <protection locked="0"/>
    </xf>
    <xf numFmtId="0" fontId="82" fillId="6" borderId="68" xfId="0" applyFont="1" applyFill="1" applyBorder="1" applyAlignment="1" applyProtection="1">
      <alignment horizontal="center" vertical="center"/>
      <protection locked="0"/>
    </xf>
    <xf numFmtId="0" fontId="82" fillId="6" borderId="74" xfId="0" applyFont="1" applyFill="1" applyBorder="1" applyAlignment="1" applyProtection="1">
      <alignment horizontal="center" vertical="center"/>
      <protection locked="0"/>
    </xf>
    <xf numFmtId="0" fontId="84" fillId="6" borderId="79" xfId="0" applyFont="1" applyFill="1" applyBorder="1" applyAlignment="1" applyProtection="1">
      <alignment horizontal="center" vertical="center"/>
      <protection locked="0"/>
    </xf>
    <xf numFmtId="0" fontId="30" fillId="29" borderId="59" xfId="0" applyFont="1" applyFill="1" applyBorder="1" applyAlignment="1">
      <alignment horizontal="center" vertical="center"/>
    </xf>
    <xf numFmtId="0" fontId="30" fillId="29" borderId="87" xfId="0" applyFont="1" applyFill="1" applyBorder="1" applyAlignment="1">
      <alignment horizontal="center" vertical="center"/>
    </xf>
    <xf numFmtId="0" fontId="30" fillId="29" borderId="54" xfId="0" applyFont="1" applyFill="1" applyBorder="1" applyAlignment="1">
      <alignment horizontal="center" vertical="center"/>
    </xf>
    <xf numFmtId="0" fontId="30" fillId="0" borderId="88" xfId="0" applyFont="1" applyBorder="1" applyAlignment="1">
      <alignment horizontal="center" vertical="center"/>
    </xf>
    <xf numFmtId="0" fontId="30" fillId="15" borderId="53" xfId="0" applyFont="1" applyFill="1" applyBorder="1" applyAlignment="1">
      <alignment horizontal="center" vertical="center"/>
    </xf>
    <xf numFmtId="0" fontId="30" fillId="26" borderId="53" xfId="0" applyFont="1" applyFill="1" applyBorder="1" applyAlignment="1">
      <alignment horizontal="center" vertical="center"/>
    </xf>
    <xf numFmtId="0" fontId="30" fillId="30" borderId="53" xfId="0" applyFont="1" applyFill="1" applyBorder="1" applyAlignment="1">
      <alignment horizontal="center" vertical="center"/>
    </xf>
    <xf numFmtId="0" fontId="30" fillId="31" borderId="132" xfId="8" applyNumberFormat="1" applyFont="1" applyFill="1" applyBorder="1" applyAlignment="1">
      <alignment horizontal="center" vertical="center"/>
    </xf>
    <xf numFmtId="0" fontId="30" fillId="31" borderId="137" xfId="8" applyNumberFormat="1" applyFont="1" applyFill="1" applyBorder="1" applyAlignment="1">
      <alignment horizontal="center" vertical="center"/>
    </xf>
    <xf numFmtId="0" fontId="30" fillId="0" borderId="130" xfId="8" applyNumberFormat="1" applyFont="1" applyBorder="1" applyAlignment="1" applyProtection="1">
      <alignment horizontal="center" vertical="center" wrapText="1"/>
      <protection locked="0"/>
    </xf>
    <xf numFmtId="0" fontId="30" fillId="0" borderId="131" xfId="8" applyNumberFormat="1" applyFont="1" applyBorder="1" applyAlignment="1" applyProtection="1">
      <alignment horizontal="center" vertical="center" wrapText="1"/>
      <protection locked="0"/>
    </xf>
    <xf numFmtId="0" fontId="30" fillId="0" borderId="135" xfId="8" applyNumberFormat="1" applyFont="1" applyBorder="1" applyAlignment="1" applyProtection="1">
      <alignment horizontal="center" vertical="center" wrapText="1"/>
      <protection locked="0"/>
    </xf>
    <xf numFmtId="0" fontId="30" fillId="0" borderId="136" xfId="8" applyNumberFormat="1" applyFont="1" applyBorder="1" applyAlignment="1" applyProtection="1">
      <alignment horizontal="center" vertical="center" wrapText="1"/>
      <protection locked="0"/>
    </xf>
    <xf numFmtId="0" fontId="30" fillId="0" borderId="2" xfId="8" applyNumberFormat="1" applyFont="1" applyBorder="1" applyAlignment="1" applyProtection="1">
      <alignment horizontal="center" vertical="center"/>
      <protection locked="0"/>
    </xf>
    <xf numFmtId="0" fontId="30" fillId="0" borderId="14" xfId="8" applyNumberFormat="1" applyFont="1" applyBorder="1" applyAlignment="1" applyProtection="1">
      <alignment horizontal="center" vertical="center"/>
      <protection locked="0"/>
    </xf>
    <xf numFmtId="0" fontId="30" fillId="0" borderId="3" xfId="8" applyNumberFormat="1" applyFont="1" applyBorder="1" applyAlignment="1" applyProtection="1">
      <alignment horizontal="center" vertical="center"/>
      <protection locked="0"/>
    </xf>
    <xf numFmtId="0" fontId="30" fillId="0" borderId="12" xfId="8" applyNumberFormat="1" applyFont="1" applyBorder="1" applyAlignment="1" applyProtection="1">
      <alignment horizontal="center" vertical="center"/>
      <protection locked="0"/>
    </xf>
    <xf numFmtId="0" fontId="30" fillId="0" borderId="1" xfId="8" applyNumberFormat="1" applyFont="1" applyBorder="1" applyAlignment="1" applyProtection="1">
      <alignment horizontal="center" vertical="center"/>
      <protection locked="0"/>
    </xf>
    <xf numFmtId="0" fontId="30" fillId="0" borderId="13" xfId="8" applyNumberFormat="1" applyFont="1" applyBorder="1" applyAlignment="1" applyProtection="1">
      <alignment horizontal="center" vertical="center"/>
      <protection locked="0"/>
    </xf>
    <xf numFmtId="0" fontId="106" fillId="0" borderId="131" xfId="8" applyNumberFormat="1" applyFont="1" applyBorder="1" applyAlignment="1">
      <alignment horizontal="center" vertical="center"/>
    </xf>
    <xf numFmtId="0" fontId="30" fillId="14" borderId="125" xfId="8" applyNumberFormat="1" applyFont="1" applyFill="1" applyBorder="1" applyAlignment="1">
      <alignment horizontal="center" vertical="center"/>
    </xf>
    <xf numFmtId="0" fontId="30" fillId="14" borderId="126" xfId="8" applyNumberFormat="1" applyFont="1" applyFill="1" applyBorder="1" applyAlignment="1">
      <alignment horizontal="center" vertical="center"/>
    </xf>
    <xf numFmtId="0" fontId="30" fillId="14" borderId="127" xfId="8" applyNumberFormat="1" applyFont="1" applyFill="1" applyBorder="1" applyAlignment="1">
      <alignment horizontal="center" vertical="center"/>
    </xf>
    <xf numFmtId="0" fontId="74" fillId="6" borderId="125" xfId="8" applyNumberFormat="1" applyFont="1" applyFill="1" applyBorder="1" applyAlignment="1">
      <alignment horizontal="center" vertical="center"/>
    </xf>
    <xf numFmtId="0" fontId="74" fillId="6" borderId="126" xfId="8" applyNumberFormat="1" applyFont="1" applyFill="1" applyBorder="1" applyAlignment="1">
      <alignment horizontal="center" vertical="center"/>
    </xf>
    <xf numFmtId="0" fontId="74" fillId="6" borderId="127" xfId="8" applyNumberFormat="1" applyFont="1" applyFill="1" applyBorder="1" applyAlignment="1">
      <alignment horizontal="center" vertical="center"/>
    </xf>
    <xf numFmtId="0" fontId="107" fillId="6" borderId="125" xfId="8" applyNumberFormat="1" applyFont="1" applyFill="1" applyBorder="1" applyAlignment="1" applyProtection="1">
      <alignment horizontal="center" vertical="center"/>
      <protection locked="0"/>
    </xf>
    <xf numFmtId="0" fontId="27" fillId="6" borderId="126" xfId="8" applyNumberFormat="1" applyFont="1" applyFill="1" applyBorder="1" applyAlignment="1" applyProtection="1">
      <alignment horizontal="center" vertical="center"/>
      <protection locked="0"/>
    </xf>
    <xf numFmtId="0" fontId="27" fillId="6" borderId="127" xfId="8" applyNumberFormat="1" applyFont="1" applyFill="1" applyBorder="1" applyAlignment="1" applyProtection="1">
      <alignment horizontal="center" vertical="center"/>
      <protection locked="0"/>
    </xf>
    <xf numFmtId="0" fontId="30" fillId="0" borderId="131" xfId="8" applyNumberFormat="1" applyFont="1" applyBorder="1" applyAlignment="1" applyProtection="1">
      <alignment horizontal="center" vertical="center"/>
      <protection locked="0"/>
    </xf>
    <xf numFmtId="0" fontId="30" fillId="0" borderId="136" xfId="8" applyNumberFormat="1" applyFont="1" applyBorder="1" applyAlignment="1" applyProtection="1">
      <alignment horizontal="center" vertical="center"/>
      <protection locked="0"/>
    </xf>
    <xf numFmtId="0" fontId="107" fillId="6" borderId="125" xfId="8" applyNumberFormat="1" applyFont="1" applyFill="1" applyBorder="1" applyAlignment="1">
      <alignment horizontal="center" vertical="center"/>
    </xf>
    <xf numFmtId="0" fontId="107" fillId="6" borderId="126" xfId="8" applyNumberFormat="1" applyFont="1" applyFill="1" applyBorder="1" applyAlignment="1">
      <alignment horizontal="center" vertical="center"/>
    </xf>
    <xf numFmtId="0" fontId="107" fillId="6" borderId="127" xfId="8" applyNumberFormat="1" applyFont="1" applyFill="1" applyBorder="1" applyAlignment="1">
      <alignment horizontal="center" vertical="center"/>
    </xf>
    <xf numFmtId="178" fontId="107" fillId="6" borderId="130" xfId="8" applyNumberFormat="1" applyFont="1" applyFill="1" applyBorder="1" applyAlignment="1">
      <alignment horizontal="center" vertical="center"/>
    </xf>
    <xf numFmtId="178" fontId="107" fillId="6" borderId="131" xfId="8" applyNumberFormat="1" applyFont="1" applyFill="1" applyBorder="1" applyAlignment="1">
      <alignment horizontal="center" vertical="center"/>
    </xf>
    <xf numFmtId="178" fontId="107" fillId="6" borderId="132" xfId="8" applyNumberFormat="1" applyFont="1" applyFill="1" applyBorder="1" applyAlignment="1">
      <alignment horizontal="center" vertical="center"/>
    </xf>
    <xf numFmtId="0" fontId="74" fillId="31" borderId="143" xfId="8" applyNumberFormat="1" applyFont="1" applyFill="1" applyBorder="1" applyAlignment="1">
      <alignment horizontal="center" vertical="center"/>
    </xf>
    <xf numFmtId="0" fontId="40" fillId="31" borderId="144" xfId="8" applyNumberFormat="1" applyFont="1" applyFill="1" applyBorder="1" applyAlignment="1">
      <alignment horizontal="center" vertical="center"/>
    </xf>
    <xf numFmtId="0" fontId="40" fillId="31" borderId="145" xfId="8" applyNumberFormat="1" applyFont="1" applyFill="1" applyBorder="1" applyAlignment="1">
      <alignment horizontal="center" vertical="center"/>
    </xf>
    <xf numFmtId="10" fontId="107" fillId="5" borderId="146" xfId="8" applyNumberFormat="1" applyFont="1" applyFill="1" applyBorder="1" applyAlignment="1">
      <alignment horizontal="center" vertical="center"/>
    </xf>
    <xf numFmtId="0" fontId="107" fillId="5" borderId="144" xfId="8" applyNumberFormat="1" applyFont="1" applyFill="1" applyBorder="1" applyAlignment="1">
      <alignment horizontal="center" vertical="center"/>
    </xf>
    <xf numFmtId="0" fontId="107" fillId="5" borderId="147" xfId="8" applyNumberFormat="1" applyFont="1" applyFill="1" applyBorder="1" applyAlignment="1">
      <alignment horizontal="center" vertical="center"/>
    </xf>
    <xf numFmtId="41" fontId="104" fillId="5" borderId="125" xfId="1" applyFont="1" applyFill="1" applyBorder="1" applyAlignment="1" applyProtection="1">
      <alignment horizontal="center" vertical="center" shrinkToFit="1"/>
      <protection locked="0"/>
    </xf>
    <xf numFmtId="41" fontId="104" fillId="5" borderId="127" xfId="1" applyFont="1" applyFill="1" applyBorder="1" applyAlignment="1" applyProtection="1">
      <alignment horizontal="center" vertical="center" shrinkToFit="1"/>
      <protection locked="0"/>
    </xf>
    <xf numFmtId="0" fontId="104" fillId="6" borderId="125" xfId="8" applyNumberFormat="1" applyFont="1" applyFill="1" applyBorder="1" applyAlignment="1">
      <alignment horizontal="center" vertical="center" shrinkToFit="1"/>
    </xf>
    <xf numFmtId="0" fontId="104" fillId="6" borderId="127" xfId="8" applyNumberFormat="1" applyFont="1" applyFill="1" applyBorder="1" applyAlignment="1">
      <alignment horizontal="center" vertical="center" shrinkToFit="1"/>
    </xf>
    <xf numFmtId="0" fontId="104" fillId="6" borderId="124" xfId="8" applyNumberFormat="1" applyFont="1" applyFill="1" applyBorder="1" applyAlignment="1">
      <alignment horizontal="center" vertical="center" shrinkToFit="1"/>
    </xf>
    <xf numFmtId="41" fontId="104" fillId="6" borderId="125" xfId="1" applyFont="1" applyFill="1" applyBorder="1" applyAlignment="1" applyProtection="1">
      <alignment horizontal="center" vertical="center" shrinkToFit="1"/>
    </xf>
    <xf numFmtId="41" fontId="104" fillId="6" borderId="127" xfId="1" applyFont="1" applyFill="1" applyBorder="1" applyAlignment="1" applyProtection="1">
      <alignment horizontal="center" vertical="center" shrinkToFit="1"/>
    </xf>
    <xf numFmtId="41" fontId="59" fillId="6" borderId="125" xfId="1" applyFont="1" applyFill="1" applyBorder="1" applyAlignment="1" applyProtection="1">
      <alignment horizontal="center" vertical="center" shrinkToFit="1"/>
    </xf>
    <xf numFmtId="41" fontId="59" fillId="6" borderId="127" xfId="1" applyFont="1" applyFill="1" applyBorder="1" applyAlignment="1" applyProtection="1">
      <alignment horizontal="center" vertical="center" shrinkToFit="1"/>
    </xf>
    <xf numFmtId="202" fontId="59" fillId="6" borderId="124" xfId="8" applyNumberFormat="1" applyFont="1" applyFill="1" applyBorder="1" applyAlignment="1">
      <alignment horizontal="right" vertical="center" shrinkToFit="1"/>
    </xf>
    <xf numFmtId="202" fontId="104" fillId="6" borderId="124" xfId="8" applyNumberFormat="1" applyFont="1" applyFill="1" applyBorder="1" applyAlignment="1">
      <alignment horizontal="right" vertical="center" shrinkToFit="1"/>
    </xf>
    <xf numFmtId="0" fontId="28" fillId="6" borderId="125" xfId="8" applyNumberFormat="1" applyFont="1" applyFill="1" applyBorder="1" applyAlignment="1">
      <alignment horizontal="center" vertical="center"/>
    </xf>
    <xf numFmtId="0" fontId="28" fillId="6" borderId="126" xfId="8" applyNumberFormat="1" applyFont="1" applyFill="1" applyBorder="1" applyAlignment="1">
      <alignment horizontal="center" vertical="center"/>
    </xf>
    <xf numFmtId="0" fontId="28" fillId="6" borderId="131" xfId="8" applyNumberFormat="1" applyFont="1" applyFill="1" applyBorder="1" applyAlignment="1">
      <alignment horizontal="center" vertical="center"/>
    </xf>
    <xf numFmtId="0" fontId="28" fillId="6" borderId="132" xfId="8" applyNumberFormat="1" applyFont="1" applyFill="1" applyBorder="1" applyAlignment="1">
      <alignment horizontal="center" vertical="center"/>
    </xf>
    <xf numFmtId="0" fontId="74" fillId="5" borderId="135" xfId="8" applyNumberFormat="1" applyFont="1" applyFill="1" applyBorder="1" applyAlignment="1">
      <alignment horizontal="center" vertical="center"/>
    </xf>
    <xf numFmtId="0" fontId="40" fillId="5" borderId="137" xfId="8" applyNumberFormat="1" applyFont="1" applyFill="1" applyBorder="1" applyAlignment="1">
      <alignment horizontal="center" vertical="center"/>
    </xf>
    <xf numFmtId="49" fontId="74" fillId="5" borderId="125" xfId="8" applyNumberFormat="1" applyFont="1" applyFill="1" applyBorder="1" applyAlignment="1">
      <alignment horizontal="center" vertical="center"/>
    </xf>
    <xf numFmtId="0" fontId="40" fillId="5" borderId="126" xfId="8" applyNumberFormat="1" applyFont="1" applyFill="1" applyBorder="1" applyAlignment="1">
      <alignment horizontal="center" vertical="center"/>
    </xf>
    <xf numFmtId="0" fontId="40" fillId="5" borderId="127" xfId="8" applyNumberFormat="1" applyFont="1" applyFill="1" applyBorder="1" applyAlignment="1">
      <alignment horizontal="center" vertical="center"/>
    </xf>
    <xf numFmtId="0" fontId="40" fillId="6" borderId="135" xfId="8" applyNumberFormat="1" applyFont="1" applyFill="1" applyBorder="1" applyAlignment="1" applyProtection="1">
      <alignment horizontal="center" vertical="center"/>
      <protection locked="0"/>
    </xf>
    <xf numFmtId="0" fontId="40" fillId="6" borderId="136" xfId="8" applyNumberFormat="1" applyFont="1" applyFill="1" applyBorder="1" applyAlignment="1" applyProtection="1">
      <alignment horizontal="center" vertical="center"/>
      <protection locked="0"/>
    </xf>
    <xf numFmtId="0" fontId="40" fillId="6" borderId="137" xfId="8" applyNumberFormat="1" applyFont="1" applyFill="1" applyBorder="1" applyAlignment="1" applyProtection="1">
      <alignment horizontal="center" vertical="center"/>
      <protection locked="0"/>
    </xf>
    <xf numFmtId="0" fontId="102" fillId="5" borderId="142" xfId="8" applyNumberFormat="1" applyFont="1" applyFill="1" applyBorder="1" applyAlignment="1">
      <alignment horizontal="center" vertical="center"/>
    </xf>
    <xf numFmtId="0" fontId="102" fillId="5" borderId="126" xfId="8" applyNumberFormat="1" applyFont="1" applyFill="1" applyBorder="1" applyAlignment="1">
      <alignment horizontal="center" vertical="center"/>
    </xf>
    <xf numFmtId="0" fontId="102" fillId="5" borderId="127" xfId="8" applyNumberFormat="1" applyFont="1" applyFill="1" applyBorder="1" applyAlignment="1">
      <alignment horizontal="center" vertical="center"/>
    </xf>
    <xf numFmtId="0" fontId="42" fillId="6" borderId="125" xfId="8" applyNumberFormat="1" applyFont="1" applyFill="1" applyBorder="1" applyAlignment="1">
      <alignment horizontal="center" vertical="center" shrinkToFit="1"/>
    </xf>
    <xf numFmtId="0" fontId="42" fillId="6" borderId="126" xfId="8" applyNumberFormat="1" applyFont="1" applyFill="1" applyBorder="1" applyAlignment="1">
      <alignment horizontal="center" vertical="center" shrinkToFit="1"/>
    </xf>
    <xf numFmtId="0" fontId="42" fillId="6" borderId="127" xfId="8" applyNumberFormat="1" applyFont="1" applyFill="1" applyBorder="1" applyAlignment="1">
      <alignment horizontal="center" vertical="center" shrinkToFit="1"/>
    </xf>
    <xf numFmtId="0" fontId="89" fillId="14" borderId="128" xfId="8" applyNumberFormat="1" applyFont="1" applyFill="1" applyBorder="1" applyAlignment="1">
      <alignment horizontal="center" vertical="center" shrinkToFit="1"/>
    </xf>
    <xf numFmtId="0" fontId="89" fillId="14" borderId="124" xfId="8" applyNumberFormat="1" applyFont="1" applyFill="1" applyBorder="1" applyAlignment="1">
      <alignment horizontal="center" vertical="center" shrinkToFit="1"/>
    </xf>
    <xf numFmtId="0" fontId="28" fillId="5" borderId="5" xfId="8" applyNumberFormat="1" applyFont="1" applyFill="1" applyBorder="1" applyAlignment="1">
      <alignment horizontal="left" vertical="center"/>
    </xf>
    <xf numFmtId="10" fontId="59" fillId="0" borderId="124" xfId="1" applyNumberFormat="1" applyFont="1" applyFill="1" applyBorder="1" applyAlignment="1" applyProtection="1">
      <alignment horizontal="center" vertical="center" shrinkToFit="1"/>
    </xf>
    <xf numFmtId="41" fontId="42" fillId="31" borderId="124" xfId="1" applyFont="1" applyFill="1" applyBorder="1" applyAlignment="1" applyProtection="1">
      <alignment horizontal="center" vertical="center" shrinkToFit="1"/>
    </xf>
    <xf numFmtId="202" fontId="59" fillId="0" borderId="124" xfId="1" applyNumberFormat="1" applyFont="1" applyBorder="1" applyAlignment="1" applyProtection="1">
      <alignment horizontal="right" vertical="center" shrinkToFit="1"/>
    </xf>
    <xf numFmtId="202" fontId="59" fillId="0" borderId="125" xfId="1" applyNumberFormat="1" applyFont="1" applyBorder="1" applyAlignment="1" applyProtection="1">
      <alignment horizontal="right" vertical="center" shrinkToFit="1"/>
    </xf>
    <xf numFmtId="41" fontId="42" fillId="31" borderId="138" xfId="1" applyFont="1" applyFill="1" applyBorder="1" applyAlignment="1" applyProtection="1">
      <alignment horizontal="center" vertical="center" shrinkToFit="1"/>
    </xf>
    <xf numFmtId="41" fontId="42" fillId="31" borderId="140" xfId="1" applyFont="1" applyFill="1" applyBorder="1" applyAlignment="1" applyProtection="1">
      <alignment horizontal="center" vertical="center" shrinkToFit="1"/>
    </xf>
    <xf numFmtId="190" fontId="104" fillId="0" borderId="140" xfId="8" applyNumberFormat="1" applyFont="1" applyBorder="1" applyAlignment="1">
      <alignment horizontal="center" vertical="center" shrinkToFit="1"/>
    </xf>
    <xf numFmtId="190" fontId="104" fillId="0" borderId="141" xfId="8" applyNumberFormat="1" applyFont="1" applyBorder="1" applyAlignment="1">
      <alignment horizontal="center" vertical="center" shrinkToFit="1"/>
    </xf>
    <xf numFmtId="0" fontId="89" fillId="6" borderId="124" xfId="8" applyNumberFormat="1" applyFont="1" applyFill="1" applyBorder="1" applyAlignment="1">
      <alignment horizontal="center" vertical="center" shrinkToFit="1"/>
    </xf>
    <xf numFmtId="0" fontId="42" fillId="4" borderId="124" xfId="8" applyNumberFormat="1" applyFont="1" applyFill="1" applyBorder="1" applyAlignment="1">
      <alignment horizontal="center" vertical="center" shrinkToFit="1"/>
    </xf>
    <xf numFmtId="0" fontId="42" fillId="6" borderId="124" xfId="8" applyNumberFormat="1" applyFont="1" applyFill="1" applyBorder="1" applyAlignment="1">
      <alignment horizontal="center" vertical="center" shrinkToFit="1"/>
    </xf>
    <xf numFmtId="0" fontId="42" fillId="31" borderId="124" xfId="8" applyNumberFormat="1" applyFont="1" applyFill="1" applyBorder="1" applyAlignment="1">
      <alignment horizontal="center" vertical="center" shrinkToFit="1"/>
    </xf>
    <xf numFmtId="202" fontId="42" fillId="6" borderId="124" xfId="1" applyNumberFormat="1" applyFont="1" applyFill="1" applyBorder="1" applyAlignment="1" applyProtection="1">
      <alignment horizontal="center" vertical="center" shrinkToFit="1"/>
    </xf>
    <xf numFmtId="0" fontId="42" fillId="0" borderId="124" xfId="8" applyNumberFormat="1" applyFont="1" applyBorder="1" applyAlignment="1">
      <alignment horizontal="center" vertical="center" shrinkToFit="1"/>
    </xf>
    <xf numFmtId="10" fontId="59" fillId="0" borderId="124" xfId="2" applyNumberFormat="1" applyFont="1" applyFill="1" applyBorder="1" applyAlignment="1" applyProtection="1">
      <alignment horizontal="center" vertical="center" shrinkToFit="1"/>
    </xf>
    <xf numFmtId="9" fontId="79" fillId="0" borderId="125" xfId="2" applyFont="1" applyFill="1" applyBorder="1" applyAlignment="1">
      <alignment horizontal="right" vertical="center"/>
    </xf>
    <xf numFmtId="9" fontId="79" fillId="0" borderId="127" xfId="2" applyFont="1" applyFill="1" applyBorder="1" applyAlignment="1">
      <alignment horizontal="right" vertical="center"/>
    </xf>
    <xf numFmtId="9" fontId="42" fillId="31" borderId="124" xfId="2" applyFont="1" applyFill="1" applyBorder="1" applyAlignment="1" applyProtection="1">
      <alignment horizontal="center" vertical="center" shrinkToFit="1"/>
    </xf>
    <xf numFmtId="203" fontId="59" fillId="0" borderId="124" xfId="1" applyNumberFormat="1" applyFont="1" applyFill="1" applyBorder="1" applyAlignment="1" applyProtection="1">
      <alignment horizontal="center" vertical="center" shrinkToFit="1"/>
    </xf>
    <xf numFmtId="0" fontId="30" fillId="31" borderId="130" xfId="8" applyNumberFormat="1" applyFont="1" applyFill="1" applyBorder="1" applyAlignment="1">
      <alignment horizontal="center" vertical="center"/>
    </xf>
    <xf numFmtId="0" fontId="30" fillId="31" borderId="133" xfId="8" applyNumberFormat="1" applyFont="1" applyFill="1" applyBorder="1" applyAlignment="1">
      <alignment horizontal="center" vertical="center"/>
    </xf>
    <xf numFmtId="0" fontId="30" fillId="31" borderId="135" xfId="8" applyNumberFormat="1" applyFont="1" applyFill="1" applyBorder="1" applyAlignment="1">
      <alignment horizontal="center" vertical="center"/>
    </xf>
    <xf numFmtId="41" fontId="74" fillId="0" borderId="130" xfId="8" applyNumberFormat="1" applyFont="1" applyBorder="1" applyAlignment="1">
      <alignment horizontal="center" vertical="center" wrapText="1"/>
    </xf>
    <xf numFmtId="0" fontId="40" fillId="0" borderId="131" xfId="8" applyNumberFormat="1" applyFont="1" applyBorder="1" applyAlignment="1">
      <alignment horizontal="center" vertical="center" wrapText="1"/>
    </xf>
    <xf numFmtId="0" fontId="40" fillId="0" borderId="132" xfId="8" applyNumberFormat="1" applyFont="1" applyBorder="1" applyAlignment="1">
      <alignment horizontal="center" vertical="center" wrapText="1"/>
    </xf>
    <xf numFmtId="0" fontId="40" fillId="0" borderId="133" xfId="8" applyNumberFormat="1" applyFont="1" applyBorder="1" applyAlignment="1">
      <alignment horizontal="center" vertical="center" wrapText="1"/>
    </xf>
    <xf numFmtId="0" fontId="40" fillId="0" borderId="0" xfId="8" applyNumberFormat="1" applyFont="1" applyAlignment="1">
      <alignment horizontal="center" vertical="center" wrapText="1"/>
    </xf>
    <xf numFmtId="0" fontId="40" fillId="0" borderId="134" xfId="8" applyNumberFormat="1" applyFont="1" applyBorder="1" applyAlignment="1">
      <alignment horizontal="center" vertical="center" wrapText="1"/>
    </xf>
    <xf numFmtId="0" fontId="40" fillId="0" borderId="135" xfId="8" applyNumberFormat="1" applyFont="1" applyBorder="1" applyAlignment="1">
      <alignment horizontal="center" vertical="center" wrapText="1"/>
    </xf>
    <xf numFmtId="0" fontId="40" fillId="0" borderId="136" xfId="8" applyNumberFormat="1" applyFont="1" applyBorder="1" applyAlignment="1">
      <alignment horizontal="center" vertical="center" wrapText="1"/>
    </xf>
    <xf numFmtId="0" fontId="40" fillId="0" borderId="137" xfId="8" applyNumberFormat="1" applyFont="1" applyBorder="1" applyAlignment="1">
      <alignment horizontal="center" vertical="center" wrapText="1"/>
    </xf>
    <xf numFmtId="210" fontId="102" fillId="5" borderId="124" xfId="8" applyNumberFormat="1" applyFont="1" applyFill="1" applyBorder="1" applyAlignment="1">
      <alignment horizontal="right" vertical="center"/>
    </xf>
    <xf numFmtId="0" fontId="30" fillId="31" borderId="132" xfId="8" applyNumberFormat="1" applyFont="1" applyFill="1" applyBorder="1" applyAlignment="1">
      <alignment horizontal="center" vertical="center" wrapText="1"/>
    </xf>
    <xf numFmtId="0" fontId="30" fillId="31" borderId="137" xfId="8" applyNumberFormat="1" applyFont="1" applyFill="1" applyBorder="1" applyAlignment="1">
      <alignment horizontal="center" vertical="center" wrapText="1"/>
    </xf>
    <xf numFmtId="202" fontId="40" fillId="0" borderId="133" xfId="1" applyNumberFormat="1" applyFont="1" applyBorder="1" applyAlignment="1" applyProtection="1">
      <alignment horizontal="right" vertical="center"/>
    </xf>
    <xf numFmtId="202" fontId="40" fillId="0" borderId="134" xfId="1" applyNumberFormat="1" applyFont="1" applyBorder="1" applyAlignment="1" applyProtection="1">
      <alignment horizontal="right" vertical="center"/>
    </xf>
    <xf numFmtId="202" fontId="40" fillId="0" borderId="135" xfId="1" applyNumberFormat="1" applyFont="1" applyBorder="1" applyAlignment="1" applyProtection="1">
      <alignment horizontal="right" vertical="center"/>
    </xf>
    <xf numFmtId="202" fontId="40" fillId="0" borderId="137" xfId="1" applyNumberFormat="1" applyFont="1" applyBorder="1" applyAlignment="1" applyProtection="1">
      <alignment horizontal="right" vertical="center"/>
    </xf>
    <xf numFmtId="0" fontId="98" fillId="0" borderId="14" xfId="8" applyNumberFormat="1" applyFont="1" applyBorder="1" applyAlignment="1">
      <alignment horizontal="center" vertical="center"/>
    </xf>
    <xf numFmtId="0" fontId="98" fillId="0" borderId="0" xfId="8" applyNumberFormat="1" applyFont="1" applyAlignment="1">
      <alignment horizontal="center" vertical="center"/>
    </xf>
    <xf numFmtId="0" fontId="100" fillId="6" borderId="59" xfId="8" applyNumberFormat="1" applyFont="1" applyFill="1" applyBorder="1" applyAlignment="1">
      <alignment horizontal="center" vertical="center"/>
    </xf>
    <xf numFmtId="0" fontId="100" fillId="6" borderId="54" xfId="8" applyNumberFormat="1" applyFont="1" applyFill="1" applyBorder="1" applyAlignment="1">
      <alignment horizontal="center" vertical="center"/>
    </xf>
    <xf numFmtId="0" fontId="101" fillId="0" borderId="125" xfId="8" applyNumberFormat="1" applyFont="1" applyBorder="1" applyAlignment="1">
      <alignment horizontal="center" vertical="center"/>
    </xf>
    <xf numFmtId="0" fontId="101" fillId="0" borderId="126" xfId="8" applyNumberFormat="1" applyFont="1" applyBorder="1" applyAlignment="1">
      <alignment horizontal="center" vertical="center"/>
    </xf>
    <xf numFmtId="0" fontId="101" fillId="0" borderId="127" xfId="8" applyNumberFormat="1" applyFont="1" applyBorder="1" applyAlignment="1">
      <alignment horizontal="center" vertical="center"/>
    </xf>
    <xf numFmtId="0" fontId="102" fillId="31" borderId="125" xfId="8" applyNumberFormat="1" applyFont="1" applyFill="1" applyBorder="1" applyAlignment="1">
      <alignment horizontal="center" vertical="center"/>
    </xf>
    <xf numFmtId="0" fontId="102" fillId="31" borderId="127" xfId="8" applyNumberFormat="1" applyFont="1" applyFill="1" applyBorder="1" applyAlignment="1">
      <alignment horizontal="center" vertical="center"/>
    </xf>
    <xf numFmtId="0" fontId="79" fillId="6" borderId="125" xfId="8" applyNumberFormat="1" applyFont="1" applyFill="1" applyBorder="1" applyAlignment="1">
      <alignment horizontal="center" vertical="center" wrapText="1"/>
    </xf>
    <xf numFmtId="0" fontId="79" fillId="6" borderId="127" xfId="8" applyNumberFormat="1" applyFont="1" applyFill="1" applyBorder="1" applyAlignment="1">
      <alignment horizontal="center" vertical="center"/>
    </xf>
    <xf numFmtId="0" fontId="98" fillId="0" borderId="89" xfId="8" applyNumberFormat="1" applyFont="1" applyBorder="1" applyAlignment="1">
      <alignment horizontal="center" vertical="center"/>
    </xf>
    <xf numFmtId="0" fontId="98" fillId="0" borderId="95" xfId="8" applyNumberFormat="1" applyFont="1" applyBorder="1" applyAlignment="1">
      <alignment horizontal="center" vertical="center"/>
    </xf>
    <xf numFmtId="0" fontId="30" fillId="31" borderId="125" xfId="9" applyNumberFormat="1" applyFont="1" applyFill="1" applyBorder="1" applyAlignment="1" applyProtection="1">
      <alignment horizontal="center" vertical="center"/>
    </xf>
    <xf numFmtId="0" fontId="30" fillId="31" borderId="126" xfId="9" applyNumberFormat="1" applyFont="1" applyFill="1" applyBorder="1" applyAlignment="1" applyProtection="1">
      <alignment horizontal="center" vertical="center"/>
    </xf>
    <xf numFmtId="204" fontId="44" fillId="6" borderId="59" xfId="9" applyNumberFormat="1" applyFont="1" applyFill="1" applyBorder="1" applyAlignment="1" applyProtection="1">
      <alignment horizontal="right" vertical="center"/>
    </xf>
    <xf numFmtId="204" fontId="44" fillId="6" borderId="87" xfId="9" applyNumberFormat="1" applyFont="1" applyFill="1" applyBorder="1" applyAlignment="1" applyProtection="1">
      <alignment horizontal="right" vertical="center"/>
    </xf>
    <xf numFmtId="204" fontId="44" fillId="6" borderId="54" xfId="9" applyNumberFormat="1" applyFont="1" applyFill="1" applyBorder="1" applyAlignment="1" applyProtection="1">
      <alignment horizontal="right" vertical="center"/>
    </xf>
    <xf numFmtId="0" fontId="101" fillId="6" borderId="125" xfId="8" applyNumberFormat="1" applyFont="1" applyFill="1" applyBorder="1" applyAlignment="1">
      <alignment horizontal="center" vertical="center"/>
    </xf>
    <xf numFmtId="0" fontId="101" fillId="6" borderId="126" xfId="8" applyNumberFormat="1" applyFont="1" applyFill="1" applyBorder="1" applyAlignment="1">
      <alignment horizontal="center" vertical="center"/>
    </xf>
    <xf numFmtId="0" fontId="101" fillId="6" borderId="127" xfId="8" applyNumberFormat="1" applyFont="1" applyFill="1" applyBorder="1" applyAlignment="1">
      <alignment horizontal="center" vertical="center"/>
    </xf>
    <xf numFmtId="49" fontId="79" fillId="6" borderId="125" xfId="8" applyNumberFormat="1" applyFont="1" applyFill="1" applyBorder="1" applyAlignment="1">
      <alignment horizontal="center" vertical="center"/>
    </xf>
    <xf numFmtId="49" fontId="79" fillId="6" borderId="127" xfId="8" applyNumberFormat="1" applyFont="1" applyFill="1" applyBorder="1" applyAlignment="1">
      <alignment horizontal="center" vertical="center"/>
    </xf>
    <xf numFmtId="204" fontId="1" fillId="0" borderId="125" xfId="1" applyNumberFormat="1" applyFont="1" applyBorder="1" applyAlignment="1" applyProtection="1">
      <alignment horizontal="right" vertical="center"/>
    </xf>
    <xf numFmtId="204" fontId="1" fillId="0" borderId="126" xfId="1" applyNumberFormat="1" applyFont="1" applyBorder="1" applyAlignment="1" applyProtection="1">
      <alignment horizontal="right" vertical="center"/>
    </xf>
    <xf numFmtId="204" fontId="1" fillId="0" borderId="127" xfId="1" applyNumberFormat="1" applyFont="1" applyBorder="1" applyAlignment="1" applyProtection="1">
      <alignment horizontal="right" vertical="center"/>
    </xf>
    <xf numFmtId="202" fontId="1" fillId="0" borderId="125" xfId="1" applyNumberFormat="1" applyFont="1" applyBorder="1" applyAlignment="1" applyProtection="1">
      <alignment horizontal="right" vertical="center"/>
    </xf>
    <xf numFmtId="202" fontId="1" fillId="0" borderId="126" xfId="1" applyNumberFormat="1" applyFont="1" applyBorder="1" applyAlignment="1" applyProtection="1">
      <alignment horizontal="right" vertical="center"/>
    </xf>
    <xf numFmtId="202" fontId="1" fillId="0" borderId="139" xfId="1" applyNumberFormat="1" applyFont="1" applyBorder="1" applyAlignment="1" applyProtection="1">
      <alignment horizontal="right" vertical="center"/>
    </xf>
    <xf numFmtId="202" fontId="1" fillId="0" borderId="87" xfId="1" applyNumberFormat="1" applyFont="1" applyBorder="1" applyAlignment="1" applyProtection="1">
      <alignment horizontal="right" vertical="center"/>
    </xf>
    <xf numFmtId="202" fontId="1" fillId="0" borderId="54" xfId="1" applyNumberFormat="1" applyFont="1" applyBorder="1" applyAlignment="1" applyProtection="1">
      <alignment horizontal="right" vertical="center"/>
    </xf>
    <xf numFmtId="0" fontId="102" fillId="31" borderId="124" xfId="9" applyNumberFormat="1" applyFont="1" applyFill="1" applyBorder="1" applyAlignment="1" applyProtection="1">
      <alignment horizontal="center" vertical="center"/>
    </xf>
    <xf numFmtId="0" fontId="102" fillId="6" borderId="124" xfId="8" applyNumberFormat="1" applyFont="1" applyFill="1" applyBorder="1" applyAlignment="1">
      <alignment horizontal="center" vertical="center"/>
    </xf>
    <xf numFmtId="0" fontId="30" fillId="14" borderId="130" xfId="8" applyNumberFormat="1" applyFont="1" applyFill="1" applyBorder="1" applyAlignment="1">
      <alignment horizontal="center" vertical="center"/>
    </xf>
    <xf numFmtId="0" fontId="30" fillId="14" borderId="131" xfId="8" applyNumberFormat="1" applyFont="1" applyFill="1" applyBorder="1" applyAlignment="1">
      <alignment horizontal="center" vertical="center"/>
    </xf>
    <xf numFmtId="0" fontId="30" fillId="14" borderId="132" xfId="8" applyNumberFormat="1" applyFont="1" applyFill="1" applyBorder="1" applyAlignment="1">
      <alignment horizontal="center" vertical="center"/>
    </xf>
    <xf numFmtId="0" fontId="0" fillId="0" borderId="65" xfId="0" applyBorder="1" applyAlignment="1" applyProtection="1">
      <alignment horizontal="left" vertical="center" wrapText="1"/>
      <protection locked="0"/>
    </xf>
    <xf numFmtId="0" fontId="0" fillId="0" borderId="63" xfId="0" applyBorder="1" applyAlignment="1" applyProtection="1">
      <alignment horizontal="left" vertical="center"/>
      <protection locked="0"/>
    </xf>
    <xf numFmtId="0" fontId="0" fillId="0" borderId="172" xfId="0" applyBorder="1" applyAlignment="1" applyProtection="1">
      <alignment horizontal="center" vertical="center"/>
      <protection locked="0"/>
    </xf>
    <xf numFmtId="0" fontId="0" fillId="0" borderId="173" xfId="0" applyBorder="1" applyAlignment="1" applyProtection="1">
      <alignment horizontal="center" vertical="center"/>
      <protection locked="0"/>
    </xf>
    <xf numFmtId="14" fontId="0" fillId="0" borderId="15" xfId="0" applyNumberFormat="1" applyBorder="1" applyAlignment="1" applyProtection="1">
      <alignment horizontal="center" vertical="center"/>
      <protection locked="0"/>
    </xf>
    <xf numFmtId="0" fontId="0" fillId="0" borderId="175"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26" fillId="0" borderId="5" xfId="0" applyFont="1" applyBorder="1" applyAlignment="1" applyProtection="1">
      <alignment horizontal="center" vertical="center"/>
      <protection locked="0"/>
    </xf>
    <xf numFmtId="0" fontId="26" fillId="0" borderId="177" xfId="0" applyFont="1" applyBorder="1" applyAlignment="1" applyProtection="1">
      <alignment horizontal="center" vertical="center"/>
      <protection locked="0"/>
    </xf>
    <xf numFmtId="0" fontId="40" fillId="0" borderId="5" xfId="0" applyFont="1" applyBorder="1" applyAlignment="1" applyProtection="1">
      <alignment horizontal="center" vertical="center"/>
      <protection locked="0"/>
    </xf>
    <xf numFmtId="0" fontId="40" fillId="0" borderId="177" xfId="0" applyFont="1"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0" fillId="0" borderId="177" xfId="0" applyBorder="1" applyAlignment="1" applyProtection="1">
      <alignment horizontal="center" vertical="center"/>
      <protection locked="0"/>
    </xf>
    <xf numFmtId="3" fontId="0" fillId="0" borderId="5" xfId="0" applyNumberFormat="1" applyBorder="1" applyAlignment="1" applyProtection="1">
      <alignment horizontal="center" vertical="center"/>
      <protection locked="0"/>
    </xf>
    <xf numFmtId="3" fontId="0" fillId="0" borderId="17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5" xfId="0" applyBorder="1" applyAlignment="1" applyProtection="1">
      <alignment horizontal="center" vertical="center" wrapText="1"/>
      <protection locked="0"/>
    </xf>
    <xf numFmtId="14" fontId="0" fillId="0" borderId="175" xfId="0" applyNumberFormat="1" applyBorder="1" applyAlignment="1" applyProtection="1">
      <alignment horizontal="center" vertical="center"/>
      <protection locked="0"/>
    </xf>
    <xf numFmtId="14" fontId="0" fillId="0" borderId="180" xfId="0" applyNumberFormat="1" applyBorder="1" applyAlignment="1" applyProtection="1">
      <alignment horizontal="center" vertical="center"/>
      <protection locked="0"/>
    </xf>
    <xf numFmtId="14" fontId="0" fillId="0" borderId="181" xfId="0" applyNumberFormat="1" applyBorder="1" applyAlignment="1" applyProtection="1">
      <alignment horizontal="center" vertical="center"/>
      <protection locked="0"/>
    </xf>
    <xf numFmtId="0" fontId="30" fillId="31" borderId="131" xfId="8" applyNumberFormat="1" applyFont="1" applyFill="1" applyBorder="1" applyAlignment="1">
      <alignment horizontal="center" vertical="center"/>
    </xf>
    <xf numFmtId="0" fontId="30" fillId="31" borderId="136" xfId="8" applyNumberFormat="1" applyFont="1" applyFill="1" applyBorder="1" applyAlignment="1">
      <alignment horizontal="center" vertical="center"/>
    </xf>
    <xf numFmtId="0" fontId="30" fillId="27" borderId="58" xfId="8" applyNumberFormat="1" applyFont="1" applyFill="1" applyBorder="1" applyAlignment="1" applyProtection="1">
      <alignment horizontal="center" vertical="center" wrapText="1"/>
      <protection locked="0"/>
    </xf>
    <xf numFmtId="0" fontId="30" fillId="27" borderId="118" xfId="8" applyNumberFormat="1" applyFont="1" applyFill="1" applyBorder="1" applyAlignment="1" applyProtection="1">
      <alignment horizontal="center" vertical="center"/>
      <protection locked="0"/>
    </xf>
    <xf numFmtId="0" fontId="30" fillId="27" borderId="119" xfId="8" applyNumberFormat="1" applyFont="1" applyFill="1" applyBorder="1" applyAlignment="1" applyProtection="1">
      <alignment horizontal="center" vertical="center"/>
      <protection locked="0"/>
    </xf>
    <xf numFmtId="0" fontId="30" fillId="27" borderId="120" xfId="8" applyNumberFormat="1" applyFont="1" applyFill="1" applyBorder="1" applyAlignment="1" applyProtection="1">
      <alignment horizontal="center" vertical="center"/>
      <protection locked="0"/>
    </xf>
    <xf numFmtId="0" fontId="30" fillId="27" borderId="117" xfId="8" applyNumberFormat="1" applyFont="1" applyFill="1" applyBorder="1" applyAlignment="1" applyProtection="1">
      <alignment horizontal="center" vertical="center"/>
      <protection locked="0"/>
    </xf>
    <xf numFmtId="0" fontId="30" fillId="27" borderId="121" xfId="8" applyNumberFormat="1" applyFont="1" applyFill="1" applyBorder="1" applyAlignment="1" applyProtection="1">
      <alignment horizontal="center" vertical="center"/>
      <protection locked="0"/>
    </xf>
    <xf numFmtId="0" fontId="106" fillId="0" borderId="0" xfId="8" applyNumberFormat="1" applyFont="1" applyAlignment="1">
      <alignment horizontal="center" vertical="center"/>
    </xf>
    <xf numFmtId="0" fontId="107" fillId="6" borderId="125" xfId="8" applyNumberFormat="1" applyFont="1" applyFill="1" applyBorder="1" applyAlignment="1" applyProtection="1">
      <alignment horizontal="center" vertical="center"/>
      <protection hidden="1"/>
    </xf>
    <xf numFmtId="0" fontId="107" fillId="6" borderId="126" xfId="8" applyNumberFormat="1" applyFont="1" applyFill="1" applyBorder="1" applyAlignment="1" applyProtection="1">
      <alignment horizontal="center" vertical="center"/>
      <protection hidden="1"/>
    </xf>
    <xf numFmtId="0" fontId="107" fillId="6" borderId="127" xfId="8" applyNumberFormat="1" applyFont="1" applyFill="1" applyBorder="1" applyAlignment="1" applyProtection="1">
      <alignment horizontal="center" vertical="center"/>
      <protection hidden="1"/>
    </xf>
    <xf numFmtId="178" fontId="107" fillId="6" borderId="135" xfId="8" applyNumberFormat="1" applyFont="1" applyFill="1" applyBorder="1" applyAlignment="1" applyProtection="1">
      <alignment horizontal="center" vertical="center"/>
      <protection hidden="1"/>
    </xf>
    <xf numFmtId="178" fontId="107" fillId="6" borderId="136" xfId="8" applyNumberFormat="1" applyFont="1" applyFill="1" applyBorder="1" applyAlignment="1" applyProtection="1">
      <alignment horizontal="center" vertical="center"/>
      <protection hidden="1"/>
    </xf>
    <xf numFmtId="178" fontId="107" fillId="6" borderId="137" xfId="8" applyNumberFormat="1" applyFont="1" applyFill="1" applyBorder="1" applyAlignment="1" applyProtection="1">
      <alignment horizontal="center" vertical="center"/>
      <protection hidden="1"/>
    </xf>
    <xf numFmtId="0" fontId="74" fillId="6" borderId="125" xfId="8" applyNumberFormat="1" applyFont="1" applyFill="1" applyBorder="1" applyAlignment="1" applyProtection="1">
      <alignment horizontal="center" vertical="center"/>
      <protection hidden="1"/>
    </xf>
    <xf numFmtId="0" fontId="74" fillId="6" borderId="126" xfId="8" applyNumberFormat="1" applyFont="1" applyFill="1" applyBorder="1" applyAlignment="1" applyProtection="1">
      <alignment horizontal="center" vertical="center"/>
      <protection hidden="1"/>
    </xf>
    <xf numFmtId="0" fontId="74" fillId="27" borderId="59" xfId="8" applyNumberFormat="1" applyFont="1" applyFill="1" applyBorder="1" applyAlignment="1" applyProtection="1">
      <alignment horizontal="center" vertical="center"/>
      <protection locked="0"/>
    </xf>
    <xf numFmtId="0" fontId="74" fillId="27" borderId="87" xfId="8" applyNumberFormat="1" applyFont="1" applyFill="1" applyBorder="1" applyAlignment="1" applyProtection="1">
      <alignment horizontal="center" vertical="center"/>
      <protection locked="0"/>
    </xf>
    <xf numFmtId="0" fontId="74" fillId="27" borderId="54" xfId="8" applyNumberFormat="1" applyFont="1" applyFill="1" applyBorder="1" applyAlignment="1" applyProtection="1">
      <alignment horizontal="center" vertical="center"/>
      <protection locked="0"/>
    </xf>
    <xf numFmtId="0" fontId="107" fillId="27" borderId="59" xfId="8" applyNumberFormat="1" applyFont="1" applyFill="1" applyBorder="1" applyAlignment="1" applyProtection="1">
      <alignment horizontal="center" vertical="center"/>
      <protection locked="0"/>
    </xf>
    <xf numFmtId="0" fontId="27" fillId="27" borderId="87" xfId="8" applyNumberFormat="1" applyFont="1" applyFill="1" applyBorder="1" applyAlignment="1" applyProtection="1">
      <alignment horizontal="center" vertical="center"/>
      <protection locked="0"/>
    </xf>
    <xf numFmtId="0" fontId="27" fillId="27" borderId="54" xfId="8" applyNumberFormat="1" applyFont="1" applyFill="1" applyBorder="1" applyAlignment="1" applyProtection="1">
      <alignment horizontal="center" vertical="center"/>
      <protection locked="0"/>
    </xf>
    <xf numFmtId="0" fontId="128" fillId="47" borderId="59" xfId="8" applyNumberFormat="1" applyFont="1" applyFill="1" applyBorder="1" applyAlignment="1">
      <alignment horizontal="left" vertical="center"/>
    </xf>
    <xf numFmtId="0" fontId="128" fillId="47" borderId="87" xfId="8" applyNumberFormat="1" applyFont="1" applyFill="1" applyBorder="1" applyAlignment="1">
      <alignment horizontal="left" vertical="center"/>
    </xf>
    <xf numFmtId="0" fontId="128" fillId="47" borderId="54" xfId="8" applyNumberFormat="1" applyFont="1" applyFill="1" applyBorder="1" applyAlignment="1">
      <alignment horizontal="left" vertical="center"/>
    </xf>
    <xf numFmtId="206" fontId="104" fillId="6" borderId="138" xfId="8" applyNumberFormat="1" applyFont="1" applyFill="1" applyBorder="1" applyAlignment="1" applyProtection="1">
      <alignment horizontal="center" vertical="center" shrinkToFit="1"/>
      <protection locked="0"/>
    </xf>
    <xf numFmtId="206" fontId="104" fillId="6" borderId="141" xfId="8" applyNumberFormat="1" applyFont="1" applyFill="1" applyBorder="1" applyAlignment="1" applyProtection="1">
      <alignment horizontal="center" vertical="center" shrinkToFit="1"/>
      <protection locked="0"/>
    </xf>
    <xf numFmtId="0" fontId="104" fillId="6" borderId="138" xfId="8" applyNumberFormat="1" applyFont="1" applyFill="1" applyBorder="1" applyAlignment="1">
      <alignment horizontal="center" vertical="center" shrinkToFit="1"/>
    </xf>
    <xf numFmtId="0" fontId="104" fillId="6" borderId="141" xfId="8" applyNumberFormat="1" applyFont="1" applyFill="1" applyBorder="1" applyAlignment="1">
      <alignment horizontal="center" vertical="center" shrinkToFit="1"/>
    </xf>
    <xf numFmtId="0" fontId="104" fillId="6" borderId="127" xfId="8" applyNumberFormat="1" applyFont="1" applyFill="1" applyBorder="1" applyAlignment="1" applyProtection="1">
      <alignment horizontal="center" vertical="center" shrinkToFit="1"/>
      <protection hidden="1"/>
    </xf>
    <xf numFmtId="0" fontId="104" fillId="6" borderId="124" xfId="8" applyNumberFormat="1" applyFont="1" applyFill="1" applyBorder="1" applyAlignment="1" applyProtection="1">
      <alignment horizontal="center" vertical="center" shrinkToFit="1"/>
      <protection hidden="1"/>
    </xf>
    <xf numFmtId="0" fontId="28" fillId="32" borderId="58" xfId="8" applyNumberFormat="1" applyFont="1" applyFill="1" applyBorder="1" applyAlignment="1">
      <alignment horizontal="center" vertical="center"/>
    </xf>
    <xf numFmtId="0" fontId="28" fillId="32" borderId="118" xfId="8" applyNumberFormat="1" applyFont="1" applyFill="1" applyBorder="1" applyAlignment="1">
      <alignment horizontal="center" vertical="center"/>
    </xf>
    <xf numFmtId="0" fontId="28" fillId="32" borderId="119" xfId="8" applyNumberFormat="1" applyFont="1" applyFill="1" applyBorder="1" applyAlignment="1">
      <alignment horizontal="center" vertical="center"/>
    </xf>
    <xf numFmtId="0" fontId="40" fillId="27" borderId="54" xfId="8" applyNumberFormat="1" applyFont="1" applyFill="1" applyBorder="1" applyAlignment="1" applyProtection="1">
      <alignment horizontal="center" vertical="center"/>
      <protection locked="0"/>
    </xf>
    <xf numFmtId="49" fontId="74" fillId="27" borderId="59" xfId="8" applyNumberFormat="1" applyFont="1" applyFill="1" applyBorder="1" applyAlignment="1" applyProtection="1">
      <alignment horizontal="center" vertical="center"/>
      <protection locked="0"/>
    </xf>
    <xf numFmtId="0" fontId="40" fillId="27" borderId="87" xfId="8" applyNumberFormat="1" applyFont="1" applyFill="1" applyBorder="1" applyAlignment="1" applyProtection="1">
      <alignment horizontal="center" vertical="center"/>
      <protection locked="0"/>
    </xf>
    <xf numFmtId="202" fontId="59" fillId="13" borderId="138" xfId="1" applyNumberFormat="1" applyFont="1" applyFill="1" applyBorder="1" applyAlignment="1" applyProtection="1">
      <alignment horizontal="right" vertical="center" shrinkToFit="1"/>
    </xf>
    <xf numFmtId="202" fontId="59" fillId="13" borderId="141" xfId="1" applyNumberFormat="1" applyFont="1" applyFill="1" applyBorder="1" applyAlignment="1" applyProtection="1">
      <alignment horizontal="right" vertical="center" shrinkToFit="1"/>
    </xf>
    <xf numFmtId="208" fontId="59" fillId="13" borderId="138" xfId="1" applyNumberFormat="1" applyFont="1" applyFill="1" applyBorder="1" applyAlignment="1" applyProtection="1">
      <alignment horizontal="center" vertical="center" shrinkToFit="1"/>
      <protection locked="0"/>
    </xf>
    <xf numFmtId="208" fontId="59" fillId="13" borderId="141" xfId="1" applyNumberFormat="1" applyFont="1" applyFill="1" applyBorder="1" applyAlignment="1" applyProtection="1">
      <alignment horizontal="center" vertical="center" shrinkToFit="1"/>
      <protection locked="0"/>
    </xf>
    <xf numFmtId="208" fontId="59" fillId="6" borderId="138" xfId="1" applyNumberFormat="1" applyFont="1" applyFill="1" applyBorder="1" applyAlignment="1" applyProtection="1">
      <alignment horizontal="center" vertical="center" shrinkToFit="1"/>
      <protection locked="0"/>
    </xf>
    <xf numFmtId="208" fontId="59" fillId="6" borderId="141" xfId="1" applyNumberFormat="1" applyFont="1" applyFill="1" applyBorder="1" applyAlignment="1" applyProtection="1">
      <alignment horizontal="center" vertical="center" shrinkToFit="1"/>
      <protection locked="0"/>
    </xf>
    <xf numFmtId="0" fontId="89" fillId="14" borderId="129" xfId="8" applyNumberFormat="1" applyFont="1" applyFill="1" applyBorder="1" applyAlignment="1">
      <alignment horizontal="center" vertical="center" shrinkToFit="1"/>
    </xf>
    <xf numFmtId="0" fontId="89" fillId="14" borderId="148" xfId="8" applyNumberFormat="1" applyFont="1" applyFill="1" applyBorder="1" applyAlignment="1">
      <alignment horizontal="center" vertical="center" shrinkToFit="1"/>
    </xf>
    <xf numFmtId="0" fontId="59" fillId="0" borderId="124" xfId="2" applyNumberFormat="1" applyFont="1" applyFill="1" applyBorder="1" applyAlignment="1" applyProtection="1">
      <alignment horizontal="right" vertical="center" shrinkToFit="1"/>
      <protection hidden="1"/>
    </xf>
    <xf numFmtId="202" fontId="79" fillId="0" borderId="125" xfId="2" applyNumberFormat="1" applyFont="1" applyFill="1" applyBorder="1" applyAlignment="1" applyProtection="1">
      <alignment horizontal="right" vertical="center"/>
      <protection hidden="1"/>
    </xf>
    <xf numFmtId="202" fontId="79" fillId="0" borderId="127" xfId="2" applyNumberFormat="1" applyFont="1" applyFill="1" applyBorder="1" applyAlignment="1" applyProtection="1">
      <alignment horizontal="right" vertical="center"/>
      <protection hidden="1"/>
    </xf>
    <xf numFmtId="202" fontId="59" fillId="0" borderId="124" xfId="1" applyNumberFormat="1" applyFont="1" applyFill="1" applyBorder="1" applyAlignment="1" applyProtection="1">
      <alignment horizontal="right" vertical="center" shrinkToFit="1"/>
      <protection hidden="1"/>
    </xf>
    <xf numFmtId="202" fontId="1" fillId="0" borderId="125" xfId="1" applyNumberFormat="1" applyFont="1" applyBorder="1" applyAlignment="1" applyProtection="1">
      <alignment horizontal="right" vertical="center"/>
      <protection hidden="1"/>
    </xf>
    <xf numFmtId="202" fontId="1" fillId="0" borderId="126" xfId="1" applyNumberFormat="1" applyFont="1" applyBorder="1" applyAlignment="1" applyProtection="1">
      <alignment horizontal="right" vertical="center"/>
      <protection hidden="1"/>
    </xf>
    <xf numFmtId="202" fontId="1" fillId="0" borderId="127" xfId="1" applyNumberFormat="1" applyFont="1" applyBorder="1" applyAlignment="1" applyProtection="1">
      <alignment horizontal="right" vertical="center"/>
      <protection hidden="1"/>
    </xf>
    <xf numFmtId="202" fontId="1" fillId="0" borderId="139" xfId="1" applyNumberFormat="1" applyFont="1" applyBorder="1" applyAlignment="1" applyProtection="1">
      <alignment horizontal="right" vertical="center"/>
      <protection hidden="1"/>
    </xf>
    <xf numFmtId="202" fontId="1" fillId="0" borderId="87" xfId="1" applyNumberFormat="1" applyFont="1" applyBorder="1" applyAlignment="1" applyProtection="1">
      <alignment horizontal="right" vertical="center"/>
      <protection hidden="1"/>
    </xf>
    <xf numFmtId="202" fontId="1" fillId="0" borderId="54" xfId="1" applyNumberFormat="1" applyFont="1" applyBorder="1" applyAlignment="1" applyProtection="1">
      <alignment horizontal="right" vertical="center"/>
      <protection hidden="1"/>
    </xf>
    <xf numFmtId="205" fontId="42" fillId="6" borderId="124" xfId="8" applyNumberFormat="1" applyFont="1" applyFill="1" applyBorder="1" applyAlignment="1" applyProtection="1">
      <alignment horizontal="right" vertical="center" shrinkToFit="1"/>
      <protection hidden="1"/>
    </xf>
    <xf numFmtId="202" fontId="42" fillId="6" borderId="124" xfId="1" applyNumberFormat="1" applyFont="1" applyFill="1" applyBorder="1" applyAlignment="1" applyProtection="1">
      <alignment horizontal="right" vertical="center" shrinkToFit="1"/>
      <protection hidden="1"/>
    </xf>
    <xf numFmtId="202" fontId="42" fillId="0" borderId="124" xfId="8" applyNumberFormat="1" applyFont="1" applyBorder="1" applyAlignment="1" applyProtection="1">
      <alignment horizontal="right" vertical="center" shrinkToFit="1"/>
      <protection hidden="1"/>
    </xf>
    <xf numFmtId="0" fontId="74" fillId="0" borderId="402" xfId="8" applyNumberFormat="1" applyFont="1" applyBorder="1" applyAlignment="1">
      <alignment horizontal="center" vertical="center"/>
    </xf>
    <xf numFmtId="0" fontId="40" fillId="27" borderId="59" xfId="8" applyNumberFormat="1" applyFont="1" applyFill="1" applyBorder="1" applyAlignment="1" applyProtection="1">
      <alignment horizontal="center" vertical="center"/>
      <protection locked="0"/>
    </xf>
    <xf numFmtId="41" fontId="74" fillId="27" borderId="58" xfId="8" applyNumberFormat="1" applyFont="1" applyFill="1" applyBorder="1" applyAlignment="1" applyProtection="1">
      <alignment horizontal="center" vertical="center" wrapText="1"/>
      <protection locked="0"/>
    </xf>
    <xf numFmtId="0" fontId="40" fillId="27" borderId="118" xfId="8" applyNumberFormat="1" applyFont="1" applyFill="1" applyBorder="1" applyAlignment="1" applyProtection="1">
      <alignment horizontal="center" vertical="center" wrapText="1"/>
      <protection locked="0"/>
    </xf>
    <xf numFmtId="0" fontId="40" fillId="27" borderId="119" xfId="8" applyNumberFormat="1" applyFont="1" applyFill="1" applyBorder="1" applyAlignment="1" applyProtection="1">
      <alignment horizontal="center" vertical="center" wrapText="1"/>
      <protection locked="0"/>
    </xf>
    <xf numFmtId="0" fontId="40" fillId="27" borderId="122" xfId="8" applyNumberFormat="1" applyFont="1" applyFill="1" applyBorder="1" applyAlignment="1" applyProtection="1">
      <alignment horizontal="center" vertical="center" wrapText="1"/>
      <protection locked="0"/>
    </xf>
    <xf numFmtId="0" fontId="40" fillId="27" borderId="0" xfId="8" applyNumberFormat="1" applyFont="1" applyFill="1" applyAlignment="1" applyProtection="1">
      <alignment horizontal="center" vertical="center" wrapText="1"/>
      <protection locked="0"/>
    </xf>
    <xf numFmtId="0" fontId="40" fillId="27" borderId="123" xfId="8" applyNumberFormat="1" applyFont="1" applyFill="1" applyBorder="1" applyAlignment="1" applyProtection="1">
      <alignment horizontal="center" vertical="center" wrapText="1"/>
      <protection locked="0"/>
    </xf>
    <xf numFmtId="0" fontId="40" fillId="27" borderId="120" xfId="8" applyNumberFormat="1" applyFont="1" applyFill="1" applyBorder="1" applyAlignment="1" applyProtection="1">
      <alignment horizontal="center" vertical="center" wrapText="1"/>
      <protection locked="0"/>
    </xf>
    <xf numFmtId="0" fontId="40" fillId="27" borderId="117" xfId="8" applyNumberFormat="1" applyFont="1" applyFill="1" applyBorder="1" applyAlignment="1" applyProtection="1">
      <alignment horizontal="center" vertical="center" wrapText="1"/>
      <protection locked="0"/>
    </xf>
    <xf numFmtId="0" fontId="40" fillId="27" borderId="121" xfId="8" applyNumberFormat="1" applyFont="1" applyFill="1" applyBorder="1" applyAlignment="1" applyProtection="1">
      <alignment horizontal="center" vertical="center" wrapText="1"/>
      <protection locked="0"/>
    </xf>
    <xf numFmtId="204" fontId="40" fillId="0" borderId="133" xfId="1" applyNumberFormat="1" applyFont="1" applyBorder="1" applyAlignment="1" applyProtection="1">
      <alignment horizontal="right" vertical="center"/>
      <protection hidden="1"/>
    </xf>
    <xf numFmtId="204" fontId="40" fillId="0" borderId="134" xfId="1" applyNumberFormat="1" applyFont="1" applyBorder="1" applyAlignment="1" applyProtection="1">
      <alignment horizontal="right" vertical="center"/>
      <protection hidden="1"/>
    </xf>
    <xf numFmtId="204" fontId="40" fillId="0" borderId="135" xfId="1" applyNumberFormat="1" applyFont="1" applyBorder="1" applyAlignment="1" applyProtection="1">
      <alignment horizontal="right" vertical="center"/>
      <protection hidden="1"/>
    </xf>
    <xf numFmtId="204" fontId="40" fillId="0" borderId="137" xfId="1" applyNumberFormat="1" applyFont="1" applyBorder="1" applyAlignment="1" applyProtection="1">
      <alignment horizontal="right" vertical="center"/>
      <protection hidden="1"/>
    </xf>
    <xf numFmtId="0" fontId="101" fillId="6" borderId="125" xfId="8" applyNumberFormat="1" applyFont="1" applyFill="1" applyBorder="1" applyAlignment="1" applyProtection="1">
      <alignment horizontal="center" vertical="center"/>
      <protection hidden="1"/>
    </xf>
    <xf numFmtId="0" fontId="101" fillId="6" borderId="126" xfId="8" applyNumberFormat="1" applyFont="1" applyFill="1" applyBorder="1" applyAlignment="1" applyProtection="1">
      <alignment horizontal="center" vertical="center"/>
      <protection hidden="1"/>
    </xf>
    <xf numFmtId="0" fontId="101" fillId="6" borderId="127" xfId="8" applyNumberFormat="1" applyFont="1" applyFill="1" applyBorder="1" applyAlignment="1" applyProtection="1">
      <alignment horizontal="center" vertical="center"/>
      <protection hidden="1"/>
    </xf>
    <xf numFmtId="0" fontId="102" fillId="0" borderId="125" xfId="8" applyNumberFormat="1" applyFont="1" applyBorder="1" applyAlignment="1" applyProtection="1">
      <alignment horizontal="center" vertical="center"/>
      <protection hidden="1"/>
    </xf>
    <xf numFmtId="0" fontId="102" fillId="0" borderId="127" xfId="8" applyNumberFormat="1" applyFont="1" applyBorder="1" applyAlignment="1" applyProtection="1">
      <alignment horizontal="center" vertical="center"/>
      <protection hidden="1"/>
    </xf>
    <xf numFmtId="0" fontId="79" fillId="0" borderId="0" xfId="8" applyNumberFormat="1" applyFont="1" applyAlignment="1">
      <alignment horizontal="center" vertical="center"/>
    </xf>
    <xf numFmtId="0" fontId="101" fillId="27" borderId="59" xfId="8" applyNumberFormat="1" applyFont="1" applyFill="1" applyBorder="1" applyAlignment="1" applyProtection="1">
      <alignment horizontal="center" vertical="center"/>
      <protection locked="0"/>
    </xf>
    <xf numFmtId="0" fontId="101" fillId="27" borderId="87" xfId="8" applyNumberFormat="1" applyFont="1" applyFill="1" applyBorder="1" applyAlignment="1" applyProtection="1">
      <alignment horizontal="center" vertical="center"/>
      <protection locked="0"/>
    </xf>
    <xf numFmtId="0" fontId="101" fillId="27" borderId="54" xfId="8" applyNumberFormat="1" applyFont="1" applyFill="1" applyBorder="1" applyAlignment="1" applyProtection="1">
      <alignment horizontal="center" vertical="center"/>
      <protection locked="0"/>
    </xf>
    <xf numFmtId="0" fontId="102" fillId="31" borderId="126" xfId="8" applyNumberFormat="1" applyFont="1" applyFill="1" applyBorder="1" applyAlignment="1">
      <alignment horizontal="center" vertical="center"/>
    </xf>
    <xf numFmtId="0" fontId="79" fillId="27" borderId="59" xfId="8" applyNumberFormat="1" applyFont="1" applyFill="1" applyBorder="1" applyAlignment="1" applyProtection="1">
      <alignment horizontal="center" vertical="center" wrapText="1"/>
      <protection locked="0"/>
    </xf>
    <xf numFmtId="0" fontId="79" fillId="27" borderId="54" xfId="8" applyNumberFormat="1" applyFont="1" applyFill="1" applyBorder="1" applyAlignment="1" applyProtection="1">
      <alignment horizontal="center" vertical="center"/>
      <protection locked="0"/>
    </xf>
    <xf numFmtId="49" fontId="79" fillId="27" borderId="59" xfId="8" applyNumberFormat="1" applyFont="1" applyFill="1" applyBorder="1" applyAlignment="1" applyProtection="1">
      <alignment horizontal="center" vertical="center"/>
      <protection locked="0"/>
    </xf>
    <xf numFmtId="49" fontId="79" fillId="27" borderId="54" xfId="8" applyNumberFormat="1" applyFont="1" applyFill="1" applyBorder="1" applyAlignment="1" applyProtection="1">
      <alignment horizontal="center" vertical="center"/>
      <protection locked="0"/>
    </xf>
    <xf numFmtId="0" fontId="102" fillId="31" borderId="125" xfId="9" applyNumberFormat="1" applyFont="1" applyFill="1" applyBorder="1" applyAlignment="1" applyProtection="1">
      <alignment horizontal="center" vertical="center"/>
    </xf>
    <xf numFmtId="0" fontId="102" fillId="27" borderId="138" xfId="8" applyNumberFormat="1" applyFont="1" applyFill="1" applyBorder="1" applyAlignment="1" applyProtection="1">
      <alignment horizontal="center" vertical="center"/>
      <protection locked="0"/>
    </xf>
    <xf numFmtId="0" fontId="102" fillId="27" borderId="141" xfId="8" applyNumberFormat="1" applyFont="1" applyFill="1" applyBorder="1" applyAlignment="1" applyProtection="1">
      <alignment horizontal="center" vertical="center"/>
      <protection locked="0"/>
    </xf>
    <xf numFmtId="0" fontId="0" fillId="0" borderId="269" xfId="0" applyBorder="1" applyAlignment="1">
      <alignment horizontal="center" vertical="center"/>
    </xf>
    <xf numFmtId="0" fontId="0" fillId="0" borderId="4"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33" borderId="10" xfId="0" applyFill="1" applyBorder="1" applyAlignment="1">
      <alignment horizontal="center" vertical="center"/>
    </xf>
    <xf numFmtId="0" fontId="0" fillId="33" borderId="11" xfId="0" applyFill="1" applyBorder="1" applyAlignment="1">
      <alignment horizontal="center" vertical="center"/>
    </xf>
    <xf numFmtId="0" fontId="74" fillId="6" borderId="4" xfId="0" applyFont="1" applyFill="1" applyBorder="1" applyAlignment="1">
      <alignment horizontal="center" vertical="center"/>
    </xf>
    <xf numFmtId="0" fontId="74" fillId="6" borderId="11" xfId="0" applyFont="1" applyFill="1" applyBorder="1" applyAlignment="1">
      <alignment horizontal="center" vertical="center"/>
    </xf>
    <xf numFmtId="0" fontId="74" fillId="6" borderId="15" xfId="0" applyFont="1" applyFill="1" applyBorder="1" applyAlignment="1">
      <alignment horizontal="left" vertical="center"/>
    </xf>
    <xf numFmtId="0" fontId="74" fillId="6" borderId="6" xfId="0" applyFont="1" applyFill="1" applyBorder="1" applyAlignment="1">
      <alignment horizontal="left" vertical="center"/>
    </xf>
    <xf numFmtId="0" fontId="74" fillId="6" borderId="7" xfId="0" applyFont="1" applyFill="1" applyBorder="1" applyAlignment="1">
      <alignment horizontal="left" vertical="center"/>
    </xf>
    <xf numFmtId="41" fontId="40" fillId="6" borderId="15" xfId="0" applyNumberFormat="1" applyFont="1" applyFill="1" applyBorder="1" applyAlignment="1">
      <alignment horizontal="center" vertical="center"/>
    </xf>
    <xf numFmtId="41" fontId="40" fillId="6" borderId="6" xfId="0" applyNumberFormat="1" applyFont="1" applyFill="1" applyBorder="1" applyAlignment="1">
      <alignment horizontal="center" vertical="center"/>
    </xf>
    <xf numFmtId="41" fontId="40" fillId="6" borderId="7" xfId="0" applyNumberFormat="1" applyFont="1" applyFill="1" applyBorder="1" applyAlignment="1">
      <alignment horizontal="center" vertical="center"/>
    </xf>
    <xf numFmtId="0" fontId="40" fillId="6" borderId="15" xfId="0" applyFont="1" applyFill="1" applyBorder="1" applyAlignment="1">
      <alignment horizontal="left" vertical="center"/>
    </xf>
    <xf numFmtId="0" fontId="40" fillId="6" borderId="6" xfId="0" applyFont="1" applyFill="1" applyBorder="1" applyAlignment="1">
      <alignment horizontal="left" vertical="center"/>
    </xf>
    <xf numFmtId="0" fontId="40" fillId="6" borderId="7" xfId="0" applyFont="1" applyFill="1" applyBorder="1" applyAlignment="1">
      <alignment horizontal="left" vertical="center"/>
    </xf>
    <xf numFmtId="41" fontId="40" fillId="5" borderId="15" xfId="0" applyNumberFormat="1" applyFont="1" applyFill="1" applyBorder="1" applyAlignment="1">
      <alignment horizontal="center" vertical="center"/>
    </xf>
    <xf numFmtId="41" fontId="40" fillId="5" borderId="6" xfId="0" applyNumberFormat="1" applyFont="1" applyFill="1" applyBorder="1" applyAlignment="1">
      <alignment horizontal="center" vertical="center"/>
    </xf>
    <xf numFmtId="41" fontId="40" fillId="5" borderId="7" xfId="0" applyNumberFormat="1" applyFont="1" applyFill="1" applyBorder="1" applyAlignment="1">
      <alignment horizontal="center" vertical="center"/>
    </xf>
    <xf numFmtId="41" fontId="40" fillId="6" borderId="15" xfId="1" applyFont="1" applyFill="1" applyBorder="1" applyAlignment="1">
      <alignment horizontal="center" vertical="center"/>
    </xf>
    <xf numFmtId="41" fontId="40" fillId="6" borderId="6" xfId="1" applyFont="1" applyFill="1" applyBorder="1" applyAlignment="1">
      <alignment horizontal="center" vertical="center"/>
    </xf>
    <xf numFmtId="41" fontId="40" fillId="6" borderId="7" xfId="1" applyFont="1" applyFill="1" applyBorder="1" applyAlignment="1">
      <alignment horizontal="center" vertical="center"/>
    </xf>
    <xf numFmtId="0" fontId="74" fillId="0" borderId="15" xfId="0" applyFont="1" applyBorder="1">
      <alignment vertical="center"/>
    </xf>
    <xf numFmtId="0" fontId="74" fillId="0" borderId="6" xfId="0" applyFont="1" applyBorder="1">
      <alignment vertical="center"/>
    </xf>
    <xf numFmtId="0" fontId="74" fillId="0" borderId="7" xfId="0" applyFont="1" applyBorder="1">
      <alignment vertical="center"/>
    </xf>
    <xf numFmtId="0" fontId="40" fillId="0" borderId="15" xfId="0" applyFont="1" applyBorder="1" applyAlignment="1">
      <alignment horizontal="center" vertical="center"/>
    </xf>
    <xf numFmtId="0" fontId="40" fillId="0" borderId="6" xfId="0" applyFont="1" applyBorder="1" applyAlignment="1">
      <alignment horizontal="center" vertical="center"/>
    </xf>
    <xf numFmtId="0" fontId="40" fillId="0" borderId="7" xfId="0" applyFont="1" applyBorder="1" applyAlignment="1">
      <alignment horizontal="center" vertical="center"/>
    </xf>
    <xf numFmtId="41" fontId="40" fillId="0" borderId="15" xfId="0" applyNumberFormat="1" applyFont="1" applyBorder="1" applyAlignment="1">
      <alignment horizontal="center" vertical="center"/>
    </xf>
    <xf numFmtId="10" fontId="40" fillId="0" borderId="15" xfId="0" applyNumberFormat="1" applyFont="1" applyBorder="1" applyAlignment="1">
      <alignment horizontal="center" vertical="center"/>
    </xf>
    <xf numFmtId="0" fontId="95" fillId="0" borderId="2" xfId="0" applyFont="1" applyBorder="1" applyAlignment="1">
      <alignment horizontal="left" vertical="center"/>
    </xf>
    <xf numFmtId="0" fontId="95" fillId="0" borderId="14" xfId="0" applyFont="1" applyBorder="1" applyAlignment="1">
      <alignment horizontal="left" vertical="center"/>
    </xf>
    <xf numFmtId="0" fontId="95" fillId="0" borderId="3" xfId="0" applyFont="1" applyBorder="1" applyAlignment="1">
      <alignment horizontal="left" vertical="center"/>
    </xf>
    <xf numFmtId="0" fontId="95" fillId="0" borderId="5" xfId="0" applyFont="1" applyBorder="1" applyAlignment="1">
      <alignment horizontal="center" vertical="center"/>
    </xf>
    <xf numFmtId="0" fontId="95" fillId="0" borderId="15" xfId="0" applyFont="1" applyBorder="1" applyAlignment="1">
      <alignment horizontal="center" vertical="center"/>
    </xf>
    <xf numFmtId="0" fontId="95" fillId="0" borderId="6" xfId="0" applyFont="1" applyBorder="1" applyAlignment="1">
      <alignment horizontal="center" vertical="center"/>
    </xf>
    <xf numFmtId="0" fontId="95" fillId="0" borderId="7" xfId="0" applyFont="1" applyBorder="1" applyAlignment="1">
      <alignment horizontal="center" vertical="center"/>
    </xf>
    <xf numFmtId="0" fontId="96" fillId="33" borderId="2" xfId="0" applyFont="1" applyFill="1" applyBorder="1" applyAlignment="1">
      <alignment horizontal="left" vertical="center"/>
    </xf>
    <xf numFmtId="0" fontId="96" fillId="33" borderId="14" xfId="0" applyFont="1" applyFill="1" applyBorder="1" applyAlignment="1">
      <alignment horizontal="left" vertical="center"/>
    </xf>
    <xf numFmtId="0" fontId="96" fillId="33" borderId="3" xfId="0" applyFont="1" applyFill="1" applyBorder="1" applyAlignment="1">
      <alignment horizontal="left" vertical="center"/>
    </xf>
    <xf numFmtId="41" fontId="96" fillId="33" borderId="5" xfId="0" applyNumberFormat="1" applyFont="1" applyFill="1" applyBorder="1" applyAlignment="1">
      <alignment horizontal="center" vertical="center"/>
    </xf>
    <xf numFmtId="0" fontId="96" fillId="33" borderId="5" xfId="0" applyFont="1" applyFill="1" applyBorder="1" applyAlignment="1">
      <alignment horizontal="center" vertical="center"/>
    </xf>
    <xf numFmtId="0" fontId="96" fillId="33" borderId="15" xfId="0" applyFont="1" applyFill="1" applyBorder="1" applyAlignment="1">
      <alignment horizontal="center" vertical="center"/>
    </xf>
    <xf numFmtId="0" fontId="96" fillId="33" borderId="6" xfId="0" applyFont="1" applyFill="1" applyBorder="1" applyAlignment="1">
      <alignment horizontal="center" vertical="center"/>
    </xf>
    <xf numFmtId="0" fontId="96" fillId="33" borderId="7" xfId="0" applyFont="1" applyFill="1" applyBorder="1" applyAlignment="1">
      <alignment horizontal="center" vertical="center"/>
    </xf>
    <xf numFmtId="41" fontId="40" fillId="0" borderId="5" xfId="1" applyFont="1" applyBorder="1" applyAlignment="1">
      <alignment horizontal="center" vertical="center"/>
    </xf>
    <xf numFmtId="41" fontId="40" fillId="0" borderId="5" xfId="0" applyNumberFormat="1" applyFont="1" applyBorder="1" applyAlignment="1">
      <alignment horizontal="center" vertical="center"/>
    </xf>
    <xf numFmtId="0" fontId="40" fillId="6" borderId="6" xfId="0" applyFont="1" applyFill="1" applyBorder="1" applyAlignment="1">
      <alignment horizontal="center" vertical="center"/>
    </xf>
    <xf numFmtId="0" fontId="40" fillId="6" borderId="7" xfId="0" applyFont="1" applyFill="1" applyBorder="1" applyAlignment="1">
      <alignment horizontal="center" vertical="center"/>
    </xf>
    <xf numFmtId="0" fontId="40" fillId="6" borderId="15" xfId="0" applyFont="1" applyFill="1" applyBorder="1" applyAlignment="1">
      <alignment horizontal="center" vertical="center"/>
    </xf>
    <xf numFmtId="0" fontId="74" fillId="6" borderId="2" xfId="0" applyFont="1" applyFill="1" applyBorder="1" applyAlignment="1">
      <alignment horizontal="left" vertical="center"/>
    </xf>
    <xf numFmtId="0" fontId="74" fillId="6" borderId="14" xfId="0" applyFont="1" applyFill="1" applyBorder="1" applyAlignment="1">
      <alignment horizontal="left" vertical="center"/>
    </xf>
    <xf numFmtId="0" fontId="74" fillId="6" borderId="3" xfId="0" applyFont="1" applyFill="1" applyBorder="1" applyAlignment="1">
      <alignment horizontal="left" vertical="center"/>
    </xf>
    <xf numFmtId="0" fontId="40" fillId="6" borderId="10" xfId="0" applyFont="1" applyFill="1" applyBorder="1" applyAlignment="1">
      <alignment horizontal="center" vertical="center"/>
    </xf>
    <xf numFmtId="0" fontId="40" fillId="6" borderId="11" xfId="0" applyFont="1" applyFill="1" applyBorder="1" applyAlignment="1">
      <alignment horizontal="center" vertical="center"/>
    </xf>
    <xf numFmtId="0" fontId="40" fillId="5" borderId="6" xfId="0" applyFont="1" applyFill="1" applyBorder="1" applyAlignment="1">
      <alignment horizontal="center" vertical="center"/>
    </xf>
    <xf numFmtId="0" fontId="40" fillId="5" borderId="7" xfId="0" applyFont="1" applyFill="1" applyBorder="1" applyAlignment="1">
      <alignment horizontal="center" vertical="center"/>
    </xf>
    <xf numFmtId="0" fontId="40" fillId="5" borderId="15" xfId="0" applyFont="1" applyFill="1" applyBorder="1" applyAlignment="1">
      <alignment horizontal="left" vertical="center"/>
    </xf>
    <xf numFmtId="0" fontId="40" fillId="5" borderId="6" xfId="0" applyFont="1" applyFill="1" applyBorder="1" applyAlignment="1">
      <alignment horizontal="left" vertical="center"/>
    </xf>
    <xf numFmtId="0" fontId="40" fillId="5" borderId="7" xfId="0" applyFont="1" applyFill="1" applyBorder="1" applyAlignment="1">
      <alignment horizontal="left" vertical="center"/>
    </xf>
    <xf numFmtId="0" fontId="40" fillId="6" borderId="15" xfId="0" applyFont="1" applyFill="1" applyBorder="1" applyAlignment="1">
      <alignment horizontal="left" vertical="center" shrinkToFit="1"/>
    </xf>
    <xf numFmtId="0" fontId="40" fillId="6" borderId="6" xfId="0" applyFont="1" applyFill="1" applyBorder="1" applyAlignment="1">
      <alignment horizontal="left" vertical="center" shrinkToFit="1"/>
    </xf>
    <xf numFmtId="0" fontId="40" fillId="6" borderId="7" xfId="0" applyFont="1" applyFill="1" applyBorder="1" applyAlignment="1">
      <alignment horizontal="left" vertical="center" shrinkToFit="1"/>
    </xf>
    <xf numFmtId="195" fontId="40" fillId="0" borderId="15" xfId="1" applyNumberFormat="1" applyFont="1" applyBorder="1" applyAlignment="1">
      <alignment horizontal="center" vertical="center"/>
    </xf>
    <xf numFmtId="195" fontId="40" fillId="0" borderId="6" xfId="1" applyNumberFormat="1" applyFont="1" applyBorder="1" applyAlignment="1">
      <alignment horizontal="center" vertical="center"/>
    </xf>
    <xf numFmtId="195" fontId="40" fillId="0" borderId="7" xfId="1" applyNumberFormat="1" applyFont="1" applyBorder="1" applyAlignment="1">
      <alignment horizontal="center" vertical="center"/>
    </xf>
    <xf numFmtId="41" fontId="97" fillId="0" borderId="15" xfId="0" applyNumberFormat="1" applyFont="1" applyBorder="1" applyAlignment="1">
      <alignment horizontal="center" vertical="center"/>
    </xf>
    <xf numFmtId="0" fontId="97" fillId="0" borderId="6" xfId="0" applyFont="1" applyBorder="1" applyAlignment="1">
      <alignment horizontal="center" vertical="center"/>
    </xf>
    <xf numFmtId="0" fontId="97" fillId="0" borderId="7" xfId="0" applyFont="1" applyBorder="1" applyAlignment="1">
      <alignment horizontal="center" vertical="center"/>
    </xf>
    <xf numFmtId="0" fontId="96" fillId="33" borderId="4" xfId="0" applyFont="1" applyFill="1" applyBorder="1" applyAlignment="1">
      <alignment horizontal="left" vertical="center"/>
    </xf>
    <xf numFmtId="0" fontId="96" fillId="33" borderId="5" xfId="0" applyFont="1" applyFill="1" applyBorder="1" applyAlignment="1">
      <alignment horizontal="left" vertical="center"/>
    </xf>
    <xf numFmtId="41" fontId="96" fillId="33" borderId="15" xfId="0" applyNumberFormat="1" applyFont="1" applyFill="1" applyBorder="1" applyAlignment="1">
      <alignment horizontal="center" vertical="center"/>
    </xf>
    <xf numFmtId="0" fontId="74" fillId="0" borderId="5" xfId="0" applyFont="1" applyBorder="1" applyAlignment="1">
      <alignment horizontal="left" vertical="center"/>
    </xf>
    <xf numFmtId="41" fontId="40" fillId="0" borderId="15" xfId="1" applyFont="1" applyBorder="1" applyAlignment="1">
      <alignment horizontal="center" vertical="center"/>
    </xf>
    <xf numFmtId="41" fontId="40" fillId="0" borderId="6" xfId="1" applyFont="1" applyBorder="1" applyAlignment="1">
      <alignment horizontal="center" vertical="center"/>
    </xf>
    <xf numFmtId="41" fontId="40" fillId="0" borderId="7" xfId="1" applyFont="1" applyBorder="1" applyAlignment="1">
      <alignment horizontal="center" vertical="center"/>
    </xf>
    <xf numFmtId="41" fontId="97" fillId="0" borderId="15" xfId="1" applyFont="1" applyBorder="1" applyAlignment="1">
      <alignment horizontal="center" vertical="center"/>
    </xf>
    <xf numFmtId="41" fontId="97" fillId="0" borderId="6" xfId="1" applyFont="1" applyBorder="1" applyAlignment="1">
      <alignment horizontal="center" vertical="center"/>
    </xf>
    <xf numFmtId="41" fontId="97" fillId="0" borderId="7" xfId="1" applyFont="1" applyBorder="1" applyAlignment="1">
      <alignment horizontal="center" vertical="center"/>
    </xf>
    <xf numFmtId="190" fontId="40" fillId="0" borderId="15" xfId="2" applyNumberFormat="1" applyFont="1" applyBorder="1" applyAlignment="1">
      <alignment horizontal="center" vertical="center"/>
    </xf>
    <xf numFmtId="190" fontId="40" fillId="0" borderId="6" xfId="2" applyNumberFormat="1" applyFont="1" applyBorder="1" applyAlignment="1">
      <alignment horizontal="center" vertical="center"/>
    </xf>
    <xf numFmtId="190" fontId="40" fillId="0" borderId="7" xfId="2" applyNumberFormat="1" applyFont="1" applyBorder="1" applyAlignment="1">
      <alignment horizontal="center" vertical="center"/>
    </xf>
    <xf numFmtId="0" fontId="74" fillId="0" borderId="15" xfId="0" applyFont="1" applyBorder="1" applyAlignment="1">
      <alignment horizontal="left" vertical="center"/>
    </xf>
    <xf numFmtId="0" fontId="74" fillId="0" borderId="6" xfId="0" applyFont="1" applyBorder="1" applyAlignment="1">
      <alignment horizontal="left" vertical="center"/>
    </xf>
    <xf numFmtId="0" fontId="74" fillId="0" borderId="7" xfId="0" applyFont="1" applyBorder="1" applyAlignment="1">
      <alignment horizontal="left" vertical="center"/>
    </xf>
    <xf numFmtId="41" fontId="40" fillId="0" borderId="6" xfId="0" applyNumberFormat="1" applyFont="1" applyBorder="1" applyAlignment="1">
      <alignment horizontal="center" vertical="center"/>
    </xf>
    <xf numFmtId="41" fontId="40" fillId="0" borderId="7" xfId="0" applyNumberFormat="1" applyFont="1" applyBorder="1" applyAlignment="1">
      <alignment horizontal="center" vertical="center"/>
    </xf>
    <xf numFmtId="0" fontId="96" fillId="33" borderId="15" xfId="0" applyFont="1" applyFill="1" applyBorder="1" applyAlignment="1">
      <alignment horizontal="left" vertical="center"/>
    </xf>
    <xf numFmtId="0" fontId="96" fillId="33" borderId="6" xfId="0" applyFont="1" applyFill="1" applyBorder="1" applyAlignment="1">
      <alignment horizontal="left" vertical="center"/>
    </xf>
    <xf numFmtId="0" fontId="96" fillId="33" borderId="7" xfId="0" applyFont="1" applyFill="1" applyBorder="1" applyAlignment="1">
      <alignment horizontal="left" vertical="center"/>
    </xf>
    <xf numFmtId="10" fontId="96" fillId="33" borderId="15" xfId="0" applyNumberFormat="1" applyFont="1" applyFill="1" applyBorder="1" applyAlignment="1">
      <alignment horizontal="center" vertical="center"/>
    </xf>
    <xf numFmtId="0" fontId="40" fillId="0" borderId="6" xfId="0" applyFont="1" applyBorder="1" applyAlignment="1">
      <alignment horizontal="left" vertical="center"/>
    </xf>
    <xf numFmtId="0" fontId="40" fillId="0" borderId="7" xfId="0" applyFont="1" applyBorder="1" applyAlignment="1">
      <alignment horizontal="left" vertical="center"/>
    </xf>
    <xf numFmtId="0" fontId="94" fillId="0" borderId="1" xfId="0" applyFont="1" applyBorder="1" applyAlignment="1">
      <alignment horizontal="center" vertical="center"/>
    </xf>
    <xf numFmtId="41" fontId="94" fillId="0" borderId="1" xfId="0" applyNumberFormat="1" applyFont="1" applyBorder="1" applyAlignment="1">
      <alignment horizontal="center" vertical="center"/>
    </xf>
    <xf numFmtId="0" fontId="33" fillId="0" borderId="2" xfId="0" applyFont="1" applyBorder="1" applyAlignment="1">
      <alignment horizontal="left" vertical="center"/>
    </xf>
    <xf numFmtId="0" fontId="33" fillId="0" borderId="14" xfId="0" applyFont="1" applyBorder="1" applyAlignment="1">
      <alignment horizontal="left" vertical="center"/>
    </xf>
    <xf numFmtId="0" fontId="33" fillId="0" borderId="15" xfId="0" applyFont="1" applyBorder="1" applyAlignment="1">
      <alignment horizontal="center" vertical="center"/>
    </xf>
    <xf numFmtId="0" fontId="33" fillId="0" borderId="6" xfId="0" applyFont="1" applyBorder="1" applyAlignment="1">
      <alignment horizontal="center" vertical="center"/>
    </xf>
    <xf numFmtId="0" fontId="33" fillId="0" borderId="7" xfId="0" applyFont="1" applyBorder="1" applyAlignment="1">
      <alignment horizontal="center" vertical="center"/>
    </xf>
    <xf numFmtId="198" fontId="33" fillId="0" borderId="15" xfId="2" applyNumberFormat="1" applyFont="1" applyBorder="1" applyAlignment="1">
      <alignment horizontal="center" vertical="center"/>
    </xf>
    <xf numFmtId="198" fontId="33" fillId="0" borderId="6" xfId="2" applyNumberFormat="1" applyFont="1" applyBorder="1" applyAlignment="1">
      <alignment horizontal="center" vertical="center"/>
    </xf>
    <xf numFmtId="198" fontId="33" fillId="0" borderId="7" xfId="2" applyNumberFormat="1" applyFont="1" applyBorder="1" applyAlignment="1">
      <alignment horizontal="center" vertical="center"/>
    </xf>
    <xf numFmtId="0" fontId="95" fillId="0" borderId="6" xfId="0" applyFont="1" applyBorder="1" applyAlignment="1">
      <alignment horizontal="left" vertical="center"/>
    </xf>
    <xf numFmtId="0" fontId="95" fillId="0" borderId="7" xfId="0" applyFont="1" applyBorder="1" applyAlignment="1">
      <alignment horizontal="left" vertical="center"/>
    </xf>
    <xf numFmtId="41" fontId="95" fillId="0" borderId="15" xfId="0" applyNumberFormat="1" applyFont="1" applyBorder="1" applyAlignment="1">
      <alignment horizontal="center" vertical="center"/>
    </xf>
    <xf numFmtId="199" fontId="40" fillId="0" borderId="15" xfId="0" applyNumberFormat="1" applyFont="1" applyBorder="1" applyAlignment="1">
      <alignment horizontal="center" vertical="center"/>
    </xf>
    <xf numFmtId="199" fontId="40" fillId="0" borderId="6" xfId="0" applyNumberFormat="1" applyFont="1" applyBorder="1" applyAlignment="1">
      <alignment horizontal="center" vertical="center"/>
    </xf>
    <xf numFmtId="199" fontId="40" fillId="0" borderId="7" xfId="0" applyNumberFormat="1" applyFont="1" applyBorder="1" applyAlignment="1">
      <alignment horizontal="center" vertical="center"/>
    </xf>
    <xf numFmtId="0" fontId="0" fillId="0" borderId="6" xfId="0" applyBorder="1" applyAlignment="1">
      <alignment horizontal="center" vertical="center"/>
    </xf>
    <xf numFmtId="0" fontId="90" fillId="33" borderId="10" xfId="0" applyFont="1" applyFill="1" applyBorder="1" applyAlignment="1">
      <alignment horizontal="left" vertical="center"/>
    </xf>
    <xf numFmtId="0" fontId="90" fillId="33" borderId="11" xfId="0" applyFont="1" applyFill="1" applyBorder="1" applyAlignment="1">
      <alignment horizontal="left" vertical="center"/>
    </xf>
    <xf numFmtId="0" fontId="5" fillId="3" borderId="2" xfId="0" applyFont="1" applyFill="1" applyBorder="1" applyAlignment="1" applyProtection="1">
      <alignment horizontal="center" vertical="center"/>
      <protection locked="0"/>
    </xf>
    <xf numFmtId="0" fontId="5" fillId="3" borderId="14" xfId="0" applyFont="1" applyFill="1" applyBorder="1" applyAlignment="1" applyProtection="1">
      <alignment horizontal="center" vertical="center"/>
      <protection locked="0"/>
    </xf>
    <xf numFmtId="0" fontId="5" fillId="3" borderId="3" xfId="0" applyFont="1" applyFill="1" applyBorder="1" applyAlignment="1" applyProtection="1">
      <alignment horizontal="center" vertical="center"/>
      <protection locked="0"/>
    </xf>
    <xf numFmtId="0" fontId="5" fillId="3" borderId="12" xfId="0" applyFont="1" applyFill="1" applyBorder="1" applyAlignment="1" applyProtection="1">
      <alignment horizontal="center" vertical="center"/>
      <protection locked="0"/>
    </xf>
    <xf numFmtId="0" fontId="5" fillId="3" borderId="1" xfId="0" applyFont="1" applyFill="1" applyBorder="1" applyAlignment="1" applyProtection="1">
      <alignment horizontal="center" vertical="center"/>
      <protection locked="0"/>
    </xf>
    <xf numFmtId="0" fontId="5" fillId="3" borderId="13" xfId="0" applyFont="1" applyFill="1" applyBorder="1" applyAlignment="1" applyProtection="1">
      <alignment horizontal="center" vertical="center"/>
      <protection locked="0"/>
    </xf>
    <xf numFmtId="0" fontId="5" fillId="3" borderId="15" xfId="0" applyFont="1" applyFill="1" applyBorder="1" applyAlignment="1" applyProtection="1">
      <alignment horizontal="center" vertical="center"/>
      <protection locked="0"/>
    </xf>
    <xf numFmtId="0" fontId="5" fillId="3" borderId="7" xfId="0" applyFont="1" applyFill="1" applyBorder="1" applyAlignment="1" applyProtection="1">
      <alignment horizontal="center" vertical="center"/>
      <protection locked="0"/>
    </xf>
    <xf numFmtId="0" fontId="168" fillId="14" borderId="239" xfId="0" applyFont="1" applyFill="1" applyBorder="1" applyAlignment="1">
      <alignment horizontal="center" vertical="center"/>
    </xf>
    <xf numFmtId="0" fontId="168" fillId="14" borderId="242" xfId="0" applyFont="1" applyFill="1" applyBorder="1" applyAlignment="1">
      <alignment horizontal="center" vertical="center"/>
    </xf>
    <xf numFmtId="0" fontId="168" fillId="14" borderId="240" xfId="0" applyFont="1" applyFill="1" applyBorder="1" applyAlignment="1">
      <alignment horizontal="center" vertical="center"/>
    </xf>
    <xf numFmtId="0" fontId="168" fillId="14" borderId="243" xfId="0" applyFont="1" applyFill="1" applyBorder="1" applyAlignment="1">
      <alignment horizontal="center" vertical="center"/>
    </xf>
    <xf numFmtId="0" fontId="168" fillId="14" borderId="240" xfId="0" applyFont="1" applyFill="1" applyBorder="1" applyAlignment="1">
      <alignment horizontal="center" vertical="center" wrapText="1"/>
    </xf>
    <xf numFmtId="0" fontId="168" fillId="14" borderId="241" xfId="0" applyFont="1" applyFill="1" applyBorder="1" applyAlignment="1">
      <alignment horizontal="center" vertical="center" wrapText="1"/>
    </xf>
    <xf numFmtId="0" fontId="168" fillId="14" borderId="244" xfId="0" applyFont="1" applyFill="1" applyBorder="1" applyAlignment="1">
      <alignment horizontal="center" vertical="center"/>
    </xf>
    <xf numFmtId="0" fontId="5" fillId="3" borderId="6" xfId="0" applyFont="1" applyFill="1" applyBorder="1" applyAlignment="1" applyProtection="1">
      <alignment horizontal="center" vertical="center"/>
      <protection locked="0"/>
    </xf>
    <xf numFmtId="10" fontId="5" fillId="5" borderId="0" xfId="0" applyNumberFormat="1" applyFont="1" applyFill="1" applyAlignment="1" applyProtection="1">
      <alignment horizontal="center" vertical="center"/>
      <protection locked="0"/>
    </xf>
    <xf numFmtId="0" fontId="73" fillId="0" borderId="0" xfId="0" applyFont="1" applyAlignment="1">
      <alignment horizontal="center" vertical="center" shrinkToFit="1"/>
    </xf>
    <xf numFmtId="0" fontId="28" fillId="0" borderId="0" xfId="0" applyFont="1" applyAlignment="1">
      <alignment horizontal="center" vertical="center" shrinkToFit="1"/>
    </xf>
    <xf numFmtId="0" fontId="149" fillId="0" borderId="0" xfId="0" applyFont="1" applyAlignment="1">
      <alignment horizontal="center" vertical="center"/>
    </xf>
    <xf numFmtId="0" fontId="150" fillId="0" borderId="0" xfId="0" applyFont="1" applyAlignment="1">
      <alignment horizontal="center" vertical="center"/>
    </xf>
    <xf numFmtId="0" fontId="0" fillId="0" borderId="0" xfId="0" applyAlignment="1">
      <alignment horizontal="center" vertical="center"/>
    </xf>
    <xf numFmtId="0" fontId="28" fillId="0" borderId="59" xfId="0" applyFont="1" applyBorder="1" applyAlignment="1">
      <alignment horizontal="center" vertical="center"/>
    </xf>
    <xf numFmtId="0" fontId="28" fillId="0" borderId="87" xfId="0" applyFont="1" applyBorder="1" applyAlignment="1">
      <alignment horizontal="center" vertical="center"/>
    </xf>
    <xf numFmtId="0" fontId="28" fillId="0" borderId="54" xfId="0" applyFont="1" applyBorder="1" applyAlignment="1">
      <alignment horizontal="center" vertical="center"/>
    </xf>
    <xf numFmtId="0" fontId="0" fillId="0" borderId="122" xfId="0" applyBorder="1" applyAlignment="1">
      <alignment horizontal="center" vertical="center"/>
    </xf>
    <xf numFmtId="0" fontId="0" fillId="0" borderId="123" xfId="0" applyBorder="1" applyAlignment="1">
      <alignment horizontal="center" vertical="center"/>
    </xf>
    <xf numFmtId="0" fontId="0" fillId="0" borderId="120" xfId="0" applyBorder="1" applyAlignment="1">
      <alignment horizontal="center" vertical="center"/>
    </xf>
    <xf numFmtId="0" fontId="0" fillId="0" borderId="117" xfId="0" applyBorder="1" applyAlignment="1">
      <alignment horizontal="center" vertical="center"/>
    </xf>
    <xf numFmtId="0" fontId="0" fillId="0" borderId="121" xfId="0" applyBorder="1" applyAlignment="1">
      <alignment horizontal="center" vertical="center"/>
    </xf>
    <xf numFmtId="187" fontId="166" fillId="0" borderId="31" xfId="0" applyNumberFormat="1" applyFont="1" applyBorder="1" applyAlignment="1">
      <alignment horizontal="right" vertical="center" indent="1"/>
    </xf>
    <xf numFmtId="0" fontId="165" fillId="47" borderId="0" xfId="0" applyFont="1" applyFill="1" applyAlignment="1">
      <alignment horizontal="center" vertical="center"/>
    </xf>
    <xf numFmtId="0" fontId="178" fillId="31" borderId="31" xfId="0" applyFont="1" applyFill="1" applyBorder="1" applyAlignment="1">
      <alignment horizontal="distributed" vertical="center" indent="1"/>
    </xf>
    <xf numFmtId="0" fontId="178" fillId="31" borderId="25" xfId="0" applyFont="1" applyFill="1" applyBorder="1" applyAlignment="1">
      <alignment horizontal="distributed" vertical="center" indent="1"/>
    </xf>
    <xf numFmtId="10" fontId="178" fillId="0" borderId="31" xfId="2" applyNumberFormat="1" applyFont="1" applyFill="1" applyBorder="1" applyAlignment="1">
      <alignment horizontal="center" vertical="center" wrapText="1"/>
    </xf>
    <xf numFmtId="0" fontId="178" fillId="31" borderId="24" xfId="0" applyFont="1" applyFill="1" applyBorder="1" applyAlignment="1">
      <alignment horizontal="distributed" vertical="center" indent="1"/>
    </xf>
    <xf numFmtId="0" fontId="41" fillId="47" borderId="45" xfId="0" applyFont="1" applyFill="1" applyBorder="1" applyAlignment="1">
      <alignment horizontal="distributed" vertical="center" wrapText="1" indent="1"/>
    </xf>
    <xf numFmtId="0" fontId="41" fillId="47" borderId="47" xfId="0" applyFont="1" applyFill="1" applyBorder="1" applyAlignment="1">
      <alignment horizontal="distributed" vertical="center" indent="1"/>
    </xf>
    <xf numFmtId="187" fontId="28" fillId="0" borderId="42" xfId="0" applyNumberFormat="1" applyFont="1" applyBorder="1" applyAlignment="1">
      <alignment horizontal="right" vertical="center" indent="1" shrinkToFit="1"/>
    </xf>
    <xf numFmtId="187" fontId="28" fillId="0" borderId="33" xfId="0" applyNumberFormat="1" applyFont="1" applyBorder="1" applyAlignment="1">
      <alignment horizontal="right" vertical="center" indent="1" shrinkToFit="1"/>
    </xf>
    <xf numFmtId="187" fontId="28" fillId="0" borderId="26" xfId="0" applyNumberFormat="1" applyFont="1" applyBorder="1" applyAlignment="1">
      <alignment horizontal="right" vertical="center" indent="1" shrinkToFit="1"/>
    </xf>
    <xf numFmtId="187" fontId="28" fillId="0" borderId="27" xfId="0" applyNumberFormat="1" applyFont="1" applyBorder="1" applyAlignment="1">
      <alignment horizontal="right" vertical="center" indent="1" shrinkToFit="1"/>
    </xf>
    <xf numFmtId="179" fontId="26" fillId="16" borderId="368" xfId="0" applyNumberFormat="1" applyFont="1" applyFill="1" applyBorder="1" applyAlignment="1" applyProtection="1">
      <alignment horizontal="center" vertical="center"/>
      <protection locked="0"/>
    </xf>
    <xf numFmtId="179" fontId="26" fillId="16" borderId="295" xfId="0" applyNumberFormat="1" applyFont="1" applyFill="1" applyBorder="1" applyAlignment="1" applyProtection="1">
      <alignment horizontal="center" vertical="center"/>
      <protection locked="0"/>
    </xf>
    <xf numFmtId="179" fontId="26" fillId="16" borderId="296" xfId="0" applyNumberFormat="1" applyFont="1" applyFill="1" applyBorder="1" applyAlignment="1" applyProtection="1">
      <alignment horizontal="center" vertical="center"/>
      <protection locked="0"/>
    </xf>
    <xf numFmtId="179" fontId="26" fillId="16" borderId="238" xfId="0" applyNumberFormat="1" applyFont="1" applyFill="1" applyBorder="1" applyAlignment="1" applyProtection="1">
      <alignment horizontal="center" vertical="center"/>
      <protection locked="0"/>
    </xf>
    <xf numFmtId="179" fontId="26" fillId="16" borderId="35" xfId="0" applyNumberFormat="1" applyFont="1" applyFill="1" applyBorder="1" applyAlignment="1" applyProtection="1">
      <alignment horizontal="center" vertical="center"/>
      <protection locked="0"/>
    </xf>
    <xf numFmtId="179" fontId="26" fillId="16" borderId="369" xfId="0" applyNumberFormat="1" applyFont="1" applyFill="1" applyBorder="1" applyAlignment="1" applyProtection="1">
      <alignment horizontal="center" vertical="center"/>
      <protection locked="0"/>
    </xf>
    <xf numFmtId="41" fontId="33" fillId="12" borderId="0" xfId="1" applyFont="1" applyFill="1" applyBorder="1" applyAlignment="1">
      <alignment horizontal="center" vertical="center"/>
    </xf>
    <xf numFmtId="41" fontId="33" fillId="12" borderId="35" xfId="1" applyFont="1" applyFill="1" applyBorder="1" applyAlignment="1">
      <alignment horizontal="center" vertical="center"/>
    </xf>
    <xf numFmtId="0" fontId="44" fillId="31" borderId="31" xfId="0" applyFont="1" applyFill="1" applyBorder="1" applyAlignment="1">
      <alignment horizontal="distributed" vertical="center" indent="1"/>
    </xf>
    <xf numFmtId="0" fontId="44" fillId="31" borderId="25" xfId="0" applyFont="1" applyFill="1" applyBorder="1" applyAlignment="1">
      <alignment horizontal="distributed" vertical="center" indent="1"/>
    </xf>
    <xf numFmtId="187" fontId="183" fillId="0" borderId="298" xfId="0" applyNumberFormat="1" applyFont="1" applyBorder="1" applyAlignment="1">
      <alignment horizontal="center" vertical="center"/>
    </xf>
    <xf numFmtId="187" fontId="183" fillId="0" borderId="299" xfId="0" applyNumberFormat="1" applyFont="1" applyBorder="1" applyAlignment="1">
      <alignment horizontal="center" vertical="center"/>
    </xf>
    <xf numFmtId="0" fontId="45" fillId="31" borderId="25" xfId="0" applyFont="1" applyFill="1" applyBorder="1" applyAlignment="1">
      <alignment horizontal="distributed" vertical="center" indent="1"/>
    </xf>
    <xf numFmtId="0" fontId="45" fillId="31" borderId="24" xfId="0" applyFont="1" applyFill="1" applyBorder="1" applyAlignment="1">
      <alignment horizontal="distributed" vertical="center" indent="1"/>
    </xf>
    <xf numFmtId="187" fontId="166" fillId="0" borderId="24" xfId="0" applyNumberFormat="1" applyFont="1" applyBorder="1" applyAlignment="1">
      <alignment horizontal="right" vertical="center" indent="1"/>
    </xf>
    <xf numFmtId="187" fontId="166" fillId="0" borderId="30" xfId="0" applyNumberFormat="1" applyFont="1" applyBorder="1" applyAlignment="1">
      <alignment horizontal="right" vertical="center" indent="1"/>
    </xf>
    <xf numFmtId="0" fontId="26" fillId="11" borderId="29" xfId="0" applyFont="1" applyFill="1" applyBorder="1" applyAlignment="1">
      <alignment horizontal="left" vertical="center" shrinkToFit="1"/>
    </xf>
    <xf numFmtId="0" fontId="26" fillId="13" borderId="26" xfId="0" applyFont="1" applyFill="1" applyBorder="1" applyAlignment="1">
      <alignment horizontal="center" vertical="center"/>
    </xf>
    <xf numFmtId="0" fontId="26" fillId="13" borderId="27" xfId="0" applyFont="1" applyFill="1" applyBorder="1" applyAlignment="1">
      <alignment horizontal="center" vertical="center"/>
    </xf>
    <xf numFmtId="0" fontId="26" fillId="13" borderId="28" xfId="0" applyFont="1" applyFill="1" applyBorder="1" applyAlignment="1">
      <alignment horizontal="center" vertical="center"/>
    </xf>
    <xf numFmtId="0" fontId="41" fillId="47" borderId="36" xfId="0" applyFont="1" applyFill="1" applyBorder="1" applyAlignment="1">
      <alignment horizontal="distributed" vertical="center" indent="2"/>
    </xf>
    <xf numFmtId="0" fontId="41" fillId="47" borderId="34" xfId="0" applyFont="1" applyFill="1" applyBorder="1" applyAlignment="1">
      <alignment horizontal="distributed" vertical="center" indent="2"/>
    </xf>
    <xf numFmtId="0" fontId="41" fillId="47" borderId="303" xfId="0" applyFont="1" applyFill="1" applyBorder="1" applyAlignment="1">
      <alignment horizontal="distributed" vertical="center"/>
    </xf>
    <xf numFmtId="0" fontId="41" fillId="47" borderId="304" xfId="0" applyFont="1" applyFill="1" applyBorder="1" applyAlignment="1">
      <alignment horizontal="distributed" vertical="center"/>
    </xf>
    <xf numFmtId="0" fontId="41" fillId="47" borderId="299" xfId="0" applyFont="1" applyFill="1" applyBorder="1" applyAlignment="1">
      <alignment horizontal="center" vertical="center"/>
    </xf>
    <xf numFmtId="0" fontId="41" fillId="47" borderId="363" xfId="0" applyFont="1" applyFill="1" applyBorder="1" applyAlignment="1">
      <alignment horizontal="center" vertical="center"/>
    </xf>
    <xf numFmtId="41" fontId="44" fillId="12" borderId="236" xfId="0" applyNumberFormat="1" applyFont="1" applyFill="1" applyBorder="1" applyAlignment="1">
      <alignment horizontal="center" vertical="center"/>
    </xf>
    <xf numFmtId="41" fontId="44" fillId="12" borderId="0" xfId="0" applyNumberFormat="1" applyFont="1" applyFill="1" applyAlignment="1">
      <alignment horizontal="center" vertical="center"/>
    </xf>
    <xf numFmtId="41" fontId="44" fillId="12" borderId="364" xfId="0" applyNumberFormat="1" applyFont="1" applyFill="1" applyBorder="1" applyAlignment="1">
      <alignment horizontal="center" vertical="center"/>
    </xf>
    <xf numFmtId="41" fontId="44" fillId="12" borderId="299" xfId="0" applyNumberFormat="1" applyFont="1" applyFill="1" applyBorder="1" applyAlignment="1">
      <alignment horizontal="center" vertical="center"/>
    </xf>
    <xf numFmtId="187" fontId="28" fillId="13" borderId="368" xfId="0" applyNumberFormat="1" applyFont="1" applyFill="1" applyBorder="1" applyAlignment="1" applyProtection="1">
      <alignment horizontal="right" vertical="center"/>
      <protection locked="0"/>
    </xf>
    <xf numFmtId="187" fontId="28" fillId="13" borderId="295" xfId="0" applyNumberFormat="1" applyFont="1" applyFill="1" applyBorder="1" applyAlignment="1" applyProtection="1">
      <alignment horizontal="right" vertical="center"/>
      <protection locked="0"/>
    </xf>
    <xf numFmtId="187" fontId="28" fillId="13" borderId="350" xfId="0" applyNumberFormat="1" applyFont="1" applyFill="1" applyBorder="1" applyAlignment="1" applyProtection="1">
      <alignment horizontal="right" vertical="center"/>
      <protection locked="0"/>
    </xf>
    <xf numFmtId="187" fontId="28" fillId="13" borderId="297" xfId="0" applyNumberFormat="1" applyFont="1" applyFill="1" applyBorder="1" applyAlignment="1" applyProtection="1">
      <alignment horizontal="right" vertical="center"/>
      <protection locked="0"/>
    </xf>
    <xf numFmtId="0" fontId="61" fillId="47" borderId="36" xfId="0" applyFont="1" applyFill="1" applyBorder="1">
      <alignment vertical="center"/>
    </xf>
    <xf numFmtId="0" fontId="61" fillId="47" borderId="34" xfId="0" applyFont="1" applyFill="1" applyBorder="1">
      <alignment vertical="center"/>
    </xf>
    <xf numFmtId="0" fontId="26" fillId="0" borderId="0" xfId="0" applyFont="1" applyAlignment="1">
      <alignment horizontal="right" vertical="center"/>
    </xf>
    <xf numFmtId="0" fontId="41" fillId="47" borderId="153" xfId="0" applyFont="1" applyFill="1" applyBorder="1" applyAlignment="1">
      <alignment horizontal="center" vertical="center"/>
    </xf>
    <xf numFmtId="0" fontId="41" fillId="47" borderId="46" xfId="0" applyFont="1" applyFill="1" applyBorder="1" applyAlignment="1">
      <alignment horizontal="center" vertical="center"/>
    </xf>
    <xf numFmtId="0" fontId="41" fillId="47" borderId="155" xfId="0" applyFont="1" applyFill="1" applyBorder="1" applyAlignment="1">
      <alignment horizontal="center" vertical="center"/>
    </xf>
    <xf numFmtId="0" fontId="41" fillId="47" borderId="154" xfId="0" applyFont="1" applyFill="1" applyBorder="1" applyAlignment="1">
      <alignment horizontal="center" vertical="center"/>
    </xf>
    <xf numFmtId="0" fontId="33" fillId="31" borderId="37" xfId="0" applyFont="1" applyFill="1" applyBorder="1" applyAlignment="1">
      <alignment horizontal="center" vertical="center"/>
    </xf>
    <xf numFmtId="0" fontId="26" fillId="0" borderId="25" xfId="0" applyFont="1" applyBorder="1" applyAlignment="1">
      <alignment horizontal="center" vertical="center"/>
    </xf>
    <xf numFmtId="0" fontId="26" fillId="0" borderId="24" xfId="0" applyFont="1" applyBorder="1" applyAlignment="1">
      <alignment horizontal="center" vertical="center"/>
    </xf>
    <xf numFmtId="0" fontId="26" fillId="0" borderId="30" xfId="0" applyFont="1" applyBorder="1" applyAlignment="1">
      <alignment horizontal="center" vertical="center"/>
    </xf>
    <xf numFmtId="41" fontId="33" fillId="12" borderId="153" xfId="1" applyFont="1" applyFill="1" applyBorder="1" applyAlignment="1">
      <alignment horizontal="center" vertical="center"/>
    </xf>
    <xf numFmtId="41" fontId="33" fillId="12" borderId="155" xfId="1" applyFont="1" applyFill="1" applyBorder="1" applyAlignment="1">
      <alignment horizontal="center" vertical="center"/>
    </xf>
    <xf numFmtId="41" fontId="33" fillId="12" borderId="154" xfId="1" applyFont="1" applyFill="1" applyBorder="1" applyAlignment="1">
      <alignment horizontal="center" vertical="center"/>
    </xf>
    <xf numFmtId="10" fontId="33" fillId="12" borderId="237" xfId="2" applyNumberFormat="1" applyFont="1" applyFill="1" applyBorder="1" applyAlignment="1">
      <alignment horizontal="center" vertical="center"/>
    </xf>
    <xf numFmtId="10" fontId="33" fillId="12" borderId="47" xfId="2" applyNumberFormat="1" applyFont="1" applyFill="1" applyBorder="1" applyAlignment="1">
      <alignment horizontal="center" vertical="center"/>
    </xf>
    <xf numFmtId="10" fontId="33" fillId="12" borderId="48" xfId="2" applyNumberFormat="1" applyFont="1" applyFill="1" applyBorder="1" applyAlignment="1">
      <alignment horizontal="center" vertical="center"/>
    </xf>
    <xf numFmtId="10" fontId="33" fillId="12" borderId="236" xfId="2" applyNumberFormat="1" applyFont="1" applyFill="1" applyBorder="1" applyAlignment="1">
      <alignment horizontal="center" vertical="center"/>
    </xf>
    <xf numFmtId="10" fontId="33" fillId="12" borderId="0" xfId="2" applyNumberFormat="1" applyFont="1" applyFill="1" applyBorder="1" applyAlignment="1">
      <alignment horizontal="center" vertical="center"/>
    </xf>
    <xf numFmtId="10" fontId="33" fillId="12" borderId="46" xfId="2" applyNumberFormat="1" applyFont="1" applyFill="1" applyBorder="1" applyAlignment="1">
      <alignment horizontal="center" vertical="center"/>
    </xf>
    <xf numFmtId="10" fontId="33" fillId="12" borderId="238" xfId="2" applyNumberFormat="1" applyFont="1" applyFill="1" applyBorder="1" applyAlignment="1">
      <alignment horizontal="center" vertical="center"/>
    </xf>
    <xf numFmtId="10" fontId="33" fillId="12" borderId="35" xfId="2" applyNumberFormat="1" applyFont="1" applyFill="1" applyBorder="1" applyAlignment="1">
      <alignment horizontal="center" vertical="center"/>
    </xf>
    <xf numFmtId="10" fontId="33" fillId="12" borderId="44" xfId="2" applyNumberFormat="1" applyFont="1" applyFill="1" applyBorder="1" applyAlignment="1">
      <alignment horizontal="center" vertical="center"/>
    </xf>
    <xf numFmtId="0" fontId="26" fillId="16" borderId="347" xfId="0" applyFont="1" applyFill="1" applyBorder="1" applyAlignment="1" applyProtection="1">
      <alignment horizontal="center" vertical="center"/>
      <protection locked="0"/>
    </xf>
    <xf numFmtId="0" fontId="26" fillId="16" borderId="343" xfId="0" applyFont="1" applyFill="1" applyBorder="1" applyAlignment="1" applyProtection="1">
      <alignment horizontal="center" vertical="center"/>
      <protection locked="0"/>
    </xf>
    <xf numFmtId="41" fontId="26" fillId="13" borderId="343" xfId="1" applyFont="1" applyFill="1" applyBorder="1" applyAlignment="1" applyProtection="1">
      <alignment horizontal="center" vertical="center"/>
      <protection locked="0"/>
    </xf>
    <xf numFmtId="41" fontId="26" fillId="13" borderId="345" xfId="1" applyFont="1" applyFill="1" applyBorder="1" applyAlignment="1" applyProtection="1">
      <alignment horizontal="center" vertical="center"/>
      <protection locked="0"/>
    </xf>
    <xf numFmtId="0" fontId="44" fillId="31" borderId="24" xfId="0" applyFont="1" applyFill="1" applyBorder="1" applyAlignment="1">
      <alignment horizontal="distributed" vertical="center" indent="1"/>
    </xf>
    <xf numFmtId="187" fontId="28" fillId="0" borderId="24" xfId="0" applyNumberFormat="1" applyFont="1" applyBorder="1" applyAlignment="1">
      <alignment horizontal="right" vertical="center" indent="1"/>
    </xf>
    <xf numFmtId="187" fontId="28" fillId="0" borderId="30" xfId="0" applyNumberFormat="1" applyFont="1" applyBorder="1" applyAlignment="1">
      <alignment horizontal="right" vertical="center" indent="1"/>
    </xf>
    <xf numFmtId="41" fontId="26" fillId="12" borderId="305" xfId="0" applyNumberFormat="1" applyFont="1" applyFill="1" applyBorder="1" applyAlignment="1">
      <alignment horizontal="center" vertical="center"/>
    </xf>
    <xf numFmtId="41" fontId="26" fillId="12" borderId="314" xfId="0" applyNumberFormat="1" applyFont="1" applyFill="1" applyBorder="1" applyAlignment="1">
      <alignment horizontal="center" vertical="center"/>
    </xf>
    <xf numFmtId="185" fontId="26" fillId="16" borderId="365" xfId="1" applyNumberFormat="1" applyFont="1" applyFill="1" applyBorder="1" applyAlignment="1" applyProtection="1">
      <alignment horizontal="center" vertical="center"/>
      <protection locked="0"/>
    </xf>
    <xf numFmtId="185" fontId="26" fillId="16" borderId="366" xfId="1" applyNumberFormat="1" applyFont="1" applyFill="1" applyBorder="1" applyAlignment="1" applyProtection="1">
      <alignment horizontal="center" vertical="center"/>
      <protection locked="0"/>
    </xf>
    <xf numFmtId="187" fontId="28" fillId="0" borderId="31" xfId="0" applyNumberFormat="1" applyFont="1" applyBorder="1" applyAlignment="1">
      <alignment horizontal="right" vertical="center" indent="1"/>
    </xf>
    <xf numFmtId="187" fontId="26" fillId="0" borderId="24" xfId="0" applyNumberFormat="1" applyFont="1" applyBorder="1" applyAlignment="1">
      <alignment horizontal="left" vertical="center" indent="1"/>
    </xf>
    <xf numFmtId="41" fontId="26" fillId="13" borderId="305" xfId="1" applyFont="1" applyFill="1" applyBorder="1" applyAlignment="1" applyProtection="1">
      <alignment horizontal="center" vertical="center"/>
      <protection locked="0"/>
    </xf>
    <xf numFmtId="41" fontId="44" fillId="12" borderId="332" xfId="1" applyFont="1" applyFill="1" applyBorder="1" applyAlignment="1">
      <alignment vertical="center"/>
    </xf>
    <xf numFmtId="0" fontId="167" fillId="6" borderId="0" xfId="0" applyFont="1" applyFill="1" applyAlignment="1">
      <alignment horizontal="left" vertical="center" wrapText="1"/>
    </xf>
    <xf numFmtId="0" fontId="32" fillId="47" borderId="298" xfId="0" applyFont="1" applyFill="1" applyBorder="1" applyAlignment="1" applyProtection="1">
      <alignment horizontal="center" vertical="center" wrapText="1"/>
      <protection hidden="1"/>
    </xf>
    <xf numFmtId="0" fontId="32" fillId="47" borderId="299" xfId="0" applyFont="1" applyFill="1" applyBorder="1" applyAlignment="1" applyProtection="1">
      <alignment horizontal="center" vertical="center" wrapText="1"/>
      <protection hidden="1"/>
    </xf>
    <xf numFmtId="184" fontId="26" fillId="12" borderId="316" xfId="1" applyNumberFormat="1" applyFont="1" applyFill="1" applyBorder="1" applyAlignment="1">
      <alignment horizontal="center" vertical="center"/>
    </xf>
    <xf numFmtId="184" fontId="26" fillId="12" borderId="317" xfId="1" applyNumberFormat="1" applyFont="1" applyFill="1" applyBorder="1" applyAlignment="1">
      <alignment horizontal="center" vertical="center"/>
    </xf>
    <xf numFmtId="184" fontId="26" fillId="12" borderId="318" xfId="1" applyNumberFormat="1" applyFont="1" applyFill="1" applyBorder="1" applyAlignment="1">
      <alignment horizontal="center" vertical="center"/>
    </xf>
    <xf numFmtId="0" fontId="26" fillId="0" borderId="24" xfId="0" applyFont="1" applyBorder="1" applyAlignment="1">
      <alignment horizontal="left" vertical="center" indent="1"/>
    </xf>
    <xf numFmtId="0" fontId="26" fillId="0" borderId="30" xfId="0" applyFont="1" applyBorder="1" applyAlignment="1">
      <alignment horizontal="left" vertical="center" indent="1"/>
    </xf>
    <xf numFmtId="0" fontId="26" fillId="16" borderId="309" xfId="0" applyFont="1" applyFill="1" applyBorder="1" applyAlignment="1" applyProtection="1">
      <alignment horizontal="center" vertical="center" wrapText="1"/>
      <protection locked="0"/>
    </xf>
    <xf numFmtId="0" fontId="26" fillId="16" borderId="310" xfId="0" applyFont="1" applyFill="1" applyBorder="1" applyAlignment="1" applyProtection="1">
      <alignment horizontal="center" vertical="center" wrapText="1"/>
      <protection locked="0"/>
    </xf>
    <xf numFmtId="0" fontId="26" fillId="16" borderId="311" xfId="0" applyFont="1" applyFill="1" applyBorder="1" applyAlignment="1" applyProtection="1">
      <alignment horizontal="center" vertical="center" wrapText="1"/>
      <protection locked="0"/>
    </xf>
    <xf numFmtId="14" fontId="26" fillId="0" borderId="0" xfId="0" applyNumberFormat="1" applyFont="1" applyAlignment="1">
      <alignment horizontal="center" vertical="center"/>
    </xf>
    <xf numFmtId="0" fontId="19" fillId="0" borderId="1" xfId="0" applyFont="1" applyBorder="1" applyAlignment="1" applyProtection="1">
      <alignment horizontal="left" vertical="center"/>
      <protection locked="0"/>
    </xf>
    <xf numFmtId="0" fontId="21" fillId="4" borderId="4" xfId="1" applyNumberFormat="1" applyFont="1" applyFill="1" applyBorder="1" applyAlignment="1" applyProtection="1">
      <alignment horizontal="center" vertical="center"/>
      <protection locked="0"/>
    </xf>
    <xf numFmtId="0" fontId="21" fillId="4" borderId="11" xfId="1" applyNumberFormat="1" applyFont="1" applyFill="1" applyBorder="1" applyAlignment="1" applyProtection="1">
      <alignment horizontal="center" vertical="center"/>
      <protection locked="0"/>
    </xf>
    <xf numFmtId="0" fontId="18" fillId="4" borderId="5" xfId="0" applyFont="1" applyFill="1" applyBorder="1" applyAlignment="1" applyProtection="1">
      <alignment horizontal="center" vertical="center"/>
      <protection locked="0"/>
    </xf>
    <xf numFmtId="0" fontId="18" fillId="4" borderId="4" xfId="0" applyFont="1" applyFill="1" applyBorder="1" applyProtection="1">
      <alignment vertical="center"/>
      <protection locked="0"/>
    </xf>
    <xf numFmtId="0" fontId="18" fillId="4" borderId="11" xfId="0" applyFont="1" applyFill="1" applyBorder="1" applyProtection="1">
      <alignment vertical="center"/>
      <protection locked="0"/>
    </xf>
    <xf numFmtId="178" fontId="107" fillId="27" borderId="60" xfId="8" applyNumberFormat="1" applyFont="1" applyFill="1" applyBorder="1" applyAlignment="1" applyProtection="1">
      <alignment horizontal="center" vertical="center"/>
      <protection locked="0"/>
    </xf>
    <xf numFmtId="178" fontId="107" fillId="27" borderId="203" xfId="8" applyNumberFormat="1" applyFont="1" applyFill="1" applyBorder="1" applyAlignment="1" applyProtection="1">
      <alignment horizontal="center" vertical="center"/>
      <protection locked="0"/>
    </xf>
    <xf numFmtId="178" fontId="107" fillId="27" borderId="61" xfId="8" applyNumberFormat="1" applyFont="1" applyFill="1" applyBorder="1" applyAlignment="1" applyProtection="1">
      <alignment horizontal="center" vertical="center"/>
      <protection locked="0"/>
    </xf>
    <xf numFmtId="0" fontId="74" fillId="27" borderId="60" xfId="8" applyNumberFormat="1" applyFont="1" applyFill="1" applyBorder="1" applyAlignment="1" applyProtection="1">
      <alignment horizontal="center" vertical="center"/>
      <protection locked="0"/>
    </xf>
    <xf numFmtId="0" fontId="74" fillId="27" borderId="203" xfId="8" applyNumberFormat="1" applyFont="1" applyFill="1" applyBorder="1" applyAlignment="1" applyProtection="1">
      <alignment horizontal="center" vertical="center"/>
      <protection locked="0"/>
    </xf>
    <xf numFmtId="0" fontId="74" fillId="27" borderId="61" xfId="8" applyNumberFormat="1" applyFont="1" applyFill="1" applyBorder="1" applyAlignment="1" applyProtection="1">
      <alignment horizontal="center" vertical="center"/>
      <protection locked="0"/>
    </xf>
    <xf numFmtId="0" fontId="107" fillId="27" borderId="60" xfId="8" applyNumberFormat="1" applyFont="1" applyFill="1" applyBorder="1" applyAlignment="1" applyProtection="1">
      <alignment horizontal="center" vertical="center"/>
      <protection locked="0"/>
    </xf>
    <xf numFmtId="0" fontId="27" fillId="27" borderId="203" xfId="8" applyNumberFormat="1" applyFont="1" applyFill="1" applyBorder="1" applyAlignment="1" applyProtection="1">
      <alignment horizontal="center" vertical="center"/>
      <protection locked="0"/>
    </xf>
    <xf numFmtId="0" fontId="27" fillId="27" borderId="61" xfId="8" applyNumberFormat="1" applyFont="1" applyFill="1" applyBorder="1" applyAlignment="1" applyProtection="1">
      <alignment horizontal="center" vertical="center"/>
      <protection locked="0"/>
    </xf>
    <xf numFmtId="9" fontId="104" fillId="27" borderId="59" xfId="2" applyFont="1" applyFill="1" applyBorder="1" applyAlignment="1" applyProtection="1">
      <alignment horizontal="center" vertical="center" shrinkToFit="1"/>
      <protection locked="0"/>
    </xf>
    <xf numFmtId="9" fontId="104" fillId="27" borderId="54" xfId="2" applyFont="1" applyFill="1" applyBorder="1" applyAlignment="1" applyProtection="1">
      <alignment horizontal="center" vertical="center" shrinkToFit="1"/>
      <protection locked="0"/>
    </xf>
    <xf numFmtId="0" fontId="104" fillId="27" borderId="138" xfId="8" applyNumberFormat="1" applyFont="1" applyFill="1" applyBorder="1" applyAlignment="1" applyProtection="1">
      <alignment horizontal="center" vertical="center" shrinkToFit="1"/>
      <protection locked="0"/>
    </xf>
    <xf numFmtId="0" fontId="104" fillId="27" borderId="141" xfId="8" applyNumberFormat="1" applyFont="1" applyFill="1" applyBorder="1" applyAlignment="1" applyProtection="1">
      <alignment horizontal="center" vertical="center" shrinkToFit="1"/>
      <protection locked="0"/>
    </xf>
    <xf numFmtId="0" fontId="104" fillId="6" borderId="137" xfId="8" applyNumberFormat="1" applyFont="1" applyFill="1" applyBorder="1" applyAlignment="1" applyProtection="1">
      <alignment horizontal="center" vertical="center" shrinkToFit="1"/>
      <protection hidden="1"/>
    </xf>
    <xf numFmtId="0" fontId="104" fillId="6" borderId="128" xfId="8" applyNumberFormat="1" applyFont="1" applyFill="1" applyBorder="1" applyAlignment="1" applyProtection="1">
      <alignment horizontal="center" vertical="center" shrinkToFit="1"/>
      <protection hidden="1"/>
    </xf>
    <xf numFmtId="41" fontId="38" fillId="41" borderId="59" xfId="1" applyFont="1" applyFill="1" applyBorder="1" applyAlignment="1" applyProtection="1">
      <alignment horizontal="center" vertical="center" shrinkToFit="1"/>
      <protection hidden="1"/>
    </xf>
    <xf numFmtId="41" fontId="38" fillId="41" borderId="87" xfId="1" applyFont="1" applyFill="1" applyBorder="1" applyAlignment="1" applyProtection="1">
      <alignment horizontal="center" vertical="center" shrinkToFit="1"/>
      <protection hidden="1"/>
    </xf>
    <xf numFmtId="41" fontId="38" fillId="41" borderId="54" xfId="1" applyFont="1" applyFill="1" applyBorder="1" applyAlignment="1" applyProtection="1">
      <alignment horizontal="center" vertical="center" shrinkToFit="1"/>
      <protection hidden="1"/>
    </xf>
    <xf numFmtId="41" fontId="59" fillId="27" borderId="138" xfId="1" applyFont="1" applyFill="1" applyBorder="1" applyAlignment="1" applyProtection="1">
      <alignment horizontal="center" vertical="center" shrinkToFit="1"/>
      <protection hidden="1"/>
    </xf>
    <xf numFmtId="41" fontId="59" fillId="27" borderId="141" xfId="1" applyFont="1" applyFill="1" applyBorder="1" applyAlignment="1" applyProtection="1">
      <alignment horizontal="center" vertical="center" shrinkToFit="1"/>
      <protection hidden="1"/>
    </xf>
    <xf numFmtId="41" fontId="59" fillId="6" borderId="127" xfId="8" applyNumberFormat="1" applyFont="1" applyFill="1" applyBorder="1" applyAlignment="1" applyProtection="1">
      <alignment horizontal="center" vertical="center" shrinkToFit="1"/>
      <protection hidden="1"/>
    </xf>
    <xf numFmtId="0" fontId="74" fillId="6" borderId="58" xfId="8" applyNumberFormat="1" applyFont="1" applyFill="1" applyBorder="1" applyAlignment="1">
      <alignment horizontal="center" vertical="center"/>
    </xf>
    <xf numFmtId="0" fontId="74" fillId="6" borderId="118" xfId="8" applyNumberFormat="1" applyFont="1" applyFill="1" applyBorder="1" applyAlignment="1">
      <alignment horizontal="center" vertical="center"/>
    </xf>
    <xf numFmtId="0" fontId="74" fillId="6" borderId="119" xfId="8" applyNumberFormat="1" applyFont="1" applyFill="1" applyBorder="1" applyAlignment="1">
      <alignment horizontal="center" vertical="center"/>
    </xf>
    <xf numFmtId="0" fontId="89" fillId="14" borderId="5" xfId="8" applyNumberFormat="1" applyFont="1" applyFill="1" applyBorder="1" applyAlignment="1">
      <alignment horizontal="center" vertical="center" shrinkToFit="1"/>
    </xf>
    <xf numFmtId="0" fontId="89" fillId="6" borderId="124" xfId="8" applyNumberFormat="1" applyFont="1" applyFill="1" applyBorder="1" applyAlignment="1" applyProtection="1">
      <alignment horizontal="center" vertical="center" shrinkToFit="1"/>
      <protection hidden="1"/>
    </xf>
    <xf numFmtId="0" fontId="42" fillId="6" borderId="124" xfId="8" applyNumberFormat="1" applyFont="1" applyFill="1" applyBorder="1" applyAlignment="1" applyProtection="1">
      <alignment horizontal="center" vertical="center" shrinkToFit="1"/>
      <protection hidden="1"/>
    </xf>
    <xf numFmtId="0" fontId="42" fillId="6" borderId="125" xfId="8" applyNumberFormat="1" applyFont="1" applyFill="1" applyBorder="1" applyAlignment="1" applyProtection="1">
      <alignment horizontal="center" vertical="center" shrinkToFit="1"/>
      <protection hidden="1"/>
    </xf>
    <xf numFmtId="0" fontId="42" fillId="6" borderId="126" xfId="8" applyNumberFormat="1" applyFont="1" applyFill="1" applyBorder="1" applyAlignment="1" applyProtection="1">
      <alignment horizontal="center" vertical="center" shrinkToFit="1"/>
      <protection hidden="1"/>
    </xf>
    <xf numFmtId="0" fontId="42" fillId="6" borderId="127" xfId="8" applyNumberFormat="1" applyFont="1" applyFill="1" applyBorder="1" applyAlignment="1" applyProtection="1">
      <alignment horizontal="center" vertical="center" shrinkToFit="1"/>
      <protection hidden="1"/>
    </xf>
    <xf numFmtId="0" fontId="73" fillId="27" borderId="59" xfId="8" applyNumberFormat="1" applyFont="1" applyFill="1" applyBorder="1" applyAlignment="1" applyProtection="1">
      <alignment horizontal="center" vertical="center"/>
      <protection locked="0"/>
    </xf>
    <xf numFmtId="0" fontId="73" fillId="27" borderId="87" xfId="8" applyNumberFormat="1" applyFont="1" applyFill="1" applyBorder="1" applyAlignment="1" applyProtection="1">
      <alignment horizontal="center" vertical="center"/>
      <protection locked="0"/>
    </xf>
    <xf numFmtId="0" fontId="73" fillId="27" borderId="54" xfId="8" applyNumberFormat="1" applyFont="1" applyFill="1" applyBorder="1" applyAlignment="1" applyProtection="1">
      <alignment horizontal="center" vertical="center"/>
      <protection locked="0"/>
    </xf>
    <xf numFmtId="0" fontId="89" fillId="14" borderId="133" xfId="8" applyNumberFormat="1" applyFont="1" applyFill="1" applyBorder="1" applyAlignment="1">
      <alignment horizontal="center" vertical="center" shrinkToFit="1"/>
    </xf>
    <xf numFmtId="41" fontId="1" fillId="27" borderId="59" xfId="1" applyFont="1" applyFill="1" applyBorder="1" applyAlignment="1" applyProtection="1">
      <alignment horizontal="center" vertical="center"/>
      <protection locked="0"/>
    </xf>
    <xf numFmtId="41" fontId="1" fillId="27" borderId="87" xfId="1" applyFont="1" applyFill="1" applyBorder="1" applyAlignment="1" applyProtection="1">
      <alignment horizontal="center" vertical="center"/>
      <protection locked="0"/>
    </xf>
    <xf numFmtId="41" fontId="1" fillId="27" borderId="54" xfId="1" applyFont="1" applyFill="1" applyBorder="1" applyAlignment="1" applyProtection="1">
      <alignment horizontal="center" vertical="center"/>
      <protection locked="0"/>
    </xf>
    <xf numFmtId="41" fontId="1" fillId="0" borderId="139" xfId="1" applyFont="1" applyBorder="1" applyAlignment="1" applyProtection="1">
      <alignment horizontal="center" vertical="center"/>
      <protection hidden="1"/>
    </xf>
    <xf numFmtId="41" fontId="1" fillId="0" borderId="87" xfId="1" applyFont="1" applyBorder="1" applyAlignment="1" applyProtection="1">
      <alignment horizontal="center" vertical="center"/>
      <protection hidden="1"/>
    </xf>
    <xf numFmtId="41" fontId="1" fillId="0" borderId="54" xfId="1" applyFont="1" applyBorder="1" applyAlignment="1" applyProtection="1">
      <alignment horizontal="center" vertical="center"/>
      <protection hidden="1"/>
    </xf>
    <xf numFmtId="0" fontId="42" fillId="27" borderId="138" xfId="8" applyNumberFormat="1" applyFont="1" applyFill="1" applyBorder="1" applyAlignment="1" applyProtection="1">
      <alignment horizontal="center" vertical="center" shrinkToFit="1"/>
      <protection locked="0"/>
    </xf>
    <xf numFmtId="0" fontId="42" fillId="27" borderId="141" xfId="8" applyNumberFormat="1" applyFont="1" applyFill="1" applyBorder="1" applyAlignment="1" applyProtection="1">
      <alignment horizontal="center" vertical="center" shrinkToFit="1"/>
      <protection locked="0"/>
    </xf>
    <xf numFmtId="0" fontId="42" fillId="31" borderId="127" xfId="8" applyNumberFormat="1" applyFont="1" applyFill="1" applyBorder="1" applyAlignment="1">
      <alignment horizontal="center" vertical="center" shrinkToFit="1"/>
    </xf>
    <xf numFmtId="41" fontId="42" fillId="6" borderId="124" xfId="1" applyFont="1" applyFill="1" applyBorder="1" applyAlignment="1" applyProtection="1">
      <alignment horizontal="center" vertical="center" shrinkToFit="1"/>
      <protection hidden="1"/>
    </xf>
    <xf numFmtId="41" fontId="40" fillId="0" borderId="133" xfId="1" applyFont="1" applyBorder="1" applyAlignment="1" applyProtection="1">
      <alignment horizontal="center" vertical="center"/>
      <protection hidden="1"/>
    </xf>
    <xf numFmtId="41" fontId="40" fillId="0" borderId="134" xfId="1" applyFont="1" applyBorder="1" applyAlignment="1" applyProtection="1">
      <alignment horizontal="center" vertical="center"/>
      <protection hidden="1"/>
    </xf>
    <xf numFmtId="41" fontId="40" fillId="0" borderId="135" xfId="1" applyFont="1" applyBorder="1" applyAlignment="1" applyProtection="1">
      <alignment horizontal="center" vertical="center"/>
      <protection hidden="1"/>
    </xf>
    <xf numFmtId="41" fontId="40" fillId="0" borderId="137" xfId="1" applyFont="1" applyBorder="1" applyAlignment="1" applyProtection="1">
      <alignment horizontal="center" vertical="center"/>
      <protection hidden="1"/>
    </xf>
    <xf numFmtId="41" fontId="162" fillId="27" borderId="58" xfId="8" applyNumberFormat="1" applyFont="1" applyFill="1" applyBorder="1" applyAlignment="1" applyProtection="1">
      <alignment horizontal="center" vertical="center" wrapText="1"/>
      <protection locked="0"/>
    </xf>
    <xf numFmtId="0" fontId="45" fillId="27" borderId="118" xfId="8" applyNumberFormat="1" applyFont="1" applyFill="1" applyBorder="1" applyAlignment="1" applyProtection="1">
      <alignment horizontal="center" vertical="center" wrapText="1"/>
      <protection locked="0"/>
    </xf>
    <xf numFmtId="0" fontId="45" fillId="27" borderId="119" xfId="8" applyNumberFormat="1" applyFont="1" applyFill="1" applyBorder="1" applyAlignment="1" applyProtection="1">
      <alignment horizontal="center" vertical="center" wrapText="1"/>
      <protection locked="0"/>
    </xf>
    <xf numFmtId="0" fontId="135" fillId="0" borderId="0" xfId="0" applyFont="1" applyAlignment="1">
      <alignment horizontal="center" vertical="center"/>
    </xf>
    <xf numFmtId="0" fontId="136" fillId="0" borderId="0" xfId="0" applyFont="1" applyAlignment="1">
      <alignment horizontal="center" vertical="center"/>
    </xf>
    <xf numFmtId="0" fontId="134" fillId="0" borderId="0" xfId="0" applyFont="1" applyAlignment="1">
      <alignment horizontal="left" vertical="top" wrapText="1"/>
    </xf>
    <xf numFmtId="0" fontId="134" fillId="0" borderId="0" xfId="0" applyFont="1" applyAlignment="1">
      <alignment horizontal="left" vertical="top"/>
    </xf>
    <xf numFmtId="0" fontId="138" fillId="0" borderId="0" xfId="0" applyFont="1" applyAlignment="1">
      <alignment horizontal="center" vertical="center"/>
    </xf>
    <xf numFmtId="0" fontId="131" fillId="0" borderId="0" xfId="0" applyFont="1" applyAlignment="1">
      <alignment horizontal="center" vertical="center"/>
    </xf>
    <xf numFmtId="0" fontId="140" fillId="0" borderId="0" xfId="0" applyFont="1" applyAlignment="1">
      <alignment horizontal="left" vertical="center" wrapText="1"/>
    </xf>
    <xf numFmtId="0" fontId="139" fillId="0" borderId="0" xfId="0" applyFont="1" applyAlignment="1">
      <alignment horizontal="left" vertical="center"/>
    </xf>
    <xf numFmtId="0" fontId="143" fillId="0" borderId="0" xfId="0" applyFont="1" applyAlignment="1">
      <alignment horizontal="center" vertical="center"/>
    </xf>
    <xf numFmtId="0" fontId="141" fillId="0" borderId="0" xfId="0" applyFont="1" applyAlignment="1">
      <alignment horizontal="left" vertical="center"/>
    </xf>
    <xf numFmtId="0" fontId="147" fillId="0" borderId="165" xfId="0" applyFont="1" applyBorder="1" applyAlignment="1">
      <alignment horizontal="center" vertical="center" wrapText="1"/>
    </xf>
    <xf numFmtId="0" fontId="147" fillId="0" borderId="168" xfId="0" applyFont="1" applyBorder="1" applyAlignment="1">
      <alignment horizontal="center" vertical="center" wrapText="1"/>
    </xf>
    <xf numFmtId="0" fontId="38" fillId="3" borderId="0" xfId="0" applyFont="1" applyFill="1" applyAlignment="1" applyProtection="1">
      <alignment horizontal="center" vertical="center"/>
      <protection hidden="1"/>
    </xf>
    <xf numFmtId="0" fontId="26" fillId="0" borderId="10" xfId="0" applyFont="1" applyBorder="1" applyAlignment="1">
      <alignment horizontal="center" vertical="center"/>
    </xf>
    <xf numFmtId="0" fontId="26" fillId="0" borderId="11" xfId="0" applyFont="1" applyBorder="1" applyAlignment="1">
      <alignment horizontal="center" vertical="center"/>
    </xf>
    <xf numFmtId="0" fontId="26" fillId="0" borderId="4" xfId="0" applyFont="1" applyBorder="1" applyAlignment="1">
      <alignment horizontal="center" vertical="center"/>
    </xf>
    <xf numFmtId="0" fontId="0" fillId="0" borderId="0" xfId="0" applyAlignment="1" applyProtection="1">
      <alignment horizontal="center" vertical="center"/>
      <protection hidden="1"/>
    </xf>
    <xf numFmtId="0" fontId="0" fillId="0" borderId="0" xfId="0" applyProtection="1">
      <alignment vertical="center"/>
      <protection hidden="1"/>
    </xf>
    <xf numFmtId="0" fontId="114" fillId="37" borderId="15" xfId="0" applyFont="1" applyFill="1" applyBorder="1" applyAlignment="1">
      <alignment horizontal="center" vertical="center" wrapText="1" readingOrder="1"/>
    </xf>
    <xf numFmtId="0" fontId="114" fillId="37" borderId="7" xfId="0" applyFont="1" applyFill="1" applyBorder="1" applyAlignment="1">
      <alignment horizontal="center" vertical="center" wrapText="1" readingOrder="1"/>
    </xf>
    <xf numFmtId="0" fontId="26" fillId="6" borderId="15" xfId="0" applyFont="1" applyFill="1" applyBorder="1" applyAlignment="1">
      <alignment horizontal="center" vertical="center" wrapText="1"/>
    </xf>
    <xf numFmtId="0" fontId="26" fillId="6" borderId="7" xfId="0" applyFont="1" applyFill="1" applyBorder="1" applyAlignment="1">
      <alignment horizontal="center" vertical="center" wrapText="1"/>
    </xf>
    <xf numFmtId="0" fontId="0" fillId="0" borderId="5" xfId="0" applyBorder="1" applyAlignment="1" applyProtection="1">
      <alignment horizontal="center" vertical="center"/>
      <protection hidden="1"/>
    </xf>
    <xf numFmtId="0" fontId="97" fillId="0" borderId="3" xfId="0" applyFont="1" applyBorder="1" applyAlignment="1">
      <alignment horizontal="left" vertical="top"/>
    </xf>
    <xf numFmtId="0" fontId="66" fillId="0" borderId="4" xfId="0" applyFont="1" applyBorder="1" applyAlignment="1">
      <alignment horizontal="left" vertical="top"/>
    </xf>
    <xf numFmtId="0" fontId="66" fillId="0" borderId="2" xfId="0" applyFont="1" applyBorder="1" applyAlignment="1">
      <alignment horizontal="left" vertical="top"/>
    </xf>
    <xf numFmtId="0" fontId="97" fillId="0" borderId="7" xfId="0" applyFont="1" applyBorder="1" applyAlignment="1">
      <alignment horizontal="left" vertical="top"/>
    </xf>
    <xf numFmtId="0" fontId="97" fillId="0" borderId="5" xfId="0" applyFont="1" applyBorder="1" applyAlignment="1">
      <alignment horizontal="left" vertical="top"/>
    </xf>
    <xf numFmtId="0" fontId="97" fillId="0" borderId="15" xfId="0" applyFont="1" applyBorder="1" applyAlignment="1">
      <alignment horizontal="left" vertical="top"/>
    </xf>
    <xf numFmtId="0" fontId="26" fillId="0" borderId="5" xfId="0" applyFont="1" applyBorder="1" applyAlignment="1">
      <alignment horizontal="center" vertical="center"/>
    </xf>
    <xf numFmtId="0" fontId="66" fillId="0" borderId="5" xfId="0" applyFont="1" applyBorder="1" applyAlignment="1">
      <alignment horizontal="left" vertical="top"/>
    </xf>
    <xf numFmtId="0" fontId="66" fillId="0" borderId="15" xfId="0" applyFont="1" applyBorder="1" applyAlignment="1">
      <alignment horizontal="left" vertical="top"/>
    </xf>
    <xf numFmtId="42" fontId="64" fillId="26" borderId="228" xfId="11" applyFont="1" applyFill="1" applyBorder="1" applyAlignment="1">
      <alignment horizontal="center" vertical="center"/>
    </xf>
    <xf numFmtId="42" fontId="64" fillId="26" borderId="229" xfId="11" applyFont="1" applyFill="1" applyBorder="1" applyAlignment="1">
      <alignment horizontal="center" vertical="center"/>
    </xf>
    <xf numFmtId="0" fontId="160" fillId="0" borderId="221" xfId="0" applyFont="1" applyBorder="1" applyAlignment="1">
      <alignment horizontal="center" vertical="center"/>
    </xf>
    <xf numFmtId="0" fontId="160" fillId="0" borderId="232" xfId="0" applyFont="1" applyBorder="1" applyAlignment="1">
      <alignment horizontal="center" vertical="center"/>
    </xf>
    <xf numFmtId="0" fontId="0" fillId="14" borderId="230" xfId="0" applyFill="1" applyBorder="1" applyAlignment="1">
      <alignment horizontal="center" vertical="center" wrapText="1"/>
    </xf>
    <xf numFmtId="0" fontId="0" fillId="14" borderId="233" xfId="0" applyFill="1" applyBorder="1" applyAlignment="1">
      <alignment horizontal="center" vertical="center" wrapText="1"/>
    </xf>
    <xf numFmtId="0" fontId="160" fillId="0" borderId="212" xfId="0" applyFont="1" applyBorder="1" applyAlignment="1">
      <alignment horizontal="center" vertical="center" wrapText="1"/>
    </xf>
    <xf numFmtId="0" fontId="160" fillId="0" borderId="223" xfId="0" applyFont="1" applyBorder="1" applyAlignment="1">
      <alignment horizontal="center" vertical="center"/>
    </xf>
    <xf numFmtId="0" fontId="160" fillId="0" borderId="28" xfId="0" applyFont="1" applyBorder="1" applyAlignment="1">
      <alignment horizontal="center" vertical="center" wrapText="1"/>
    </xf>
    <xf numFmtId="0" fontId="160" fillId="0" borderId="231" xfId="0" applyFont="1" applyBorder="1" applyAlignment="1">
      <alignment horizontal="center" vertical="center"/>
    </xf>
    <xf numFmtId="0" fontId="160" fillId="0" borderId="224" xfId="0" applyFont="1" applyBorder="1" applyAlignment="1">
      <alignment horizontal="center" vertical="center"/>
    </xf>
    <xf numFmtId="0" fontId="160" fillId="0" borderId="225" xfId="0" applyFont="1" applyBorder="1" applyAlignment="1">
      <alignment horizontal="center" vertical="center"/>
    </xf>
    <xf numFmtId="0" fontId="159" fillId="44" borderId="204" xfId="0" applyFont="1" applyFill="1" applyBorder="1" applyAlignment="1">
      <alignment horizontal="center" vertical="center"/>
    </xf>
    <xf numFmtId="0" fontId="159" fillId="44" borderId="205" xfId="0" applyFont="1" applyFill="1" applyBorder="1" applyAlignment="1">
      <alignment horizontal="center" vertical="center"/>
    </xf>
    <xf numFmtId="0" fontId="159" fillId="44" borderId="206" xfId="0" applyFont="1" applyFill="1" applyBorder="1" applyAlignment="1">
      <alignment horizontal="center" vertical="center"/>
    </xf>
    <xf numFmtId="0" fontId="159" fillId="44" borderId="40" xfId="0" applyFont="1" applyFill="1" applyBorder="1" applyAlignment="1">
      <alignment horizontal="center" vertical="center"/>
    </xf>
    <xf numFmtId="0" fontId="161" fillId="0" borderId="212" xfId="0" applyFont="1" applyBorder="1" applyAlignment="1">
      <alignment horizontal="center" vertical="center"/>
    </xf>
    <xf numFmtId="0" fontId="161" fillId="0" borderId="218" xfId="0" applyFont="1" applyBorder="1" applyAlignment="1">
      <alignment horizontal="center" vertical="center"/>
    </xf>
    <xf numFmtId="0" fontId="161" fillId="0" borderId="221" xfId="0" applyFont="1" applyBorder="1" applyAlignment="1">
      <alignment horizontal="center" vertical="center"/>
    </xf>
    <xf numFmtId="0" fontId="0" fillId="0" borderId="213" xfId="0" applyBorder="1" applyAlignment="1">
      <alignment horizontal="center" vertical="center" wrapText="1"/>
    </xf>
    <xf numFmtId="0" fontId="0" fillId="0" borderId="213" xfId="0" applyBorder="1" applyAlignment="1">
      <alignment horizontal="center" vertical="center"/>
    </xf>
    <xf numFmtId="0" fontId="0" fillId="0" borderId="222" xfId="0" applyBorder="1" applyAlignment="1">
      <alignment horizontal="center" vertical="center"/>
    </xf>
    <xf numFmtId="0" fontId="160" fillId="0" borderId="214" xfId="0" applyFont="1" applyBorder="1" applyAlignment="1">
      <alignment horizontal="center" vertical="center" wrapText="1"/>
    </xf>
    <xf numFmtId="0" fontId="160" fillId="0" borderId="218" xfId="0" applyFont="1" applyBorder="1" applyAlignment="1">
      <alignment horizontal="center" vertical="center"/>
    </xf>
    <xf numFmtId="0" fontId="0" fillId="0" borderId="216" xfId="0" applyBorder="1" applyAlignment="1">
      <alignment horizontal="center" vertical="center" wrapText="1"/>
    </xf>
    <xf numFmtId="0" fontId="0" fillId="0" borderId="225" xfId="0" applyBorder="1" applyAlignment="1">
      <alignment horizontal="center" vertical="center"/>
    </xf>
    <xf numFmtId="0" fontId="160" fillId="0" borderId="210" xfId="0" applyFont="1" applyBorder="1" applyAlignment="1">
      <alignment horizontal="center" vertical="center" wrapText="1"/>
    </xf>
    <xf numFmtId="0" fontId="160" fillId="0" borderId="219" xfId="0" applyFont="1" applyBorder="1" applyAlignment="1">
      <alignment horizontal="center" vertical="center"/>
    </xf>
    <xf numFmtId="0" fontId="160" fillId="0" borderId="212" xfId="0" applyFont="1" applyBorder="1" applyAlignment="1">
      <alignment horizontal="center" vertical="center"/>
    </xf>
    <xf numFmtId="0" fontId="0" fillId="0" borderId="217" xfId="0" applyBorder="1" applyAlignment="1">
      <alignment horizontal="center" vertical="center" wrapText="1"/>
    </xf>
    <xf numFmtId="0" fontId="0" fillId="0" borderId="220" xfId="0" applyBorder="1" applyAlignment="1">
      <alignment horizontal="center" vertical="center" wrapText="1"/>
    </xf>
    <xf numFmtId="0" fontId="0" fillId="0" borderId="226" xfId="0" applyBorder="1" applyAlignment="1">
      <alignment horizontal="center" vertical="center" wrapText="1"/>
    </xf>
    <xf numFmtId="0" fontId="161" fillId="0" borderId="214" xfId="0" applyFont="1" applyBorder="1" applyAlignment="1">
      <alignment horizontal="center" vertical="center" wrapText="1"/>
    </xf>
    <xf numFmtId="0" fontId="161" fillId="0" borderId="223" xfId="0" applyFont="1" applyBorder="1" applyAlignment="1">
      <alignment horizontal="center" vertical="center"/>
    </xf>
    <xf numFmtId="0" fontId="160" fillId="0" borderId="215" xfId="0" applyFont="1" applyBorder="1" applyAlignment="1">
      <alignment horizontal="center" vertical="center" wrapText="1"/>
    </xf>
    <xf numFmtId="0" fontId="160" fillId="0" borderId="216" xfId="0" applyFont="1" applyBorder="1" applyAlignment="1">
      <alignment horizontal="center" vertical="center"/>
    </xf>
    <xf numFmtId="0" fontId="160" fillId="0" borderId="218" xfId="0" applyFont="1" applyBorder="1" applyAlignment="1">
      <alignment horizontal="center" vertical="center" wrapText="1"/>
    </xf>
    <xf numFmtId="0" fontId="160" fillId="0" borderId="223" xfId="0" applyFont="1" applyBorder="1" applyAlignment="1">
      <alignment horizontal="center" vertical="center" wrapText="1"/>
    </xf>
    <xf numFmtId="0" fontId="160" fillId="0" borderId="215" xfId="0" applyFont="1" applyBorder="1" applyAlignment="1">
      <alignment horizontal="center" vertical="center"/>
    </xf>
    <xf numFmtId="0" fontId="160" fillId="0" borderId="25" xfId="0" applyFont="1" applyBorder="1" applyAlignment="1">
      <alignment horizontal="center" vertical="center"/>
    </xf>
    <xf numFmtId="0" fontId="160" fillId="0" borderId="213" xfId="0" applyFont="1" applyBorder="1" applyAlignment="1">
      <alignment horizontal="center" vertical="center"/>
    </xf>
  </cellXfs>
  <cellStyles count="13">
    <cellStyle name="_x000a_386grabber=M" xfId="10" xr:uid="{00000000-0005-0000-0000-000000000000}"/>
    <cellStyle name="20% - 강조색1 12 2" xfId="3" xr:uid="{00000000-0005-0000-0000-000001000000}"/>
    <cellStyle name="메모" xfId="4" builtinId="10"/>
    <cellStyle name="백분율" xfId="2" builtinId="5"/>
    <cellStyle name="쉼표 [0]" xfId="1" builtinId="6"/>
    <cellStyle name="쉼표 [0] 15 2" xfId="9" xr:uid="{00000000-0005-0000-0000-000005000000}"/>
    <cellStyle name="쉼표 [0] 2" xfId="6" xr:uid="{00000000-0005-0000-0000-000006000000}"/>
    <cellStyle name="통화 [0]" xfId="11" builtinId="7"/>
    <cellStyle name="표준" xfId="0" builtinId="0"/>
    <cellStyle name="표준 19 2" xfId="8" xr:uid="{00000000-0005-0000-0000-000009000000}"/>
    <cellStyle name="표준 3 2" xfId="5" xr:uid="{00000000-0005-0000-0000-00000A000000}"/>
    <cellStyle name="표준_부대비용리스트(1208)" xfId="7" xr:uid="{00000000-0005-0000-0000-00000B000000}"/>
    <cellStyle name="하이퍼링크" xfId="12" builtinId="8"/>
  </cellStyles>
  <dxfs count="168">
    <dxf>
      <font>
        <color theme="0"/>
      </font>
      <fill>
        <patternFill patternType="none">
          <bgColor auto="1"/>
        </patternFill>
      </fill>
      <border>
        <left/>
        <right/>
        <top/>
        <bottom/>
        <vertical/>
        <horizontal/>
      </border>
    </dxf>
    <dxf>
      <font>
        <color theme="0"/>
      </font>
      <fill>
        <patternFill patternType="solid">
          <fgColor theme="0"/>
          <bgColor auto="1"/>
        </patternFill>
      </fill>
      <border>
        <left/>
        <right/>
        <top/>
        <bottom/>
        <vertical/>
        <horizontal/>
      </border>
    </dxf>
    <dxf>
      <font>
        <color theme="0"/>
      </font>
      <fill>
        <patternFill patternType="solid">
          <fgColor theme="0"/>
          <bgColor auto="1"/>
        </patternFill>
      </fill>
      <border>
        <left/>
        <right/>
        <top/>
        <bottom/>
        <vertical/>
        <horizontal/>
      </border>
    </dxf>
    <dxf>
      <font>
        <color theme="0"/>
      </font>
      <fill>
        <patternFill patternType="solid">
          <fgColor theme="0"/>
          <bgColor auto="1"/>
        </patternFill>
      </fill>
      <border>
        <left/>
        <right/>
        <top/>
        <bottom/>
        <vertical/>
        <horizontal/>
      </border>
    </dxf>
    <dxf>
      <font>
        <color theme="0"/>
      </font>
      <fill>
        <patternFill patternType="solid">
          <fgColor theme="0"/>
          <bgColor auto="1"/>
        </patternFill>
      </fill>
      <border>
        <left/>
        <right/>
        <top/>
        <bottom/>
        <vertical/>
        <horizontal/>
      </border>
    </dxf>
    <dxf>
      <font>
        <color theme="0"/>
      </font>
      <fill>
        <patternFill patternType="solid">
          <fgColor theme="0"/>
          <bgColor auto="1"/>
        </patternFill>
      </fill>
      <border>
        <left/>
        <right/>
        <top/>
        <bottom/>
        <vertical/>
        <horizontal/>
      </border>
    </dxf>
    <dxf>
      <font>
        <color theme="0"/>
      </font>
      <fill>
        <patternFill>
          <bgColor rgb="FF0066FF"/>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tint="-0.24994659260841701"/>
      </font>
      <fill>
        <patternFill>
          <bgColor theme="0" tint="-0.24994659260841701"/>
        </patternFill>
      </fill>
    </dxf>
    <dxf>
      <font>
        <color theme="0"/>
      </font>
      <fill>
        <patternFill>
          <bgColor rgb="FFC00000"/>
        </patternFill>
      </fill>
    </dxf>
    <dxf>
      <font>
        <color theme="0"/>
      </font>
      <fill>
        <patternFill>
          <bgColor theme="0"/>
        </patternFill>
      </fill>
      <border>
        <left/>
        <right/>
        <top/>
        <bottom/>
        <vertical/>
        <horizontal/>
      </border>
    </dxf>
    <dxf>
      <font>
        <color theme="0" tint="-0.24994659260841701"/>
      </font>
      <fill>
        <patternFill>
          <bgColor theme="0" tint="-0.24994659260841701"/>
        </patternFill>
      </fill>
    </dxf>
    <dxf>
      <fill>
        <patternFill>
          <bgColor rgb="FF00B050"/>
        </patternFill>
      </fill>
    </dxf>
    <dxf>
      <fill>
        <patternFill>
          <bgColor rgb="FFFFFF00"/>
        </patternFill>
      </fill>
    </dxf>
    <dxf>
      <fill>
        <patternFill>
          <bgColor rgb="FFFF0000"/>
        </patternFill>
      </fill>
    </dxf>
    <dxf>
      <font>
        <color theme="0"/>
      </font>
      <fill>
        <patternFill patternType="solid">
          <fgColor theme="0"/>
          <bgColor auto="1"/>
        </patternFill>
      </fill>
      <border>
        <left/>
        <right/>
        <top/>
        <bottom/>
        <vertical/>
        <horizontal/>
      </border>
    </dxf>
    <dxf>
      <font>
        <color theme="0"/>
      </font>
      <fill>
        <patternFill patternType="solid">
          <fgColor theme="0"/>
          <bgColor auto="1"/>
        </patternFill>
      </fill>
      <border>
        <left/>
        <right/>
        <top/>
        <bottom/>
        <vertical/>
        <horizontal/>
      </border>
    </dxf>
    <dxf>
      <font>
        <color theme="1" tint="0.34998626667073579"/>
      </font>
      <fill>
        <patternFill>
          <bgColor theme="1" tint="0.34998626667073579"/>
        </patternFill>
      </fill>
    </dxf>
    <dxf>
      <font>
        <color theme="0"/>
      </font>
      <fill>
        <patternFill>
          <bgColor theme="0"/>
        </patternFill>
      </fill>
    </dxf>
    <dxf>
      <font>
        <color theme="1" tint="0.34998626667073579"/>
      </font>
      <fill>
        <patternFill>
          <bgColor theme="1" tint="0.34998626667073579"/>
        </patternFill>
      </fill>
    </dxf>
    <dxf>
      <font>
        <color theme="0"/>
      </font>
      <fill>
        <patternFill>
          <bgColor theme="0"/>
        </patternFill>
      </fill>
    </dxf>
    <dxf>
      <font>
        <color theme="0"/>
      </font>
      <fill>
        <patternFill patternType="solid">
          <fgColor theme="0"/>
          <bgColor auto="1"/>
        </patternFill>
      </fill>
      <border>
        <left/>
        <right/>
        <top/>
        <bottom/>
        <vertical/>
        <horizontal/>
      </border>
    </dxf>
    <dxf>
      <font>
        <color theme="0"/>
      </font>
      <fill>
        <patternFill patternType="solid">
          <fgColor theme="0"/>
          <bgColor auto="1"/>
        </patternFill>
      </fill>
      <border>
        <left/>
        <right/>
        <top/>
        <bottom/>
        <vertical/>
        <horizontal/>
      </border>
    </dxf>
    <dxf>
      <font>
        <color theme="1" tint="0.34998626667073579"/>
      </font>
      <fill>
        <patternFill>
          <bgColor theme="1" tint="0.34998626667073579"/>
        </patternFill>
      </fill>
    </dxf>
    <dxf>
      <font>
        <color theme="0"/>
      </font>
      <fill>
        <patternFill patternType="solid">
          <fgColor theme="0"/>
          <bgColor auto="1"/>
        </patternFill>
      </fill>
      <border>
        <left/>
        <right/>
        <top/>
        <bottom/>
        <vertical/>
        <horizontal/>
      </border>
    </dxf>
    <dxf>
      <font>
        <color theme="0"/>
      </font>
      <fill>
        <patternFill patternType="solid">
          <fgColor theme="0"/>
          <bgColor auto="1"/>
        </patternFill>
      </fill>
      <border>
        <left/>
        <right/>
        <top/>
        <bottom/>
        <vertical/>
        <horizontal/>
      </border>
    </dxf>
    <dxf>
      <font>
        <color theme="0"/>
      </font>
      <fill>
        <patternFill patternType="solid">
          <fgColor theme="0"/>
          <bgColor auto="1"/>
        </patternFill>
      </fill>
      <border>
        <left/>
        <right/>
        <top/>
        <bottom/>
        <vertical/>
        <horizontal/>
      </border>
    </dxf>
    <dxf>
      <font>
        <color theme="0"/>
      </font>
      <fill>
        <patternFill>
          <bgColor rgb="FFC00000"/>
        </patternFill>
      </fill>
    </dxf>
    <dxf>
      <font>
        <color theme="0"/>
      </font>
      <fill>
        <patternFill>
          <bgColor rgb="FFC00000"/>
        </patternFill>
      </fill>
    </dxf>
    <dxf>
      <font>
        <color theme="0"/>
      </font>
      <fill>
        <patternFill>
          <bgColor rgb="FFC00000"/>
        </patternFill>
      </fill>
    </dxf>
    <dxf>
      <fill>
        <patternFill>
          <bgColor theme="0"/>
        </patternFill>
      </fill>
      <border>
        <right style="thin">
          <color theme="0"/>
        </right>
        <top style="thin">
          <color theme="0"/>
        </top>
        <bottom style="thin">
          <color theme="0"/>
        </bottom>
        <vertical/>
        <horizontal/>
      </border>
    </dxf>
    <dxf>
      <fill>
        <patternFill>
          <bgColor theme="0"/>
        </patternFill>
      </fill>
      <border>
        <right style="thin">
          <color theme="0"/>
        </right>
        <top style="thin">
          <color theme="0"/>
        </top>
        <bottom style="thin">
          <color theme="0"/>
        </bottom>
        <vertical/>
        <horizontal/>
      </border>
    </dxf>
    <dxf>
      <font>
        <color theme="0" tint="-0.24994659260841701"/>
      </font>
      <fill>
        <patternFill>
          <bgColor theme="0" tint="-0.24994659260841701"/>
        </patternFill>
      </fill>
      <border>
        <right/>
      </border>
    </dxf>
    <dxf>
      <fill>
        <patternFill>
          <bgColor rgb="FFFFFF66"/>
        </patternFill>
      </fill>
      <border>
        <right/>
      </border>
    </dxf>
    <dxf>
      <font>
        <color theme="0" tint="-0.24994659260841701"/>
      </font>
      <fill>
        <patternFill>
          <bgColor theme="0" tint="-0.24994659260841701"/>
        </patternFill>
      </fill>
      <border>
        <right/>
      </border>
    </dxf>
    <dxf>
      <font>
        <color theme="0" tint="-0.24994659260841701"/>
      </font>
      <fill>
        <patternFill>
          <bgColor theme="0" tint="-0.24994659260841701"/>
        </patternFill>
      </fill>
      <border>
        <left/>
        <right/>
        <top style="thin">
          <color rgb="FF007DC5"/>
        </top>
        <bottom style="thin">
          <color rgb="FF007DC5"/>
        </bottom>
        <vertical/>
        <horizontal/>
      </border>
    </dxf>
    <dxf>
      <font>
        <b/>
        <i val="0"/>
        <color auto="1"/>
      </font>
      <fill>
        <patternFill>
          <bgColor theme="0" tint="-0.24994659260841701"/>
        </patternFill>
      </fill>
      <border>
        <left/>
        <right/>
        <top style="thin">
          <color rgb="FF007DC5"/>
        </top>
        <bottom style="thin">
          <color rgb="FF007DC5"/>
        </bottom>
        <vertical/>
        <horizontal/>
      </border>
    </dxf>
    <dxf>
      <font>
        <color theme="0" tint="-0.24994659260841701"/>
      </font>
      <fill>
        <patternFill>
          <bgColor theme="0" tint="-0.24994659260841701"/>
        </patternFill>
      </fill>
      <border>
        <left/>
        <right/>
        <top style="thin">
          <color rgb="FF007DC5"/>
        </top>
        <bottom style="thin">
          <color rgb="FF007DC5"/>
        </bottom>
      </border>
    </dxf>
    <dxf>
      <font>
        <color theme="0" tint="-0.24994659260841701"/>
      </font>
      <fill>
        <patternFill>
          <bgColor theme="0" tint="-0.24994659260841701"/>
        </patternFill>
      </fill>
      <border>
        <left/>
        <right style="thin">
          <color rgb="FF007DC5"/>
        </right>
        <top style="thin">
          <color rgb="FF007DC5"/>
        </top>
        <bottom style="thin">
          <color rgb="FF007DC5"/>
        </bottom>
        <vertical/>
        <horizontal/>
      </border>
    </dxf>
    <dxf>
      <font>
        <b/>
        <i val="0"/>
        <color auto="1"/>
      </font>
      <fill>
        <patternFill>
          <bgColor theme="0" tint="-0.24994659260841701"/>
        </patternFill>
      </fill>
      <border>
        <left/>
        <right style="thin">
          <color rgb="FF007DC5"/>
        </right>
        <top style="thin">
          <color rgb="FF007DC5"/>
        </top>
        <bottom style="thin">
          <color rgb="FF007DC5"/>
        </bottom>
        <vertical/>
        <horizontal/>
      </border>
    </dxf>
    <dxf>
      <font>
        <color theme="0" tint="-0.24994659260841701"/>
      </font>
      <fill>
        <patternFill>
          <bgColor theme="0" tint="-0.24994659260841701"/>
        </patternFill>
      </fill>
      <border>
        <left/>
        <right style="thin">
          <color rgb="FF007DC5"/>
        </right>
        <top style="thin">
          <color rgb="FF007DC5"/>
        </top>
        <bottom style="thin">
          <color rgb="FF007DC5"/>
        </bottom>
        <vertical/>
        <horizontal/>
      </border>
    </dxf>
    <dxf>
      <font>
        <b/>
        <i val="0"/>
        <color auto="1"/>
      </font>
      <fill>
        <patternFill>
          <bgColor theme="0" tint="-0.24994659260841701"/>
        </patternFill>
      </fill>
      <border>
        <left/>
        <right style="thin">
          <color rgb="FF007DC5"/>
        </right>
        <top style="thin">
          <color rgb="FF007DC5"/>
        </top>
        <bottom style="thin">
          <color rgb="FF007DC5"/>
        </bottom>
        <vertical/>
        <horizontal/>
      </border>
    </dxf>
    <dxf>
      <font>
        <color theme="0" tint="-0.24994659260841701"/>
      </font>
      <fill>
        <patternFill>
          <bgColor theme="0" tint="-0.24994659260841701"/>
        </patternFill>
      </fill>
      <border>
        <left/>
        <right/>
        <top style="thin">
          <color rgb="FF007DC5"/>
        </top>
        <bottom style="thin">
          <color rgb="FF007DC5"/>
        </bottom>
      </border>
    </dxf>
    <dxf>
      <font>
        <color theme="0" tint="-0.24994659260841701"/>
      </font>
      <fill>
        <patternFill>
          <bgColor theme="0" tint="-0.24994659260841701"/>
        </patternFill>
      </fill>
    </dxf>
    <dxf>
      <fill>
        <patternFill>
          <bgColor rgb="FFFFFF66"/>
        </patternFill>
      </fill>
    </dxf>
    <dxf>
      <font>
        <color theme="0" tint="-0.24994659260841701"/>
      </font>
      <fill>
        <patternFill>
          <bgColor theme="0" tint="-0.24994659260841701"/>
        </patternFill>
      </fill>
    </dxf>
    <dxf>
      <font>
        <color theme="0" tint="-0.24994659260841701"/>
      </font>
      <fill>
        <patternFill>
          <bgColor theme="0" tint="-0.24994659260841701"/>
        </patternFill>
      </fill>
    </dxf>
    <dxf>
      <fill>
        <patternFill>
          <bgColor rgb="FFFFFF66"/>
        </patternFill>
      </fill>
    </dxf>
    <dxf>
      <font>
        <color theme="0" tint="-0.24994659260841701"/>
      </font>
      <fill>
        <patternFill>
          <bgColor theme="0" tint="-0.24994659260841701"/>
        </patternFill>
      </fill>
    </dxf>
    <dxf>
      <font>
        <color theme="0" tint="-0.24994659260841701"/>
      </font>
      <fill>
        <patternFill>
          <bgColor theme="0" tint="-0.24994659260841701"/>
        </patternFill>
      </fill>
      <border>
        <left/>
        <right/>
        <top style="thin">
          <color rgb="FF007DC5"/>
        </top>
        <bottom style="thin">
          <color rgb="FF007DC5"/>
        </bottom>
      </border>
    </dxf>
    <dxf>
      <font>
        <color theme="0" tint="-0.24994659260841701"/>
      </font>
      <fill>
        <patternFill>
          <bgColor theme="0" tint="-0.24994659260841701"/>
        </patternFill>
      </fill>
      <border>
        <right/>
      </border>
    </dxf>
    <dxf>
      <fill>
        <patternFill>
          <bgColor rgb="FFFFFF66"/>
        </patternFill>
      </fill>
      <border>
        <right/>
      </border>
    </dxf>
    <dxf>
      <font>
        <color theme="0" tint="-0.24994659260841701"/>
      </font>
      <fill>
        <patternFill>
          <bgColor theme="0" tint="-0.24994659260841701"/>
        </patternFill>
      </fill>
      <border>
        <right/>
      </border>
    </dxf>
    <dxf>
      <font>
        <color theme="0" tint="-0.24994659260841701"/>
      </font>
      <fill>
        <patternFill>
          <bgColor theme="0" tint="-0.24994659260841701"/>
        </patternFill>
      </fill>
      <border>
        <left/>
        <right/>
        <top style="thin">
          <color rgb="FF007DC5"/>
        </top>
        <bottom style="thin">
          <color rgb="FF007DC5"/>
        </bottom>
        <vertical/>
        <horizontal/>
      </border>
    </dxf>
    <dxf>
      <font>
        <b/>
        <i val="0"/>
        <color auto="1"/>
      </font>
      <fill>
        <patternFill>
          <bgColor theme="0" tint="-0.24994659260841701"/>
        </patternFill>
      </fill>
      <border>
        <left/>
        <right/>
        <top style="thin">
          <color rgb="FF007DC5"/>
        </top>
        <bottom style="thin">
          <color rgb="FF007DC5"/>
        </bottom>
        <vertical/>
        <horizontal/>
      </border>
    </dxf>
    <dxf>
      <font>
        <color theme="0" tint="-0.24994659260841701"/>
      </font>
      <fill>
        <patternFill>
          <bgColor theme="0" tint="-0.24994659260841701"/>
        </patternFill>
      </fill>
      <border>
        <left/>
        <right/>
        <top style="thin">
          <color rgb="FF007DC5"/>
        </top>
        <bottom style="thin">
          <color rgb="FF007DC5"/>
        </bottom>
      </border>
    </dxf>
    <dxf>
      <font>
        <color theme="0" tint="-0.24994659260841701"/>
      </font>
      <fill>
        <patternFill>
          <bgColor theme="0" tint="-0.24994659260841701"/>
        </patternFill>
      </fill>
      <border>
        <left/>
        <right style="thin">
          <color rgb="FF007DC5"/>
        </right>
        <top style="thin">
          <color rgb="FF007DC5"/>
        </top>
        <bottom style="thin">
          <color rgb="FF007DC5"/>
        </bottom>
        <vertical/>
        <horizontal/>
      </border>
    </dxf>
    <dxf>
      <font>
        <b/>
        <i val="0"/>
        <color auto="1"/>
      </font>
      <fill>
        <patternFill>
          <bgColor theme="0" tint="-0.24994659260841701"/>
        </patternFill>
      </fill>
      <border>
        <left/>
        <right style="thin">
          <color rgb="FF007DC5"/>
        </right>
        <top style="thin">
          <color rgb="FF007DC5"/>
        </top>
        <bottom style="thin">
          <color rgb="FF007DC5"/>
        </bottom>
        <vertical/>
        <horizontal/>
      </border>
    </dxf>
    <dxf>
      <font>
        <color theme="0" tint="-0.24994659260841701"/>
      </font>
      <fill>
        <patternFill>
          <bgColor theme="0" tint="-0.24994659260841701"/>
        </patternFill>
      </fill>
      <border>
        <left/>
        <right style="thin">
          <color rgb="FF007DC5"/>
        </right>
        <top style="thin">
          <color rgb="FF007DC5"/>
        </top>
        <bottom style="thin">
          <color rgb="FF007DC5"/>
        </bottom>
        <vertical/>
        <horizontal/>
      </border>
    </dxf>
    <dxf>
      <font>
        <b/>
        <i val="0"/>
      </font>
      <fill>
        <patternFill>
          <bgColor theme="0" tint="-0.24994659260841701"/>
        </patternFill>
      </fill>
      <border>
        <left/>
        <right style="thin">
          <color rgb="FF007DC5"/>
        </right>
        <top style="thin">
          <color rgb="FF007DC5"/>
        </top>
        <bottom style="thin">
          <color rgb="FF007DC5"/>
        </bottom>
        <vertical/>
        <horizontal/>
      </border>
    </dxf>
    <dxf>
      <font>
        <color theme="0" tint="-0.24994659260841701"/>
      </font>
      <fill>
        <patternFill>
          <bgColor theme="0" tint="-0.24994659260841701"/>
        </patternFill>
      </fill>
      <border>
        <left/>
        <right/>
        <top style="thin">
          <color rgb="FF007DC5"/>
        </top>
        <bottom style="thin">
          <color rgb="FF007DC5"/>
        </bottom>
      </border>
    </dxf>
    <dxf>
      <font>
        <color theme="0" tint="-0.24994659260841701"/>
      </font>
      <fill>
        <patternFill>
          <bgColor theme="0" tint="-0.24994659260841701"/>
        </patternFill>
      </fill>
    </dxf>
    <dxf>
      <fill>
        <patternFill>
          <bgColor rgb="FFFFFF66"/>
        </patternFill>
      </fill>
    </dxf>
    <dxf>
      <font>
        <color theme="0" tint="-0.24994659260841701"/>
      </font>
      <fill>
        <patternFill>
          <bgColor theme="0" tint="-0.24994659260841701"/>
        </patternFill>
      </fill>
    </dxf>
    <dxf>
      <font>
        <color theme="0" tint="-0.24994659260841701"/>
      </font>
      <fill>
        <patternFill>
          <bgColor theme="0" tint="-0.24994659260841701"/>
        </patternFill>
      </fill>
    </dxf>
    <dxf>
      <fill>
        <patternFill>
          <bgColor rgb="FFFFFF66"/>
        </patternFill>
      </fill>
    </dxf>
    <dxf>
      <font>
        <color theme="0" tint="-0.24994659260841701"/>
      </font>
      <fill>
        <patternFill>
          <bgColor theme="0" tint="-0.24994659260841701"/>
        </patternFill>
      </fill>
    </dxf>
    <dxf>
      <font>
        <color theme="0" tint="-0.24994659260841701"/>
      </font>
      <fill>
        <patternFill>
          <bgColor theme="0" tint="-0.24994659260841701"/>
        </patternFill>
      </fill>
      <border>
        <left/>
        <right/>
        <top style="thin">
          <color rgb="FF007DC5"/>
        </top>
        <bottom style="thin">
          <color rgb="FF007DC5"/>
        </bottom>
      </border>
    </dxf>
    <dxf>
      <font>
        <color theme="0" tint="-0.24994659260841701"/>
      </font>
      <fill>
        <patternFill>
          <bgColor theme="0" tint="-0.24994659260841701"/>
        </patternFill>
      </fill>
      <border>
        <right/>
      </border>
    </dxf>
    <dxf>
      <fill>
        <patternFill>
          <bgColor rgb="FFFFFF66"/>
        </patternFill>
      </fill>
      <border>
        <right/>
      </border>
    </dxf>
    <dxf>
      <font>
        <color theme="0" tint="-0.24994659260841701"/>
      </font>
      <fill>
        <patternFill>
          <bgColor theme="0" tint="-0.24994659260841701"/>
        </patternFill>
      </fill>
      <border>
        <right/>
      </border>
    </dxf>
    <dxf>
      <font>
        <color theme="0" tint="-0.24994659260841701"/>
      </font>
      <fill>
        <patternFill>
          <bgColor theme="0" tint="-0.24994659260841701"/>
        </patternFill>
      </fill>
      <border>
        <left/>
        <right/>
        <top style="thin">
          <color rgb="FF007DC5"/>
        </top>
        <bottom style="thin">
          <color rgb="FF007DC5"/>
        </bottom>
        <vertical/>
        <horizontal/>
      </border>
    </dxf>
    <dxf>
      <font>
        <b/>
        <i val="0"/>
        <color auto="1"/>
      </font>
      <fill>
        <patternFill>
          <bgColor theme="0" tint="-0.24994659260841701"/>
        </patternFill>
      </fill>
      <border>
        <left/>
        <right/>
        <top style="thin">
          <color rgb="FF007DC5"/>
        </top>
        <bottom style="thin">
          <color rgb="FF007DC5"/>
        </bottom>
        <vertical/>
        <horizontal/>
      </border>
    </dxf>
    <dxf>
      <font>
        <color theme="0" tint="-0.24994659260841701"/>
      </font>
      <fill>
        <patternFill>
          <bgColor theme="0" tint="-0.24994659260841701"/>
        </patternFill>
      </fill>
      <border>
        <left/>
        <right/>
        <top style="thin">
          <color rgb="FF007DC5"/>
        </top>
        <bottom style="thin">
          <color rgb="FF007DC5"/>
        </bottom>
      </border>
    </dxf>
    <dxf>
      <font>
        <color theme="0" tint="-0.24994659260841701"/>
      </font>
      <fill>
        <patternFill>
          <bgColor theme="0" tint="-0.24994659260841701"/>
        </patternFill>
      </fill>
      <border>
        <left/>
        <right style="thin">
          <color rgb="FF007DC5"/>
        </right>
        <top style="thin">
          <color rgb="FF007DC5"/>
        </top>
        <bottom style="thin">
          <color rgb="FF007DC5"/>
        </bottom>
        <vertical/>
        <horizontal/>
      </border>
    </dxf>
    <dxf>
      <font>
        <b/>
        <i val="0"/>
        <color auto="1"/>
      </font>
      <fill>
        <patternFill>
          <bgColor theme="0" tint="-0.24994659260841701"/>
        </patternFill>
      </fill>
      <border>
        <left/>
        <right style="thin">
          <color rgb="FF007DC5"/>
        </right>
        <top style="thin">
          <color rgb="FF007DC5"/>
        </top>
        <bottom style="thin">
          <color rgb="FF007DC5"/>
        </bottom>
        <vertical/>
        <horizontal/>
      </border>
    </dxf>
    <dxf>
      <font>
        <color theme="0" tint="-0.24994659260841701"/>
      </font>
      <fill>
        <patternFill>
          <bgColor theme="0" tint="-0.24994659260841701"/>
        </patternFill>
      </fill>
      <border>
        <left/>
        <right style="thin">
          <color rgb="FF007DC5"/>
        </right>
        <top style="thin">
          <color rgb="FF007DC5"/>
        </top>
        <bottom style="thin">
          <color rgb="FF007DC5"/>
        </bottom>
        <vertical/>
        <horizontal/>
      </border>
    </dxf>
    <dxf>
      <font>
        <b/>
        <i val="0"/>
      </font>
      <fill>
        <patternFill>
          <bgColor theme="0" tint="-0.24994659260841701"/>
        </patternFill>
      </fill>
      <border>
        <left/>
        <right style="thin">
          <color rgb="FF007DC5"/>
        </right>
        <top style="thin">
          <color rgb="FF007DC5"/>
        </top>
        <bottom style="thin">
          <color rgb="FF007DC5"/>
        </bottom>
        <vertical/>
        <horizontal/>
      </border>
    </dxf>
    <dxf>
      <font>
        <color theme="0" tint="-0.24994659260841701"/>
      </font>
      <fill>
        <patternFill>
          <bgColor theme="0" tint="-0.24994659260841701"/>
        </patternFill>
      </fill>
      <border>
        <left/>
        <right/>
        <top style="thin">
          <color rgb="FF007DC5"/>
        </top>
        <bottom style="thin">
          <color rgb="FF007DC5"/>
        </bottom>
      </border>
    </dxf>
    <dxf>
      <font>
        <color theme="0" tint="-0.24994659260841701"/>
      </font>
      <fill>
        <patternFill>
          <bgColor theme="0" tint="-0.24994659260841701"/>
        </patternFill>
      </fill>
    </dxf>
    <dxf>
      <fill>
        <patternFill>
          <bgColor rgb="FFFFFF66"/>
        </patternFill>
      </fill>
    </dxf>
    <dxf>
      <font>
        <color theme="0" tint="-0.24994659260841701"/>
      </font>
      <fill>
        <patternFill>
          <bgColor theme="0" tint="-0.24994659260841701"/>
        </patternFill>
      </fill>
    </dxf>
    <dxf>
      <font>
        <color theme="0" tint="-0.24994659260841701"/>
      </font>
      <fill>
        <patternFill>
          <bgColor theme="0" tint="-0.24994659260841701"/>
        </patternFill>
      </fill>
    </dxf>
    <dxf>
      <fill>
        <patternFill>
          <bgColor rgb="FFFFFF66"/>
        </patternFill>
      </fill>
    </dxf>
    <dxf>
      <font>
        <color theme="0" tint="-0.24994659260841701"/>
      </font>
      <fill>
        <patternFill>
          <bgColor theme="0" tint="-0.24994659260841701"/>
        </patternFill>
      </fill>
    </dxf>
    <dxf>
      <font>
        <color theme="0" tint="-0.24994659260841701"/>
      </font>
      <fill>
        <patternFill>
          <bgColor theme="0" tint="-0.24994659260841701"/>
        </patternFill>
      </fill>
      <border>
        <left/>
        <right/>
        <top style="thin">
          <color rgb="FF007DC5"/>
        </top>
        <bottom style="thin">
          <color rgb="FF007DC5"/>
        </bottom>
      </border>
    </dxf>
    <dxf>
      <font>
        <color theme="0"/>
      </font>
      <fill>
        <patternFill>
          <bgColor rgb="FFFF0000"/>
        </patternFill>
      </fill>
    </dxf>
    <dxf>
      <font>
        <color theme="0"/>
      </font>
      <fill>
        <patternFill>
          <bgColor theme="0"/>
        </patternFill>
      </fill>
    </dxf>
    <dxf>
      <font>
        <color theme="9" tint="0.79998168889431442"/>
      </font>
      <fill>
        <patternFill>
          <bgColor theme="9" tint="0.79998168889431442"/>
        </patternFill>
      </fill>
      <border>
        <left style="thin">
          <color theme="9" tint="0.79998168889431442"/>
        </left>
        <top style="thin">
          <color theme="9" tint="0.79998168889431442"/>
        </top>
        <bottom style="thin">
          <color theme="9" tint="0.79998168889431442"/>
        </bottom>
      </border>
    </dxf>
    <dxf>
      <font>
        <color theme="9" tint="0.79998168889431442"/>
      </font>
      <fill>
        <patternFill>
          <bgColor theme="9" tint="0.79998168889431442"/>
        </patternFill>
      </fill>
      <border>
        <left style="thin">
          <color theme="9" tint="0.79998168889431442"/>
        </left>
        <right style="thin">
          <color theme="9" tint="0.79998168889431442"/>
        </right>
        <top style="thin">
          <color theme="9" tint="-0.24994659260841701"/>
        </top>
        <bottom style="thin">
          <color theme="9" tint="-0.24994659260841701"/>
        </bottom>
      </border>
    </dxf>
    <dxf>
      <font>
        <color theme="0"/>
      </font>
      <fill>
        <patternFill>
          <bgColor theme="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tint="-0.24994659260841701"/>
      </font>
      <fill>
        <patternFill>
          <bgColor theme="0" tint="-0.24994659260841701"/>
        </patternFill>
      </fill>
    </dxf>
    <dxf>
      <font>
        <color theme="0"/>
      </font>
      <fill>
        <patternFill patternType="none">
          <bgColor auto="1"/>
        </patternFill>
      </fill>
      <border>
        <left/>
        <right/>
        <top/>
        <bottom/>
        <vertical/>
        <horizontal/>
      </border>
    </dxf>
    <dxf>
      <font>
        <color theme="4" tint="0.59996337778862885"/>
      </font>
      <fill>
        <patternFill>
          <bgColor theme="4" tint="0.59996337778862885"/>
        </patternFill>
      </fill>
    </dxf>
    <dxf>
      <font>
        <color theme="4" tint="0.59996337778862885"/>
      </font>
      <fill>
        <patternFill>
          <bgColor theme="4" tint="0.59996337778862885"/>
        </patternFill>
      </fill>
    </dxf>
    <dxf>
      <font>
        <color theme="4" tint="0.59996337778862885"/>
      </font>
      <fill>
        <patternFill>
          <bgColor theme="4" tint="0.59996337778862885"/>
        </patternFill>
      </fill>
    </dxf>
    <dxf>
      <font>
        <color theme="4" tint="0.59996337778862885"/>
      </font>
      <fill>
        <patternFill>
          <bgColor theme="4" tint="0.59996337778862885"/>
        </patternFill>
      </fill>
    </dxf>
    <dxf>
      <font>
        <color theme="0"/>
      </font>
      <fill>
        <patternFill patternType="solid">
          <bgColor rgb="FFFF0000"/>
        </patternFill>
      </fill>
    </dxf>
    <dxf>
      <font>
        <color theme="4" tint="0.59996337778862885"/>
      </font>
      <fill>
        <patternFill>
          <bgColor theme="4" tint="0.59996337778862885"/>
        </patternFill>
      </fill>
    </dxf>
    <dxf>
      <font>
        <b/>
        <i val="0"/>
        <color theme="0"/>
      </font>
      <fill>
        <patternFill>
          <bgColor rgb="FFC00000"/>
        </patternFill>
      </fill>
    </dxf>
    <dxf>
      <fill>
        <patternFill>
          <bgColor theme="0"/>
        </patternFill>
      </fill>
      <border>
        <right style="thin">
          <color theme="0"/>
        </right>
        <top style="thin">
          <color theme="0"/>
        </top>
        <bottom style="thin">
          <color theme="0"/>
        </bottom>
        <vertical/>
        <horizontal/>
      </border>
    </dxf>
    <dxf>
      <fill>
        <patternFill>
          <bgColor theme="0"/>
        </patternFill>
      </fill>
      <border>
        <right style="thin">
          <color theme="0"/>
        </right>
        <top style="thin">
          <color theme="0"/>
        </top>
        <bottom style="thin">
          <color theme="0"/>
        </bottom>
        <vertical/>
        <horizontal/>
      </border>
    </dxf>
    <dxf>
      <border>
        <left style="thin">
          <color theme="0"/>
        </left>
        <right style="thin">
          <color theme="0"/>
        </right>
        <top style="thin">
          <color theme="0"/>
        </top>
        <bottom style="thin">
          <color theme="0"/>
        </bottom>
        <vertical/>
        <horizontal/>
      </border>
    </dxf>
    <dxf>
      <border>
        <left style="thin">
          <color theme="0"/>
        </left>
        <right style="thin">
          <color theme="0"/>
        </right>
        <top style="thin">
          <color theme="0"/>
        </top>
        <bottom style="thin">
          <color theme="0"/>
        </bottom>
        <vertical/>
        <horizontal/>
      </border>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border>
        <top style="thin">
          <color theme="0"/>
        </top>
        <vertical/>
        <horizontal/>
      </border>
    </dxf>
    <dxf>
      <border>
        <right style="thin">
          <color theme="0"/>
        </right>
        <top style="thin">
          <color theme="0"/>
        </top>
        <vertical/>
        <horizontal/>
      </border>
    </dxf>
    <dxf>
      <font>
        <color theme="0"/>
      </font>
      <fill>
        <patternFill>
          <bgColor theme="0"/>
        </patternFill>
      </fill>
      <border>
        <right/>
        <top/>
        <bottom/>
        <vertical/>
        <horizontal/>
      </border>
    </dxf>
    <dxf>
      <font>
        <color theme="9" tint="0.79998168889431442"/>
      </font>
      <fill>
        <patternFill>
          <bgColor theme="9" tint="0.79998168889431442"/>
        </patternFill>
      </fill>
      <border>
        <left/>
        <top/>
        <bottom/>
      </border>
    </dxf>
    <dxf>
      <font>
        <color theme="0"/>
      </font>
      <fill>
        <patternFill>
          <bgColor theme="0"/>
        </patternFill>
      </fill>
      <border>
        <left style="thin">
          <color theme="0"/>
        </left>
        <right style="thin">
          <color theme="0"/>
        </right>
        <top style="thin">
          <color theme="0"/>
        </top>
        <bottom style="thin">
          <color theme="0"/>
        </bottom>
        <vertical/>
        <horizontal/>
      </border>
    </dxf>
    <dxf>
      <font>
        <color theme="0"/>
      </font>
      <fill>
        <patternFill>
          <fgColor theme="0"/>
        </patternFill>
      </fill>
      <border>
        <left/>
        <right/>
        <top/>
        <bottom/>
        <vertical/>
        <horizontal/>
      </border>
    </dxf>
    <dxf>
      <font>
        <color theme="0"/>
      </font>
      <fill>
        <patternFill>
          <fgColor theme="0"/>
        </patternFill>
      </fill>
      <border>
        <left/>
        <right/>
        <top/>
        <bottom/>
        <vertical/>
        <horizontal/>
      </border>
    </dxf>
    <dxf>
      <font>
        <color theme="0"/>
      </font>
      <fill>
        <patternFill>
          <fgColor theme="0"/>
        </patternFill>
      </fill>
      <border>
        <left/>
        <right/>
        <top/>
        <bottom/>
        <vertical/>
        <horizontal/>
      </border>
    </dxf>
    <dxf>
      <font>
        <color theme="0"/>
      </font>
      <border>
        <left style="thin">
          <color theme="0"/>
        </left>
        <right style="thin">
          <color theme="0"/>
        </right>
        <top style="thin">
          <color theme="0"/>
        </top>
        <bottom style="thin">
          <color theme="0"/>
        </bottom>
        <vertical/>
        <horizontal/>
      </border>
    </dxf>
    <dxf>
      <font>
        <color theme="0"/>
      </font>
      <fill>
        <patternFill>
          <fgColor theme="0"/>
        </patternFill>
      </fill>
      <border>
        <left/>
        <right/>
        <top/>
        <bottom/>
        <vertical/>
        <horizontal/>
      </border>
    </dxf>
    <dxf>
      <border>
        <left style="thin">
          <color theme="0"/>
        </left>
        <right style="thin">
          <color theme="0"/>
        </right>
        <top style="thin">
          <color theme="0"/>
        </top>
        <bottom style="thin">
          <color theme="0"/>
        </bottom>
        <vertical/>
        <horizontal/>
      </border>
    </dxf>
    <dxf>
      <font>
        <color theme="0"/>
      </font>
      <fill>
        <patternFill>
          <fgColor theme="0"/>
        </patternFill>
      </fill>
      <border>
        <left style="thin">
          <color theme="0"/>
        </left>
        <right style="thin">
          <color theme="0"/>
        </right>
        <top style="thin">
          <color theme="0"/>
        </top>
        <bottom style="thin">
          <color theme="0"/>
        </bottom>
        <vertical/>
        <horizontal/>
      </border>
    </dxf>
    <dxf>
      <font>
        <color theme="0"/>
      </font>
      <fill>
        <patternFill>
          <fgColor theme="0"/>
        </patternFill>
      </fill>
      <border>
        <left/>
        <right/>
        <top/>
        <bottom/>
        <vertical/>
        <horizontal/>
      </border>
    </dxf>
    <dxf>
      <border>
        <left style="thin">
          <color theme="0"/>
        </left>
        <right style="thin">
          <color theme="0"/>
        </right>
        <top style="thin">
          <color theme="0"/>
        </top>
        <bottom style="thin">
          <color theme="0"/>
        </bottom>
        <vertical/>
        <horizontal/>
      </border>
    </dxf>
    <dxf>
      <font>
        <color theme="0"/>
      </font>
      <fill>
        <patternFill>
          <fgColor theme="0"/>
        </patternFill>
      </fill>
      <border>
        <left style="thin">
          <color theme="0"/>
        </left>
        <right style="thin">
          <color theme="0"/>
        </right>
        <top style="thin">
          <color theme="0"/>
        </top>
        <bottom style="thin">
          <color theme="0"/>
        </bottom>
        <vertical/>
        <horizontal/>
      </border>
    </dxf>
    <dxf>
      <font>
        <color theme="0" tint="-0.24994659260841701"/>
      </font>
      <fill>
        <patternFill>
          <bgColor theme="0" tint="-0.24994659260841701"/>
        </patternFill>
      </fill>
      <border>
        <left/>
        <right/>
      </border>
    </dxf>
    <dxf>
      <fill>
        <patternFill>
          <bgColor rgb="FFFFFF66"/>
        </patternFill>
      </fill>
      <border>
        <right style="thin">
          <color rgb="FF007DC5"/>
        </right>
        <top style="thin">
          <color rgb="FF007DC5"/>
        </top>
        <bottom style="thin">
          <color rgb="FF007DC5"/>
        </bottom>
      </border>
    </dxf>
    <dxf>
      <font>
        <color theme="0" tint="-0.24994659260841701"/>
      </font>
      <fill>
        <patternFill>
          <bgColor theme="0" tint="-0.24994659260841701"/>
        </patternFill>
      </fill>
    </dxf>
    <dxf>
      <font>
        <color theme="0" tint="-0.24994659260841701"/>
      </font>
      <fill>
        <patternFill>
          <bgColor theme="0" tint="-0.24994659260841701"/>
        </patternFill>
      </fill>
      <border>
        <left/>
        <right style="thin">
          <color rgb="FF007DC5"/>
        </right>
        <top style="thin">
          <color rgb="FF007DC5"/>
        </top>
        <bottom style="thin">
          <color rgb="FF007DC5"/>
        </bottom>
      </border>
    </dxf>
    <dxf>
      <font>
        <color theme="0" tint="-0.24994659260841701"/>
      </font>
      <fill>
        <patternFill>
          <bgColor theme="0" tint="-0.24994659260841701"/>
        </patternFill>
      </fill>
    </dxf>
    <dxf>
      <font>
        <color theme="0" tint="-0.24994659260841701"/>
      </font>
      <fill>
        <patternFill>
          <bgColor theme="0" tint="-0.24994659260841701"/>
        </patternFill>
      </fill>
      <border>
        <left/>
        <right/>
        <top style="thin">
          <color rgb="FF007DC5"/>
        </top>
        <bottom style="thin">
          <color rgb="FF007DC5"/>
        </bottom>
      </border>
    </dxf>
    <dxf>
      <fill>
        <patternFill>
          <bgColor rgb="FFFFFF66"/>
        </patternFill>
      </fill>
    </dxf>
    <dxf>
      <font>
        <color theme="0" tint="-0.24994659260841701"/>
      </font>
      <fill>
        <patternFill>
          <bgColor theme="0" tint="-0.24994659260841701"/>
        </patternFill>
      </fill>
    </dxf>
    <dxf>
      <font>
        <color theme="0" tint="-0.24994659260841701"/>
      </font>
      <fill>
        <patternFill>
          <bgColor theme="0" tint="-0.24994659260841701"/>
        </patternFill>
      </fill>
    </dxf>
    <dxf>
      <fill>
        <patternFill>
          <bgColor rgb="FFFFFF66"/>
        </patternFill>
      </fill>
    </dxf>
    <dxf>
      <font>
        <color theme="0" tint="-0.24994659260841701"/>
      </font>
      <fill>
        <patternFill>
          <bgColor theme="0" tint="-0.24994659260841701"/>
        </patternFill>
      </fill>
    </dxf>
    <dxf>
      <font>
        <color theme="0" tint="-0.24994659260841701"/>
      </font>
      <fill>
        <patternFill>
          <bgColor theme="0" tint="-0.24994659260841701"/>
        </patternFill>
      </fill>
      <border>
        <left/>
        <right/>
        <top style="thin">
          <color rgb="FF007DC5"/>
        </top>
        <bottom style="thin">
          <color rgb="FF007DC5"/>
        </bottom>
      </border>
    </dxf>
    <dxf>
      <font>
        <color theme="0"/>
      </font>
      <fill>
        <patternFill>
          <fgColor theme="0"/>
        </patternFill>
      </fill>
      <border>
        <left style="thin">
          <color theme="0"/>
        </left>
        <right style="thin">
          <color theme="0"/>
        </right>
        <top style="thin">
          <color theme="0"/>
        </top>
        <bottom style="thin">
          <color theme="0"/>
        </bottom>
        <vertical/>
        <horizontal/>
      </border>
    </dxf>
    <dxf>
      <font>
        <color theme="0"/>
      </font>
      <fill>
        <patternFill>
          <bgColor theme="0"/>
        </patternFill>
      </fill>
      <border>
        <left/>
        <right/>
        <top/>
        <bottom/>
        <vertical/>
        <horizontal/>
      </border>
    </dxf>
    <dxf>
      <font>
        <color theme="0"/>
      </font>
      <fill>
        <patternFill>
          <bgColor rgb="FFFF0000"/>
        </patternFill>
      </fill>
    </dxf>
    <dxf>
      <font>
        <color theme="0"/>
      </font>
      <fill>
        <patternFill>
          <bgColor rgb="FFFF0000"/>
        </patternFill>
      </fill>
    </dxf>
    <dxf>
      <font>
        <color theme="0"/>
      </font>
      <fill>
        <patternFill patternType="darkTrellis">
          <bgColor rgb="FFFF0000"/>
        </patternFill>
      </fill>
    </dxf>
    <dxf>
      <font>
        <color theme="0"/>
      </font>
      <fill>
        <patternFill>
          <bgColor theme="0"/>
        </patternFill>
      </fill>
      <border>
        <left/>
        <right/>
        <top/>
        <bottom/>
        <vertical/>
        <horizontal/>
      </border>
    </dxf>
    <dxf>
      <font>
        <color theme="0"/>
      </font>
      <fill>
        <patternFill>
          <bgColor rgb="FFFF0000"/>
        </patternFill>
      </fill>
    </dxf>
    <dxf>
      <font>
        <color theme="0"/>
      </font>
      <fill>
        <patternFill>
          <bgColor rgb="FFFF0000"/>
        </patternFill>
      </fill>
    </dxf>
    <dxf>
      <font>
        <color theme="9" tint="0.79998168889431442"/>
      </font>
      <fill>
        <patternFill>
          <bgColor theme="9" tint="0.79998168889431442"/>
        </patternFill>
      </fill>
    </dxf>
    <dxf>
      <font>
        <color theme="0"/>
      </font>
      <fill>
        <patternFill>
          <bgColor theme="0"/>
        </patternFill>
      </fill>
      <border>
        <left/>
        <right/>
        <top style="thin">
          <color auto="1"/>
        </top>
        <bottom/>
        <vertical/>
        <horizontal/>
      </border>
    </dxf>
    <dxf>
      <font>
        <color theme="0"/>
      </font>
      <fill>
        <patternFill>
          <bgColor theme="0"/>
        </patternFill>
      </fill>
      <border>
        <left/>
        <right/>
        <top/>
        <bottom/>
        <vertical/>
        <horizontal/>
      </border>
    </dxf>
    <dxf>
      <font>
        <color theme="9" tint="0.79998168889431442"/>
      </font>
      <fill>
        <patternFill>
          <bgColor theme="9" tint="0.79998168889431442"/>
        </patternFill>
      </fill>
      <border>
        <left style="thin">
          <color theme="9" tint="0.79998168889431442"/>
        </left>
        <right style="thin">
          <color theme="9" tint="0.79998168889431442"/>
        </right>
        <top style="thin">
          <color theme="9" tint="-0.24994659260841701"/>
        </top>
        <bottom style="thin">
          <color theme="9" tint="-0.24994659260841701"/>
        </bottom>
      </border>
    </dxf>
    <dxf>
      <font>
        <color theme="0"/>
      </font>
      <fill>
        <patternFill>
          <bgColor rgb="FFC00000"/>
        </patternFill>
      </fill>
    </dxf>
    <dxf>
      <font>
        <color theme="0"/>
      </font>
      <fill>
        <patternFill>
          <bgColor theme="0"/>
        </patternFill>
      </fill>
      <border>
        <left/>
        <right/>
        <top/>
        <bottom/>
        <vertical/>
        <horizontal/>
      </border>
    </dxf>
    <dxf>
      <font>
        <color theme="0" tint="-0.24994659260841701"/>
      </font>
      <fill>
        <patternFill>
          <bgColor theme="0" tint="-0.24994659260841701"/>
        </patternFill>
      </fill>
    </dxf>
  </dxfs>
  <tableStyles count="0" defaultTableStyle="TableStyleMedium2" defaultPivotStyle="PivotStyleLight16"/>
  <colors>
    <mruColors>
      <color rgb="FF548235"/>
      <color rgb="FF99CCFF"/>
      <color rgb="FFFFFF66"/>
      <color rgb="FFFFFFCC"/>
      <color rgb="FFFFFF99"/>
      <color rgb="FF0066FF"/>
      <color rgb="FF007DC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4.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3.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2.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externalLink" Target="externalLinks/externalLink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5.xml"/><Relationship Id="rId30" Type="http://schemas.openxmlformats.org/officeDocument/2006/relationships/styles" Target="styles.xml"/></Relationships>
</file>

<file path=xl/ctrlProps/ctrlProp1.xml><?xml version="1.0" encoding="utf-8"?>
<formControlPr xmlns="http://schemas.microsoft.com/office/spreadsheetml/2009/9/main" objectType="CheckBox" fmlaLink="$AG$8"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BR$18" lockText="1" noThreeD="1"/>
</file>

<file path=xl/ctrlProps/ctrlProp6.xml><?xml version="1.0" encoding="utf-8"?>
<formControlPr xmlns="http://schemas.microsoft.com/office/spreadsheetml/2009/9/main" objectType="CheckBox" checked="Checked" fmlaLink="$BR$19" lockText="1" noThreeD="1"/>
</file>

<file path=xl/ctrlProps/ctrlProp7.xml><?xml version="1.0" encoding="utf-8"?>
<formControlPr xmlns="http://schemas.microsoft.com/office/spreadsheetml/2009/9/main" objectType="CheckBox" checked="Checked" fmlaLink="$BR$20" lockText="1" noThreeD="1"/>
</file>

<file path=xl/ctrlProps/ctrlProp8.xml><?xml version="1.0" encoding="utf-8"?>
<formControlPr xmlns="http://schemas.microsoft.com/office/spreadsheetml/2009/9/main" objectType="CheckBox" checked="Checked" fmlaLink="$BR$21" lockText="1" noThreeD="1"/>
</file>

<file path=xl/ctrlProps/ctrlProp9.xml><?xml version="1.0" encoding="utf-8"?>
<formControlPr xmlns="http://schemas.microsoft.com/office/spreadsheetml/2009/9/main" objectType="CheckBox" fmlaLink="$BR$22" lockText="1" noThreeD="1"/>
</file>

<file path=xl/ctrlProps/ctrlProp10.xml><?xml version="1.0" encoding="utf-8"?>
<formControlPr xmlns="http://schemas.microsoft.com/office/spreadsheetml/2009/9/main" objectType="CheckBox" fmlaLink="$DW$35" lockText="1" noThreeD="1"/>
</file>

<file path=xl/ctrlProps/ctrlProp11.xml><?xml version="1.0" encoding="utf-8"?>
<formControlPr xmlns="http://schemas.microsoft.com/office/spreadsheetml/2009/9/main" objectType="CheckBox" fmlaLink="계산_운용리스_단일!$I$71" noThreeD="1"/>
</file>

<file path=xl/ctrlProps/ctrlProp12.xml><?xml version="1.0" encoding="utf-8"?>
<formControlPr xmlns="http://schemas.microsoft.com/office/spreadsheetml/2009/9/main" objectType="CheckBox" fmlaLink="계산_운용리스_단일!$I$74" noThreeD="1"/>
</file>

<file path=xl/ctrlProps/ctrlProp13.xml><?xml version="1.0" encoding="utf-8"?>
<formControlPr xmlns="http://schemas.microsoft.com/office/spreadsheetml/2009/9/main" objectType="CheckBox" fmlaLink="계산_운용리스_단일!$I$75" lockText="1" noThreeD="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fmlaLink="계산_운용리스_단일!$I$8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fmlaLink="$BQ$31" lockText="1" noThreeD="1"/>
</file>

<file path=xl/ctrlProps/ctrlProp19.xml><?xml version="1.0" encoding="utf-8"?>
<formControlPr xmlns="http://schemas.microsoft.com/office/spreadsheetml/2009/9/main" objectType="CheckBox" fmlaLink="$BQ$32" lockText="1" noThreeD="1"/>
</file>

<file path=xl/ctrlProps/ctrlProp20.xml><?xml version="1.0" encoding="utf-8"?>
<formControlPr xmlns="http://schemas.microsoft.com/office/spreadsheetml/2009/9/main" objectType="CheckBox" checked="Checked" fmlaLink="$BQ$30" lockText="1" noThreeD="1"/>
</file>

<file path=xl/ctrlProps/ctrlProp21.xml><?xml version="1.0" encoding="utf-8"?>
<formControlPr xmlns="http://schemas.microsoft.com/office/spreadsheetml/2009/9/main" objectType="CheckBox" fmlaLink="$BQ$19" lockText="1" noThreeD="1"/>
</file>

<file path=xl/ctrlProps/ctrlProp22.xml><?xml version="1.0" encoding="utf-8"?>
<formControlPr xmlns="http://schemas.microsoft.com/office/spreadsheetml/2009/9/main" objectType="CheckBox" checked="Checked" fmlaLink="$BQ$20" lockText="1" noThreeD="1"/>
</file>

<file path=xl/ctrlProps/ctrlProp23.xml><?xml version="1.0" encoding="utf-8"?>
<formControlPr xmlns="http://schemas.microsoft.com/office/spreadsheetml/2009/9/main" objectType="CheckBox" checked="Checked" fmlaLink="$BQ$21" lockText="1" noThreeD="1"/>
</file>

<file path=xl/ctrlProps/ctrlProp24.xml><?xml version="1.0" encoding="utf-8"?>
<formControlPr xmlns="http://schemas.microsoft.com/office/spreadsheetml/2009/9/main" objectType="CheckBox" fmlaLink="$BQ$22" lockText="1" noThreeD="1"/>
</file>

<file path=xl/ctrlProps/ctrlProp25.xml><?xml version="1.0" encoding="utf-8"?>
<formControlPr xmlns="http://schemas.microsoft.com/office/spreadsheetml/2009/9/main" objectType="CheckBox" fmlaLink="$BQ$23" lockText="1" noThreeD="1"/>
</file>

<file path=xl/ctrlProps/ctrlProp26.xml><?xml version="1.0" encoding="utf-8"?>
<formControlPr xmlns="http://schemas.microsoft.com/office/spreadsheetml/2009/9/main" objectType="CheckBox" fmlaLink="계산_운용리스!$S$7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fmlaLink="$BR$18" lockText="1" noThreeD="1"/>
</file>

<file path=xl/ctrlProps/ctrlProp38.xml><?xml version="1.0" encoding="utf-8"?>
<formControlPr xmlns="http://schemas.microsoft.com/office/spreadsheetml/2009/9/main" objectType="Radio" checked="Checked" firstButton="1" fmlaLink="$BR$3" lockText="1" noThreeD="1"/>
</file>

<file path=xl/ctrlProps/ctrlProp39.xml><?xml version="1.0" encoding="utf-8"?>
<formControlPr xmlns="http://schemas.microsoft.com/office/spreadsheetml/2009/9/main" objectType="CheckBox" checked="Checked" fmlaLink="$BR$32" lockText="1" noThreeD="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4.png"/><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microsoft.com/office/2007/relationships/hdphoto" Target="../media/hdphoto2.wdp"/><Relationship Id="rId2" Type="http://schemas.openxmlformats.org/officeDocument/2006/relationships/image" Target="../media/image6.png"/><Relationship Id="rId1" Type="http://schemas.openxmlformats.org/officeDocument/2006/relationships/image" Target="../media/image5.png"/><Relationship Id="rId5" Type="http://schemas.openxmlformats.org/officeDocument/2006/relationships/image" Target="../media/image4.png"/><Relationship Id="rId4"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1"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image" Target="../media/image3.png"/><Relationship Id="rId2" Type="http://schemas.microsoft.com/office/2007/relationships/hdphoto" Target="../media/hdphoto1.wdp"/><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1" Type="http://schemas.openxmlformats.org/officeDocument/2006/relationships/image" Target="../media/image8.png"/></Relationships>
</file>

<file path=xl/drawings/_rels/drawing12.xml.rels><?xml version="1.0" encoding="UTF-8" standalone="yes"?>
<Relationships xmlns="http://schemas.openxmlformats.org/package/2006/relationships"><Relationship Id="rId1" Type="http://schemas.openxmlformats.org/officeDocument/2006/relationships/image" Target="../media/image9.png"/></Relationships>
</file>

<file path=xl/drawings/_rels/drawing13.x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47625</xdr:colOff>
          <xdr:row>10</xdr:row>
          <xdr:rowOff>9525</xdr:rowOff>
        </xdr:from>
        <xdr:to>
          <xdr:col>25</xdr:col>
          <xdr:colOff>19050</xdr:colOff>
          <xdr:row>10</xdr:row>
          <xdr:rowOff>266700</xdr:rowOff>
        </xdr:to>
        <xdr:sp macro="" textlink="">
          <xdr:nvSpPr>
            <xdr:cNvPr id="7171" name="Check Box 3"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 제휴수수료 면제</a:t>
              </a:r>
            </a:p>
          </xdr:txBody>
        </xdr:sp>
        <xdr:clientData/>
      </xdr:twoCellAnchor>
    </mc:Choice>
    <mc:Fallback/>
  </mc:AlternateContent>
  <mc:AlternateContent xmlns:mc="http://schemas.openxmlformats.org/markup-compatibility/2006">
    <mc:Choice xmlns:a14="http://schemas.microsoft.com/office/drawing/2010/main" Requires="a14">
      <xdr:twoCellAnchor>
        <xdr:from>
          <xdr:col>29</xdr:col>
          <xdr:colOff>47625</xdr:colOff>
          <xdr:row>3</xdr:row>
          <xdr:rowOff>133350</xdr:rowOff>
        </xdr:from>
        <xdr:to>
          <xdr:col>34</xdr:col>
          <xdr:colOff>485775</xdr:colOff>
          <xdr:row>6</xdr:row>
          <xdr:rowOff>266700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ko-KR" altLang="en-US" sz="1800" b="1" i="0" u="none" strike="noStrike" baseline="0">
                  <a:solidFill>
                    <a:srgbClr val="000000"/>
                  </a:solidFill>
                  <a:latin typeface="맑은 고딕"/>
                  <a:ea typeface="맑은 고딕"/>
                </a:rPr>
                <a:t>운용리스_비교시트 </a:t>
              </a:r>
              <a:r>
                <a:rPr lang="ko-KR" altLang="en-US" sz="1800" b="1" i="0" u="none" strike="noStrike" baseline="0">
                  <a:solidFill>
                    <a:srgbClr val="FF0000"/>
                  </a:solidFill>
                  <a:latin typeface="맑은 고딕"/>
                  <a:ea typeface="맑은 고딕"/>
                </a:rPr>
                <a:t>이동</a:t>
              </a:r>
              <a:r>
                <a:rPr lang="ko-KR" altLang="en-US" sz="1800" b="1" i="0" u="none" strike="noStrike" baseline="0">
                  <a:solidFill>
                    <a:srgbClr val="000000"/>
                  </a:solidFill>
                  <a:latin typeface="맑은 고딕"/>
                  <a:ea typeface="맑은 고딕"/>
                </a:rPr>
                <a:t> 버튼</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29</xdr:col>
          <xdr:colOff>57150</xdr:colOff>
          <xdr:row>7</xdr:row>
          <xdr:rowOff>104775</xdr:rowOff>
        </xdr:from>
        <xdr:to>
          <xdr:col>34</xdr:col>
          <xdr:colOff>495300</xdr:colOff>
          <xdr:row>10</xdr:row>
          <xdr:rowOff>238125</xdr:rowOff>
        </xdr:to>
        <xdr:sp macro="" textlink="">
          <xdr:nvSpPr>
            <xdr:cNvPr id="7174" name="Button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ko-KR" altLang="en-US" sz="1800" b="1" i="0" u="none" strike="noStrike" baseline="0">
                  <a:solidFill>
                    <a:srgbClr val="000000"/>
                  </a:solidFill>
                  <a:latin typeface="맑은 고딕"/>
                  <a:ea typeface="맑은 고딕"/>
                </a:rPr>
                <a:t>운용리스_단일시트 </a:t>
              </a:r>
              <a:r>
                <a:rPr lang="ko-KR" altLang="en-US" sz="1800" b="1" i="0" u="none" strike="noStrike" baseline="0">
                  <a:solidFill>
                    <a:srgbClr val="FF0000"/>
                  </a:solidFill>
                  <a:latin typeface="맑은 고딕"/>
                  <a:ea typeface="맑은 고딕"/>
                </a:rPr>
                <a:t>이동</a:t>
              </a:r>
              <a:r>
                <a:rPr lang="ko-KR" altLang="en-US" sz="1800" b="1" i="0" u="none" strike="noStrike" baseline="0">
                  <a:solidFill>
                    <a:srgbClr val="000000"/>
                  </a:solidFill>
                  <a:latin typeface="맑은 고딕"/>
                  <a:ea typeface="맑은 고딕"/>
                </a:rPr>
                <a:t> 버튼</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29</xdr:col>
          <xdr:colOff>38100</xdr:colOff>
          <xdr:row>11</xdr:row>
          <xdr:rowOff>76200</xdr:rowOff>
        </xdr:from>
        <xdr:to>
          <xdr:col>34</xdr:col>
          <xdr:colOff>476250</xdr:colOff>
          <xdr:row>14</xdr:row>
          <xdr:rowOff>209550</xdr:rowOff>
        </xdr:to>
        <xdr:sp macro="" textlink="">
          <xdr:nvSpPr>
            <xdr:cNvPr id="7176" name="Button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ko-KR" altLang="en-US" sz="1800" b="1" i="0" u="none" strike="noStrike" baseline="0">
                  <a:solidFill>
                    <a:srgbClr val="000000"/>
                  </a:solidFill>
                  <a:latin typeface="맑은 고딕"/>
                  <a:ea typeface="맑은 고딕"/>
                </a:rPr>
                <a:t>오토론_견적시트 </a:t>
              </a:r>
            </a:p>
            <a:p>
              <a:pPr algn="ctr" rtl="0">
                <a:defRPr sz="1000"/>
              </a:pPr>
              <a:r>
                <a:rPr lang="ko-KR" altLang="en-US" sz="1800" b="1" i="0" u="none" strike="noStrike" baseline="0">
                  <a:solidFill>
                    <a:srgbClr val="FF0000"/>
                  </a:solidFill>
                  <a:latin typeface="맑은 고딕"/>
                  <a:ea typeface="맑은 고딕"/>
                </a:rPr>
                <a:t>이동</a:t>
              </a:r>
              <a:r>
                <a:rPr lang="ko-KR" altLang="en-US" sz="1800" b="1" i="0" u="none" strike="noStrike" baseline="0">
                  <a:solidFill>
                    <a:srgbClr val="000000"/>
                  </a:solidFill>
                  <a:latin typeface="맑은 고딕"/>
                  <a:ea typeface="맑은 고딕"/>
                </a:rPr>
                <a:t> 버튼</a:t>
              </a:r>
            </a:p>
          </xdr:txBody>
        </xdr:sp>
        <xdr:clientData fLocksWithSheet="0"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50</xdr:col>
      <xdr:colOff>22412</xdr:colOff>
      <xdr:row>11</xdr:row>
      <xdr:rowOff>145676</xdr:rowOff>
    </xdr:from>
    <xdr:to>
      <xdr:col>52</xdr:col>
      <xdr:colOff>22411</xdr:colOff>
      <xdr:row>12</xdr:row>
      <xdr:rowOff>100853</xdr:rowOff>
    </xdr:to>
    <xdr:cxnSp macro="">
      <xdr:nvCxnSpPr>
        <xdr:cNvPr id="6" name="꺾인 연결선 5">
          <a:extLst>
            <a:ext uri="{FF2B5EF4-FFF2-40B4-BE49-F238E27FC236}">
              <a16:creationId xmlns:a16="http://schemas.microsoft.com/office/drawing/2014/main" id="{00000000-0008-0000-0300-000006000000}"/>
            </a:ext>
          </a:extLst>
        </xdr:cNvPr>
        <xdr:cNvCxnSpPr/>
      </xdr:nvCxnSpPr>
      <xdr:spPr>
        <a:xfrm>
          <a:off x="11347637" y="2869826"/>
          <a:ext cx="457199" cy="202827"/>
        </a:xfrm>
        <a:prstGeom prst="bentConnector3">
          <a:avLst/>
        </a:prstGeom>
        <a:ln>
          <a:solidFill>
            <a:schemeClr val="accent6">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17859</xdr:colOff>
      <xdr:row>12</xdr:row>
      <xdr:rowOff>100853</xdr:rowOff>
    </xdr:from>
    <xdr:to>
      <xdr:col>51</xdr:col>
      <xdr:colOff>201706</xdr:colOff>
      <xdr:row>12</xdr:row>
      <xdr:rowOff>101203</xdr:rowOff>
    </xdr:to>
    <xdr:cxnSp macro="">
      <xdr:nvCxnSpPr>
        <xdr:cNvPr id="7" name="직선 연결선 6">
          <a:extLst>
            <a:ext uri="{FF2B5EF4-FFF2-40B4-BE49-F238E27FC236}">
              <a16:creationId xmlns:a16="http://schemas.microsoft.com/office/drawing/2014/main" id="{00000000-0008-0000-0300-000007000000}"/>
            </a:ext>
          </a:extLst>
        </xdr:cNvPr>
        <xdr:cNvCxnSpPr/>
      </xdr:nvCxnSpPr>
      <xdr:spPr>
        <a:xfrm flipV="1">
          <a:off x="11343084" y="3072653"/>
          <a:ext cx="412447" cy="350"/>
        </a:xfrm>
        <a:prstGeom prst="line">
          <a:avLst/>
        </a:prstGeom>
        <a:ln>
          <a:solidFill>
            <a:schemeClr val="accent6">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47</xdr:col>
          <xdr:colOff>38100</xdr:colOff>
          <xdr:row>17</xdr:row>
          <xdr:rowOff>9525</xdr:rowOff>
        </xdr:from>
        <xdr:to>
          <xdr:col>51</xdr:col>
          <xdr:colOff>38100</xdr:colOff>
          <xdr:row>18</xdr:row>
          <xdr:rowOff>0</xdr:rowOff>
        </xdr:to>
        <xdr:sp macro="" textlink="">
          <xdr:nvSpPr>
            <xdr:cNvPr id="45060" name="Check Box 4" hidden="1">
              <a:extLst>
                <a:ext uri="{63B3BB69-23CF-44E3-9099-C40C66FF867C}">
                  <a14:compatExt spid="_x0000_s45060"/>
                </a:ext>
                <a:ext uri="{FF2B5EF4-FFF2-40B4-BE49-F238E27FC236}">
                  <a16:creationId xmlns:a16="http://schemas.microsoft.com/office/drawing/2014/main" id="{00000000-0008-0000-0100-000004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 수기입력</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38100</xdr:colOff>
          <xdr:row>20</xdr:row>
          <xdr:rowOff>28575</xdr:rowOff>
        </xdr:from>
        <xdr:to>
          <xdr:col>53</xdr:col>
          <xdr:colOff>9525</xdr:colOff>
          <xdr:row>20</xdr:row>
          <xdr:rowOff>228600</xdr:rowOff>
        </xdr:to>
        <xdr:sp macro="" textlink="">
          <xdr:nvSpPr>
            <xdr:cNvPr id="45061" name="Check Box 5" hidden="1">
              <a:extLst>
                <a:ext uri="{63B3BB69-23CF-44E3-9099-C40C66FF867C}">
                  <a14:compatExt spid="_x0000_s45061"/>
                </a:ext>
                <a:ext uri="{FF2B5EF4-FFF2-40B4-BE49-F238E27FC236}">
                  <a16:creationId xmlns:a16="http://schemas.microsoft.com/office/drawing/2014/main" id="{00000000-0008-0000-0100-000005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 취득원가 포함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38100</xdr:colOff>
          <xdr:row>22</xdr:row>
          <xdr:rowOff>9525</xdr:rowOff>
        </xdr:from>
        <xdr:to>
          <xdr:col>52</xdr:col>
          <xdr:colOff>152400</xdr:colOff>
          <xdr:row>23</xdr:row>
          <xdr:rowOff>0</xdr:rowOff>
        </xdr:to>
        <xdr:sp macro="" textlink="">
          <xdr:nvSpPr>
            <xdr:cNvPr id="45062" name="Check Box 6" descr="  취득원가 포함" hidden="1">
              <a:extLst>
                <a:ext uri="{63B3BB69-23CF-44E3-9099-C40C66FF867C}">
                  <a14:compatExt spid="_x0000_s45062"/>
                </a:ext>
                <a:ext uri="{FF2B5EF4-FFF2-40B4-BE49-F238E27FC236}">
                  <a16:creationId xmlns:a16="http://schemas.microsoft.com/office/drawing/2014/main" id="{00000000-0008-0000-0100-000006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 취득원가 포함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38100</xdr:colOff>
          <xdr:row>23</xdr:row>
          <xdr:rowOff>9525</xdr:rowOff>
        </xdr:from>
        <xdr:to>
          <xdr:col>52</xdr:col>
          <xdr:colOff>114300</xdr:colOff>
          <xdr:row>24</xdr:row>
          <xdr:rowOff>0</xdr:rowOff>
        </xdr:to>
        <xdr:sp macro="" textlink="">
          <xdr:nvSpPr>
            <xdr:cNvPr id="45063" name="Check Box 7" hidden="1">
              <a:extLst>
                <a:ext uri="{63B3BB69-23CF-44E3-9099-C40C66FF867C}">
                  <a14:compatExt spid="_x0000_s45063"/>
                </a:ext>
                <a:ext uri="{FF2B5EF4-FFF2-40B4-BE49-F238E27FC236}">
                  <a16:creationId xmlns:a16="http://schemas.microsoft.com/office/drawing/2014/main" id="{00000000-0008-0000-0100-000007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 취득원가 포함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38100</xdr:colOff>
          <xdr:row>24</xdr:row>
          <xdr:rowOff>28575</xdr:rowOff>
        </xdr:from>
        <xdr:to>
          <xdr:col>52</xdr:col>
          <xdr:colOff>38100</xdr:colOff>
          <xdr:row>25</xdr:row>
          <xdr:rowOff>9525</xdr:rowOff>
        </xdr:to>
        <xdr:sp macro="" textlink="">
          <xdr:nvSpPr>
            <xdr:cNvPr id="45064" name="Check Box 8" hidden="1">
              <a:extLst>
                <a:ext uri="{63B3BB69-23CF-44E3-9099-C40C66FF867C}">
                  <a14:compatExt spid="_x0000_s45064"/>
                </a:ext>
                <a:ext uri="{FF2B5EF4-FFF2-40B4-BE49-F238E27FC236}">
                  <a16:creationId xmlns:a16="http://schemas.microsoft.com/office/drawing/2014/main" id="{00000000-0008-0000-0100-000008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 리스료 포함</a:t>
              </a:r>
            </a:p>
          </xdr:txBody>
        </xdr:sp>
        <xdr:clientData/>
      </xdr:twoCellAnchor>
    </mc:Choice>
    <mc:Fallback/>
  </mc:AlternateContent>
  <xdr:twoCellAnchor>
    <xdr:from>
      <xdr:col>65</xdr:col>
      <xdr:colOff>56029</xdr:colOff>
      <xdr:row>14</xdr:row>
      <xdr:rowOff>224118</xdr:rowOff>
    </xdr:from>
    <xdr:to>
      <xdr:col>66</xdr:col>
      <xdr:colOff>694765</xdr:colOff>
      <xdr:row>17</xdr:row>
      <xdr:rowOff>224120</xdr:rowOff>
    </xdr:to>
    <xdr:cxnSp macro="">
      <xdr:nvCxnSpPr>
        <xdr:cNvPr id="15" name="꺾인 연결선 14">
          <a:extLst>
            <a:ext uri="{FF2B5EF4-FFF2-40B4-BE49-F238E27FC236}">
              <a16:creationId xmlns:a16="http://schemas.microsoft.com/office/drawing/2014/main" id="{00000000-0008-0000-0300-00000F000000}"/>
            </a:ext>
          </a:extLst>
        </xdr:cNvPr>
        <xdr:cNvCxnSpPr/>
      </xdr:nvCxnSpPr>
      <xdr:spPr>
        <a:xfrm flipV="1">
          <a:off x="14040970" y="4011706"/>
          <a:ext cx="1086971" cy="739590"/>
        </a:xfrm>
        <a:prstGeom prst="bentConnector3">
          <a:avLst/>
        </a:prstGeom>
        <a:ln>
          <a:headEnd type="triangle"/>
          <a:tailEnd type="triangle"/>
        </a:ln>
      </xdr:spPr>
      <xdr:style>
        <a:lnRef idx="3">
          <a:schemeClr val="dk1"/>
        </a:lnRef>
        <a:fillRef idx="0">
          <a:schemeClr val="dk1"/>
        </a:fillRef>
        <a:effectRef idx="2">
          <a:schemeClr val="dk1"/>
        </a:effectRef>
        <a:fontRef idx="minor">
          <a:schemeClr val="tx1"/>
        </a:fontRef>
      </xdr:style>
    </xdr:cxnSp>
    <xdr:clientData/>
  </xdr:twoCellAnchor>
  <xdr:twoCellAnchor editAs="oneCell">
    <xdr:from>
      <xdr:col>66</xdr:col>
      <xdr:colOff>22414</xdr:colOff>
      <xdr:row>0</xdr:row>
      <xdr:rowOff>44823</xdr:rowOff>
    </xdr:from>
    <xdr:to>
      <xdr:col>66</xdr:col>
      <xdr:colOff>750795</xdr:colOff>
      <xdr:row>3</xdr:row>
      <xdr:rowOff>56030</xdr:rowOff>
    </xdr:to>
    <xdr:pic macro="[0]!단일출력함">
      <xdr:nvPicPr>
        <xdr:cNvPr id="21" name="그림 20">
          <a:extLst>
            <a:ext uri="{FF2B5EF4-FFF2-40B4-BE49-F238E27FC236}">
              <a16:creationId xmlns:a16="http://schemas.microsoft.com/office/drawing/2014/main" id="{00000000-0008-0000-0300-00001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984943" y="44823"/>
          <a:ext cx="728381" cy="750795"/>
        </a:xfrm>
        <a:prstGeom prst="rect">
          <a:avLst/>
        </a:prstGeom>
      </xdr:spPr>
    </xdr:pic>
    <xdr:clientData/>
  </xdr:twoCellAnchor>
  <xdr:twoCellAnchor>
    <xdr:from>
      <xdr:col>81</xdr:col>
      <xdr:colOff>0</xdr:colOff>
      <xdr:row>8</xdr:row>
      <xdr:rowOff>168092</xdr:rowOff>
    </xdr:from>
    <xdr:to>
      <xdr:col>93</xdr:col>
      <xdr:colOff>11206</xdr:colOff>
      <xdr:row>10</xdr:row>
      <xdr:rowOff>358588</xdr:rowOff>
    </xdr:to>
    <xdr:cxnSp macro="">
      <xdr:nvCxnSpPr>
        <xdr:cNvPr id="18" name="꺾인 연결선 17">
          <a:extLst>
            <a:ext uri="{FF2B5EF4-FFF2-40B4-BE49-F238E27FC236}">
              <a16:creationId xmlns:a16="http://schemas.microsoft.com/office/drawing/2014/main" id="{00000000-0008-0000-0300-000012000000}"/>
            </a:ext>
          </a:extLst>
        </xdr:cNvPr>
        <xdr:cNvCxnSpPr/>
      </xdr:nvCxnSpPr>
      <xdr:spPr>
        <a:xfrm flipV="1">
          <a:off x="15665824" y="2330827"/>
          <a:ext cx="1770529" cy="683555"/>
        </a:xfrm>
        <a:prstGeom prst="bentConnector3">
          <a:avLst/>
        </a:prstGeom>
        <a:ln>
          <a:headEnd type="triangle"/>
          <a:tailEnd type="triangle"/>
        </a:ln>
      </xdr:spPr>
      <xdr:style>
        <a:lnRef idx="3">
          <a:schemeClr val="dk1"/>
        </a:lnRef>
        <a:fillRef idx="0">
          <a:schemeClr val="dk1"/>
        </a:fillRef>
        <a:effectRef idx="2">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93</xdr:col>
          <xdr:colOff>123825</xdr:colOff>
          <xdr:row>27</xdr:row>
          <xdr:rowOff>28575</xdr:rowOff>
        </xdr:from>
        <xdr:to>
          <xdr:col>98</xdr:col>
          <xdr:colOff>704850</xdr:colOff>
          <xdr:row>28</xdr:row>
          <xdr:rowOff>228600</xdr:rowOff>
        </xdr:to>
        <xdr:sp macro="" textlink="">
          <xdr:nvSpPr>
            <xdr:cNvPr id="45066" name="Check Box 10" hidden="1">
              <a:extLst>
                <a:ext uri="{63B3BB69-23CF-44E3-9099-C40C66FF867C}">
                  <a14:compatExt spid="_x0000_s45066"/>
                </a:ext>
                <a:ext uri="{FF2B5EF4-FFF2-40B4-BE49-F238E27FC236}">
                  <a16:creationId xmlns:a16="http://schemas.microsoft.com/office/drawing/2014/main" id="{00000000-0008-0000-0100-00000AB00000}"/>
                </a:ext>
              </a:extLst>
            </xdr:cNvPr>
            <xdr:cNvSpPr/>
          </xdr:nvSpPr>
          <xdr:spPr bwMode="auto">
            <a:xfrm>
              <a:off x="0" y="0"/>
              <a:ext cx="0" cy="0"/>
            </a:xfrm>
            <a:prstGeom prst="rect">
              <a:avLst/>
            </a:prstGeom>
            <a:solidFill>
              <a:srgbClr val="FFFF99" mc:Ignorable="a14" a14:legacySpreadsheetColorIndex="43"/>
            </a:solidFill>
            <a:ln w="38100">
              <a:solidFill>
                <a:srgbClr val="008000" mc:Ignorable="a14" a14:legacySpreadsheetColorIndex="17"/>
              </a:solidFill>
              <a:miter lim="800000"/>
              <a:headEnd/>
              <a:tailEnd/>
            </a:ln>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국산필름번호판 추가</a:t>
              </a:r>
            </a:p>
          </xdr:txBody>
        </xdr:sp>
        <xdr:clientData/>
      </xdr:twoCellAnchor>
    </mc:Choice>
    <mc:Fallback/>
  </mc:AlternateContent>
  <xdr:twoCellAnchor>
    <xdr:from>
      <xdr:col>98</xdr:col>
      <xdr:colOff>683559</xdr:colOff>
      <xdr:row>14</xdr:row>
      <xdr:rowOff>156883</xdr:rowOff>
    </xdr:from>
    <xdr:to>
      <xdr:col>99</xdr:col>
      <xdr:colOff>123269</xdr:colOff>
      <xdr:row>19</xdr:row>
      <xdr:rowOff>246529</xdr:rowOff>
    </xdr:to>
    <xdr:cxnSp macro="">
      <xdr:nvCxnSpPr>
        <xdr:cNvPr id="4" name="직선 화살표 연결선 3">
          <a:extLst>
            <a:ext uri="{FF2B5EF4-FFF2-40B4-BE49-F238E27FC236}">
              <a16:creationId xmlns:a16="http://schemas.microsoft.com/office/drawing/2014/main" id="{00000000-0008-0000-0300-000004000000}"/>
            </a:ext>
          </a:extLst>
        </xdr:cNvPr>
        <xdr:cNvCxnSpPr/>
      </xdr:nvCxnSpPr>
      <xdr:spPr>
        <a:xfrm>
          <a:off x="18837088" y="3944471"/>
          <a:ext cx="190505" cy="1322293"/>
        </a:xfrm>
        <a:prstGeom prst="straightConnector1">
          <a:avLst/>
        </a:prstGeom>
        <a:ln>
          <a:headEnd type="triangle"/>
          <a:tailEnd type="triangle"/>
        </a:ln>
      </xdr:spPr>
      <xdr:style>
        <a:lnRef idx="3">
          <a:schemeClr val="dk1"/>
        </a:lnRef>
        <a:fillRef idx="0">
          <a:schemeClr val="dk1"/>
        </a:fillRef>
        <a:effectRef idx="2">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80</xdr:col>
          <xdr:colOff>85725</xdr:colOff>
          <xdr:row>0</xdr:row>
          <xdr:rowOff>57150</xdr:rowOff>
        </xdr:from>
        <xdr:to>
          <xdr:col>88</xdr:col>
          <xdr:colOff>0</xdr:colOff>
          <xdr:row>2</xdr:row>
          <xdr:rowOff>57150</xdr:rowOff>
        </xdr:to>
        <xdr:sp macro="" textlink="">
          <xdr:nvSpPr>
            <xdr:cNvPr id="45073" name="Check Box 17" hidden="1">
              <a:extLst>
                <a:ext uri="{63B3BB69-23CF-44E3-9099-C40C66FF867C}">
                  <a14:compatExt spid="_x0000_s45073"/>
                </a:ext>
                <a:ext uri="{FF2B5EF4-FFF2-40B4-BE49-F238E27FC236}">
                  <a16:creationId xmlns:a16="http://schemas.microsoft.com/office/drawing/2014/main" id="{00000000-0008-0000-0100-000011B00000}"/>
                </a:ext>
              </a:extLst>
            </xdr:cNvPr>
            <xdr:cNvSpPr/>
          </xdr:nvSpPr>
          <xdr:spPr bwMode="auto">
            <a:xfrm>
              <a:off x="0" y="0"/>
              <a:ext cx="0" cy="0"/>
            </a:xfrm>
            <a:prstGeom prst="rect">
              <a:avLst/>
            </a:prstGeom>
            <a:solidFill>
              <a:srgbClr val="CCFFCC" mc:Ignorable="a14" a14:legacySpreadsheetColorIndex="42"/>
            </a:solidFill>
            <a:ln w="9525">
              <a:solidFill>
                <a:srgbClr val="000000" mc:Ignorable="a14" a14:legacySpreadsheetColorIndex="8"/>
              </a:solidFill>
              <a:miter lim="800000"/>
              <a:headEnd/>
              <a:tailEnd/>
            </a:ln>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 예외승인</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89</xdr:col>
          <xdr:colOff>38100</xdr:colOff>
          <xdr:row>0</xdr:row>
          <xdr:rowOff>66675</xdr:rowOff>
        </xdr:from>
        <xdr:to>
          <xdr:col>98</xdr:col>
          <xdr:colOff>57150</xdr:colOff>
          <xdr:row>2</xdr:row>
          <xdr:rowOff>57150</xdr:rowOff>
        </xdr:to>
        <xdr:sp macro="" textlink="">
          <xdr:nvSpPr>
            <xdr:cNvPr id="45075" name="Check Box 19" descr="&#10;" hidden="1">
              <a:extLst>
                <a:ext uri="{63B3BB69-23CF-44E3-9099-C40C66FF867C}">
                  <a14:compatExt spid="_x0000_s45075"/>
                </a:ext>
                <a:ext uri="{FF2B5EF4-FFF2-40B4-BE49-F238E27FC236}">
                  <a16:creationId xmlns:a16="http://schemas.microsoft.com/office/drawing/2014/main" id="{00000000-0008-0000-0100-000013B00000}"/>
                </a:ext>
              </a:extLst>
            </xdr:cNvPr>
            <xdr:cNvSpPr/>
          </xdr:nvSpPr>
          <xdr:spPr bwMode="auto">
            <a:xfrm>
              <a:off x="0" y="0"/>
              <a:ext cx="0" cy="0"/>
            </a:xfrm>
            <a:prstGeom prst="rect">
              <a:avLst/>
            </a:prstGeom>
            <a:solidFill>
              <a:srgbClr val="FFFF00" mc:Ignorable="a14" a14:legacySpreadsheetColorIndex="13"/>
            </a:solidFill>
            <a:ln w="9525">
              <a:solidFill>
                <a:srgbClr val="000000" mc:Ignorable="a14" a14:legacySpreadsheetColorIndex="8"/>
              </a:solidFill>
              <a:miter lim="800000"/>
              <a:headEnd/>
              <a:tailEnd/>
            </a:ln>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특판변동적용건</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19</xdr:row>
          <xdr:rowOff>9525</xdr:rowOff>
        </xdr:from>
        <xdr:to>
          <xdr:col>43</xdr:col>
          <xdr:colOff>295275</xdr:colOff>
          <xdr:row>19</xdr:row>
          <xdr:rowOff>228600</xdr:rowOff>
        </xdr:to>
        <xdr:sp macro="" textlink="">
          <xdr:nvSpPr>
            <xdr:cNvPr id="45077" name="Check Box 21" hidden="1">
              <a:extLst>
                <a:ext uri="{63B3BB69-23CF-44E3-9099-C40C66FF867C}">
                  <a14:compatExt spid="_x0000_s45077"/>
                </a:ext>
                <a:ext uri="{FF2B5EF4-FFF2-40B4-BE49-F238E27FC236}">
                  <a16:creationId xmlns:a16="http://schemas.microsoft.com/office/drawing/2014/main" id="{00000000-0008-0000-0100-000015B0000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전기차 보조금</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65</xdr:col>
          <xdr:colOff>314325</xdr:colOff>
          <xdr:row>20</xdr:row>
          <xdr:rowOff>57150</xdr:rowOff>
        </xdr:from>
        <xdr:to>
          <xdr:col>66</xdr:col>
          <xdr:colOff>390525</xdr:colOff>
          <xdr:row>27</xdr:row>
          <xdr:rowOff>104775</xdr:rowOff>
        </xdr:to>
        <xdr:sp macro="" textlink="">
          <xdr:nvSpPr>
            <xdr:cNvPr id="45080" name="Button 24" hidden="1">
              <a:extLst>
                <a:ext uri="{63B3BB69-23CF-44E3-9099-C40C66FF867C}">
                  <a14:compatExt spid="_x0000_s45080"/>
                </a:ext>
                <a:ext uri="{FF2B5EF4-FFF2-40B4-BE49-F238E27FC236}">
                  <a16:creationId xmlns:a16="http://schemas.microsoft.com/office/drawing/2014/main" id="{00000000-0008-0000-0100-000018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100" b="0" i="0" u="none" strike="noStrike" baseline="0">
                  <a:solidFill>
                    <a:srgbClr val="000000"/>
                  </a:solidFill>
                  <a:latin typeface="맑은 고딕"/>
                  <a:ea typeface="맑은 고딕"/>
                </a:rPr>
                <a:t>차</a:t>
              </a:r>
            </a:p>
            <a:p>
              <a:pPr algn="ctr" rtl="0">
                <a:defRPr sz="1000"/>
              </a:pPr>
              <a:r>
                <a:rPr lang="ko-KR" altLang="en-US" sz="1100" b="0" i="0" u="none" strike="noStrike" baseline="0">
                  <a:solidFill>
                    <a:srgbClr val="000000"/>
                  </a:solidFill>
                  <a:latin typeface="맑은 고딕"/>
                  <a:ea typeface="맑은 고딕"/>
                </a:rPr>
                <a:t>종</a:t>
              </a:r>
            </a:p>
            <a:p>
              <a:pPr algn="ctr" rtl="0">
                <a:defRPr sz="1000"/>
              </a:pPr>
              <a:r>
                <a:rPr lang="ko-KR" altLang="en-US" sz="1100" b="0" i="0" u="none" strike="noStrike" baseline="0">
                  <a:solidFill>
                    <a:srgbClr val="000000"/>
                  </a:solidFill>
                  <a:latin typeface="맑은 고딕"/>
                  <a:ea typeface="맑은 고딕"/>
                </a:rPr>
                <a:t>별</a:t>
              </a:r>
            </a:p>
            <a:p>
              <a:pPr algn="ctr" rtl="0">
                <a:defRPr sz="1000"/>
              </a:pPr>
              <a:endParaRPr lang="ko-KR" altLang="en-US" sz="1100" b="0" i="0" u="none" strike="noStrike" baseline="0">
                <a:solidFill>
                  <a:srgbClr val="000000"/>
                </a:solidFill>
                <a:latin typeface="맑은 고딕"/>
                <a:ea typeface="맑은 고딕"/>
              </a:endParaRPr>
            </a:p>
            <a:p>
              <a:pPr algn="ctr" rtl="0">
                <a:defRPr sz="1000"/>
              </a:pPr>
              <a:r>
                <a:rPr lang="ko-KR" altLang="en-US" sz="1100" b="0" i="0" u="none" strike="noStrike" baseline="0">
                  <a:solidFill>
                    <a:srgbClr val="000000"/>
                  </a:solidFill>
                  <a:latin typeface="맑은 고딕"/>
                  <a:ea typeface="맑은 고딕"/>
                </a:rPr>
                <a:t>보</a:t>
              </a:r>
            </a:p>
            <a:p>
              <a:pPr algn="ctr" rtl="0">
                <a:defRPr sz="1000"/>
              </a:pPr>
              <a:r>
                <a:rPr lang="ko-KR" altLang="en-US" sz="1100" b="0" i="0" u="none" strike="noStrike" baseline="0">
                  <a:solidFill>
                    <a:srgbClr val="000000"/>
                  </a:solidFill>
                  <a:latin typeface="맑은 고딕"/>
                  <a:ea typeface="맑은 고딕"/>
                </a:rPr>
                <a:t>조</a:t>
              </a:r>
            </a:p>
            <a:p>
              <a:pPr algn="ctr" rtl="0">
                <a:defRPr sz="1000"/>
              </a:pPr>
              <a:r>
                <a:rPr lang="ko-KR" altLang="en-US" sz="1100" b="0" i="0" u="none" strike="noStrike" baseline="0">
                  <a:solidFill>
                    <a:srgbClr val="000000"/>
                  </a:solidFill>
                  <a:latin typeface="맑은 고딕"/>
                  <a:ea typeface="맑은 고딕"/>
                </a:rPr>
                <a:t>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145</xdr:col>
          <xdr:colOff>66675</xdr:colOff>
          <xdr:row>12</xdr:row>
          <xdr:rowOff>209550</xdr:rowOff>
        </xdr:from>
        <xdr:to>
          <xdr:col>146</xdr:col>
          <xdr:colOff>428625</xdr:colOff>
          <xdr:row>14</xdr:row>
          <xdr:rowOff>200025</xdr:rowOff>
        </xdr:to>
        <xdr:sp macro="" textlink="">
          <xdr:nvSpPr>
            <xdr:cNvPr id="45082" name="Check Box 26" descr="&#10;" hidden="1">
              <a:extLst>
                <a:ext uri="{63B3BB69-23CF-44E3-9099-C40C66FF867C}">
                  <a14:compatExt spid="_x0000_s45082"/>
                </a:ext>
                <a:ext uri="{FF2B5EF4-FFF2-40B4-BE49-F238E27FC236}">
                  <a16:creationId xmlns:a16="http://schemas.microsoft.com/office/drawing/2014/main" id="{00000000-0008-0000-0100-00001AB00000}"/>
                </a:ext>
              </a:extLst>
            </xdr:cNvPr>
            <xdr:cNvSpPr/>
          </xdr:nvSpPr>
          <xdr:spPr bwMode="auto">
            <a:xfrm>
              <a:off x="0" y="0"/>
              <a:ext cx="0" cy="0"/>
            </a:xfrm>
            <a:prstGeom prst="rect">
              <a:avLst/>
            </a:prstGeom>
            <a:solidFill>
              <a:srgbClr val="FFFF00" mc:Ignorable="a14" a14:legacySpreadsheetColorIndex="13"/>
            </a:solidFill>
            <a:ln w="9525">
              <a:solidFill>
                <a:srgbClr val="000000" mc:Ignorable="a14" a14:legacySpreadsheetColorIndex="8"/>
              </a:solidFill>
              <a:miter lim="800000"/>
              <a:headEnd/>
              <a:tailEnd/>
            </a:ln>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이중 탁송료 면제</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66</xdr:col>
          <xdr:colOff>95250</xdr:colOff>
          <xdr:row>52</xdr:row>
          <xdr:rowOff>28575</xdr:rowOff>
        </xdr:from>
        <xdr:to>
          <xdr:col>94</xdr:col>
          <xdr:colOff>142875</xdr:colOff>
          <xdr:row>56</xdr:row>
          <xdr:rowOff>123825</xdr:rowOff>
        </xdr:to>
        <xdr:sp macro="" textlink="">
          <xdr:nvSpPr>
            <xdr:cNvPr id="45084" name="Button 28" hidden="1">
              <a:extLst>
                <a:ext uri="{63B3BB69-23CF-44E3-9099-C40C66FF867C}">
                  <a14:compatExt spid="_x0000_s45084"/>
                </a:ext>
                <a:ext uri="{FF2B5EF4-FFF2-40B4-BE49-F238E27FC236}">
                  <a16:creationId xmlns:a16="http://schemas.microsoft.com/office/drawing/2014/main" id="{00000000-0008-0000-0100-00001CB0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ko-KR" altLang="en-US" sz="1600" b="1" i="0" u="none" strike="noStrike" baseline="0">
                  <a:solidFill>
                    <a:srgbClr val="000000"/>
                  </a:solidFill>
                  <a:latin typeface="맑은 고딕"/>
                  <a:ea typeface="맑은 고딕"/>
                </a:rPr>
                <a:t>견적, 실행요청, 전산입력 3장출력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66</xdr:col>
          <xdr:colOff>85725</xdr:colOff>
          <xdr:row>57</xdr:row>
          <xdr:rowOff>85725</xdr:rowOff>
        </xdr:from>
        <xdr:to>
          <xdr:col>95</xdr:col>
          <xdr:colOff>19050</xdr:colOff>
          <xdr:row>62</xdr:row>
          <xdr:rowOff>85725</xdr:rowOff>
        </xdr:to>
        <xdr:sp macro="" textlink="">
          <xdr:nvSpPr>
            <xdr:cNvPr id="45085" name="Button 29" hidden="1">
              <a:extLst>
                <a:ext uri="{63B3BB69-23CF-44E3-9099-C40C66FF867C}">
                  <a14:compatExt spid="_x0000_s45085"/>
                </a:ext>
                <a:ext uri="{FF2B5EF4-FFF2-40B4-BE49-F238E27FC236}">
                  <a16:creationId xmlns:a16="http://schemas.microsoft.com/office/drawing/2014/main" id="{00000000-0008-0000-0100-00001DB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ko-KR" altLang="en-US" sz="1800" b="1" i="0" u="none" strike="noStrike" baseline="0">
                  <a:solidFill>
                    <a:srgbClr val="000000"/>
                  </a:solidFill>
                  <a:latin typeface="맑은 고딕"/>
                  <a:ea typeface="맑은 고딕"/>
                </a:rPr>
                <a:t>견적서 1장출력</a:t>
              </a:r>
            </a:p>
          </xdr:txBody>
        </xdr:sp>
        <xdr:clientData fPrintsWithSheet="0"/>
      </xdr:twoCellAnchor>
    </mc:Choice>
    <mc:Fallback/>
  </mc:AlternateContent>
  <xdr:twoCellAnchor>
    <xdr:from>
      <xdr:col>65</xdr:col>
      <xdr:colOff>112059</xdr:colOff>
      <xdr:row>39</xdr:row>
      <xdr:rowOff>134470</xdr:rowOff>
    </xdr:from>
    <xdr:to>
      <xdr:col>66</xdr:col>
      <xdr:colOff>638736</xdr:colOff>
      <xdr:row>40</xdr:row>
      <xdr:rowOff>112059</xdr:rowOff>
    </xdr:to>
    <xdr:cxnSp macro="">
      <xdr:nvCxnSpPr>
        <xdr:cNvPr id="5" name="직선 화살표 연결선 4">
          <a:extLst>
            <a:ext uri="{FF2B5EF4-FFF2-40B4-BE49-F238E27FC236}">
              <a16:creationId xmlns:a16="http://schemas.microsoft.com/office/drawing/2014/main" id="{00000000-0008-0000-0300-000005000000}"/>
            </a:ext>
          </a:extLst>
        </xdr:cNvPr>
        <xdr:cNvCxnSpPr/>
      </xdr:nvCxnSpPr>
      <xdr:spPr>
        <a:xfrm>
          <a:off x="14097000" y="10085294"/>
          <a:ext cx="974912" cy="224118"/>
        </a:xfrm>
        <a:prstGeom prst="straightConnector1">
          <a:avLst/>
        </a:prstGeom>
        <a:ln>
          <a:headEnd type="triangle"/>
          <a:tailEnd type="triangle"/>
        </a:ln>
      </xdr:spPr>
      <xdr:style>
        <a:lnRef idx="3">
          <a:schemeClr val="dk1"/>
        </a:lnRef>
        <a:fillRef idx="0">
          <a:schemeClr val="dk1"/>
        </a:fillRef>
        <a:effectRef idx="2">
          <a:schemeClr val="dk1"/>
        </a:effectRef>
        <a:fontRef idx="minor">
          <a:schemeClr val="tx1"/>
        </a:fontRef>
      </xdr:style>
    </xdr:cxnSp>
    <xdr:clientData/>
  </xdr:twoCellAnchor>
  <xdr:twoCellAnchor editAs="oneCell">
    <xdr:from>
      <xdr:col>29</xdr:col>
      <xdr:colOff>134471</xdr:colOff>
      <xdr:row>0</xdr:row>
      <xdr:rowOff>22412</xdr:rowOff>
    </xdr:from>
    <xdr:to>
      <xdr:col>35</xdr:col>
      <xdr:colOff>171135</xdr:colOff>
      <xdr:row>4</xdr:row>
      <xdr:rowOff>201974</xdr:rowOff>
    </xdr:to>
    <xdr:pic>
      <xdr:nvPicPr>
        <xdr:cNvPr id="9" name="그림 8">
          <a:extLst>
            <a:ext uri="{FF2B5EF4-FFF2-40B4-BE49-F238E27FC236}">
              <a16:creationId xmlns:a16="http://schemas.microsoft.com/office/drawing/2014/main" id="{00000000-0008-0000-0300-000009000000}"/>
            </a:ext>
          </a:extLst>
        </xdr:cNvPr>
        <xdr:cNvPicPr>
          <a:picLocks noChangeAspect="1"/>
        </xdr:cNvPicPr>
      </xdr:nvPicPr>
      <xdr:blipFill rotWithShape="1">
        <a:blip xmlns:r="http://schemas.openxmlformats.org/officeDocument/2006/relationships" r:embed="rId2" cstate="print">
          <a:extLst>
            <a:ext uri="{BEBA8EAE-BF5A-486C-A8C5-ECC9F3942E4B}">
              <a14:imgProps xmlns:a14="http://schemas.microsoft.com/office/drawing/2010/main">
                <a14:imgLayer r:embed="rId3">
                  <a14:imgEffect>
                    <a14:backgroundRemoval t="35044" b="99672" l="42399" r="99359"/>
                  </a14:imgEffect>
                </a14:imgLayer>
              </a14:imgProps>
            </a:ext>
            <a:ext uri="{28A0092B-C50C-407E-A947-70E740481C1C}">
              <a14:useLocalDpi xmlns:a14="http://schemas.microsoft.com/office/drawing/2010/main" val="0"/>
            </a:ext>
          </a:extLst>
        </a:blip>
        <a:srcRect l="42541" t="35028" r="173" b="883"/>
        <a:stretch/>
      </xdr:blipFill>
      <xdr:spPr>
        <a:xfrm>
          <a:off x="6409765" y="22412"/>
          <a:ext cx="1773576" cy="1165680"/>
        </a:xfrm>
        <a:prstGeom prst="rect">
          <a:avLst/>
        </a:prstGeom>
      </xdr:spPr>
    </xdr:pic>
    <xdr:clientData/>
  </xdr:twoCellAnchor>
  <xdr:twoCellAnchor editAs="oneCell">
    <xdr:from>
      <xdr:col>0</xdr:col>
      <xdr:colOff>0</xdr:colOff>
      <xdr:row>0</xdr:row>
      <xdr:rowOff>0</xdr:rowOff>
    </xdr:from>
    <xdr:to>
      <xdr:col>11</xdr:col>
      <xdr:colOff>111136</xdr:colOff>
      <xdr:row>3</xdr:row>
      <xdr:rowOff>59612</xdr:rowOff>
    </xdr:to>
    <xdr:pic>
      <xdr:nvPicPr>
        <xdr:cNvPr id="29" name="그림 28">
          <a:extLst>
            <a:ext uri="{FF2B5EF4-FFF2-40B4-BE49-F238E27FC236}">
              <a16:creationId xmlns:a16="http://schemas.microsoft.com/office/drawing/2014/main" id="{00000000-0008-0000-0300-00001D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2352312" cy="799200"/>
        </a:xfrm>
        <a:prstGeom prst="rect">
          <a:avLst/>
        </a:prstGeom>
      </xdr:spPr>
    </xdr:pic>
    <xdr:clientData/>
  </xdr:twoCellAnchor>
  <xdr:twoCellAnchor editAs="oneCell">
    <xdr:from>
      <xdr:col>2</xdr:col>
      <xdr:colOff>22412</xdr:colOff>
      <xdr:row>42</xdr:row>
      <xdr:rowOff>0</xdr:rowOff>
    </xdr:from>
    <xdr:to>
      <xdr:col>35</xdr:col>
      <xdr:colOff>212912</xdr:colOff>
      <xdr:row>45</xdr:row>
      <xdr:rowOff>200642</xdr:rowOff>
    </xdr:to>
    <xdr:pic>
      <xdr:nvPicPr>
        <xdr:cNvPr id="28" name="그림 27">
          <a:extLst>
            <a:ext uri="{FF2B5EF4-FFF2-40B4-BE49-F238E27FC236}">
              <a16:creationId xmlns:a16="http://schemas.microsoft.com/office/drawing/2014/main" id="{00000000-0008-0000-0300-00001C000000}"/>
            </a:ext>
          </a:extLst>
        </xdr:cNvPr>
        <xdr:cNvPicPr>
          <a:picLocks noChangeAspect="1"/>
        </xdr:cNvPicPr>
      </xdr:nvPicPr>
      <xdr:blipFill>
        <a:blip xmlns:r="http://schemas.openxmlformats.org/officeDocument/2006/relationships" r:embed="rId5"/>
        <a:stretch>
          <a:fillRect/>
        </a:stretch>
      </xdr:blipFill>
      <xdr:spPr>
        <a:xfrm>
          <a:off x="246530" y="10690412"/>
          <a:ext cx="7978588" cy="94023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51</xdr:col>
          <xdr:colOff>209550</xdr:colOff>
          <xdr:row>25</xdr:row>
          <xdr:rowOff>238125</xdr:rowOff>
        </xdr:from>
        <xdr:to>
          <xdr:col>54</xdr:col>
          <xdr:colOff>133350</xdr:colOff>
          <xdr:row>27</xdr:row>
          <xdr:rowOff>57150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200-00003C100000}"/>
                </a:ext>
              </a:extLst>
            </xdr:cNvPr>
            <xdr:cNvSpPr/>
          </xdr:nvSpPr>
          <xdr:spPr bwMode="auto">
            <a:xfrm>
              <a:off x="0" y="0"/>
              <a:ext cx="0" cy="0"/>
            </a:xfrm>
            <a:prstGeom prst="rect">
              <a:avLst/>
            </a:prstGeom>
            <a:solidFill>
              <a:srgbClr val="C0C0C0" mc:Ignorable="a14" a14:legacySpreadsheetColorIndex="22">
                <a:alpha val="39999"/>
              </a:srgbClr>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조건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58</xdr:col>
          <xdr:colOff>171450</xdr:colOff>
          <xdr:row>26</xdr:row>
          <xdr:rowOff>0</xdr:rowOff>
        </xdr:from>
        <xdr:to>
          <xdr:col>61</xdr:col>
          <xdr:colOff>104775</xdr:colOff>
          <xdr:row>27</xdr:row>
          <xdr:rowOff>38100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solidFill>
              <a:srgbClr val="C0C0C0" mc:Ignorable="a14" a14:legacySpreadsheetColorIndex="22">
                <a:alpha val="39999"/>
              </a:srgbClr>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조건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45</xdr:col>
          <xdr:colOff>9525</xdr:colOff>
          <xdr:row>25</xdr:row>
          <xdr:rowOff>238125</xdr:rowOff>
        </xdr:from>
        <xdr:to>
          <xdr:col>47</xdr:col>
          <xdr:colOff>133350</xdr:colOff>
          <xdr:row>27</xdr:row>
          <xdr:rowOff>47625</xdr:rowOff>
        </xdr:to>
        <xdr:sp macro="" textlink="">
          <xdr:nvSpPr>
            <xdr:cNvPr id="4158" name="Check Box 62" descr="견적1" hidden="1">
              <a:extLst>
                <a:ext uri="{63B3BB69-23CF-44E3-9099-C40C66FF867C}">
                  <a14:compatExt spid="_x0000_s4158"/>
                </a:ext>
                <a:ext uri="{FF2B5EF4-FFF2-40B4-BE49-F238E27FC236}">
                  <a16:creationId xmlns:a16="http://schemas.microsoft.com/office/drawing/2014/main" id="{00000000-0008-0000-0200-00003E100000}"/>
                </a:ext>
              </a:extLst>
            </xdr:cNvPr>
            <xdr:cNvSpPr/>
          </xdr:nvSpPr>
          <xdr:spPr bwMode="auto">
            <a:xfrm>
              <a:off x="0" y="0"/>
              <a:ext cx="0" cy="0"/>
            </a:xfrm>
            <a:prstGeom prst="rect">
              <a:avLst/>
            </a:prstGeom>
            <a:solidFill>
              <a:srgbClr val="C0C0C0" mc:Ignorable="a14" a14:legacySpreadsheetColorIndex="22">
                <a:alpha val="39999"/>
              </a:srgbClr>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조건 1</a:t>
              </a:r>
            </a:p>
          </xdr:txBody>
        </xdr:sp>
        <xdr:clientData/>
      </xdr:twoCellAnchor>
    </mc:Choice>
    <mc:Fallback/>
  </mc:AlternateContent>
  <xdr:twoCellAnchor>
    <xdr:from>
      <xdr:col>49</xdr:col>
      <xdr:colOff>22412</xdr:colOff>
      <xdr:row>11</xdr:row>
      <xdr:rowOff>145676</xdr:rowOff>
    </xdr:from>
    <xdr:to>
      <xdr:col>51</xdr:col>
      <xdr:colOff>22411</xdr:colOff>
      <xdr:row>12</xdr:row>
      <xdr:rowOff>100853</xdr:rowOff>
    </xdr:to>
    <xdr:cxnSp macro="">
      <xdr:nvCxnSpPr>
        <xdr:cNvPr id="5" name="꺾인 연결선 4">
          <a:extLst>
            <a:ext uri="{FF2B5EF4-FFF2-40B4-BE49-F238E27FC236}">
              <a16:creationId xmlns:a16="http://schemas.microsoft.com/office/drawing/2014/main" id="{00000000-0008-0000-0100-000005000000}"/>
            </a:ext>
          </a:extLst>
        </xdr:cNvPr>
        <xdr:cNvCxnSpPr/>
      </xdr:nvCxnSpPr>
      <xdr:spPr>
        <a:xfrm>
          <a:off x="11049000" y="3025588"/>
          <a:ext cx="504264" cy="257736"/>
        </a:xfrm>
        <a:prstGeom prst="bentConnector3">
          <a:avLst/>
        </a:prstGeom>
        <a:ln>
          <a:solidFill>
            <a:schemeClr val="accent6">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17859</xdr:colOff>
      <xdr:row>12</xdr:row>
      <xdr:rowOff>100853</xdr:rowOff>
    </xdr:from>
    <xdr:to>
      <xdr:col>50</xdr:col>
      <xdr:colOff>201706</xdr:colOff>
      <xdr:row>12</xdr:row>
      <xdr:rowOff>101203</xdr:rowOff>
    </xdr:to>
    <xdr:cxnSp macro="">
      <xdr:nvCxnSpPr>
        <xdr:cNvPr id="13" name="직선 연결선 12">
          <a:extLst>
            <a:ext uri="{FF2B5EF4-FFF2-40B4-BE49-F238E27FC236}">
              <a16:creationId xmlns:a16="http://schemas.microsoft.com/office/drawing/2014/main" id="{00000000-0008-0000-0100-00000D000000}"/>
            </a:ext>
          </a:extLst>
        </xdr:cNvPr>
        <xdr:cNvCxnSpPr/>
      </xdr:nvCxnSpPr>
      <xdr:spPr>
        <a:xfrm flipV="1">
          <a:off x="11233547" y="3101228"/>
          <a:ext cx="410065" cy="350"/>
        </a:xfrm>
        <a:prstGeom prst="line">
          <a:avLst/>
        </a:prstGeom>
        <a:ln>
          <a:solidFill>
            <a:schemeClr val="accent6">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46</xdr:col>
          <xdr:colOff>38100</xdr:colOff>
          <xdr:row>18</xdr:row>
          <xdr:rowOff>9525</xdr:rowOff>
        </xdr:from>
        <xdr:to>
          <xdr:col>49</xdr:col>
          <xdr:colOff>104775</xdr:colOff>
          <xdr:row>19</xdr:row>
          <xdr:rowOff>47625</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2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 수기입력</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38100</xdr:colOff>
          <xdr:row>20</xdr:row>
          <xdr:rowOff>28575</xdr:rowOff>
        </xdr:from>
        <xdr:to>
          <xdr:col>50</xdr:col>
          <xdr:colOff>180975</xdr:colOff>
          <xdr:row>21</xdr:row>
          <xdr:rowOff>9525</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 취득원가 포함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38100</xdr:colOff>
          <xdr:row>22</xdr:row>
          <xdr:rowOff>9525</xdr:rowOff>
        </xdr:from>
        <xdr:to>
          <xdr:col>50</xdr:col>
          <xdr:colOff>142875</xdr:colOff>
          <xdr:row>23</xdr:row>
          <xdr:rowOff>47625</xdr:rowOff>
        </xdr:to>
        <xdr:sp macro="" textlink="">
          <xdr:nvSpPr>
            <xdr:cNvPr id="4166" name="Check Box 70" descr="  취득원가 포함"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 취득원가 포함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38100</xdr:colOff>
          <xdr:row>23</xdr:row>
          <xdr:rowOff>9525</xdr:rowOff>
        </xdr:from>
        <xdr:to>
          <xdr:col>50</xdr:col>
          <xdr:colOff>104775</xdr:colOff>
          <xdr:row>24</xdr:row>
          <xdr:rowOff>38100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2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 취득원가 포함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38100</xdr:colOff>
          <xdr:row>24</xdr:row>
          <xdr:rowOff>28575</xdr:rowOff>
        </xdr:from>
        <xdr:to>
          <xdr:col>50</xdr:col>
          <xdr:colOff>9525</xdr:colOff>
          <xdr:row>25</xdr:row>
          <xdr:rowOff>38100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 리스료 포함</a:t>
              </a:r>
            </a:p>
          </xdr:txBody>
        </xdr:sp>
        <xdr:clientData/>
      </xdr:twoCellAnchor>
    </mc:Choice>
    <mc:Fallback/>
  </mc:AlternateContent>
  <xdr:twoCellAnchor>
    <xdr:from>
      <xdr:col>64</xdr:col>
      <xdr:colOff>11205</xdr:colOff>
      <xdr:row>16</xdr:row>
      <xdr:rowOff>11207</xdr:rowOff>
    </xdr:from>
    <xdr:to>
      <xdr:col>65</xdr:col>
      <xdr:colOff>997324</xdr:colOff>
      <xdr:row>18</xdr:row>
      <xdr:rowOff>134470</xdr:rowOff>
    </xdr:to>
    <xdr:cxnSp macro="">
      <xdr:nvCxnSpPr>
        <xdr:cNvPr id="3" name="꺾인 연결선 2">
          <a:extLst>
            <a:ext uri="{FF2B5EF4-FFF2-40B4-BE49-F238E27FC236}">
              <a16:creationId xmlns:a16="http://schemas.microsoft.com/office/drawing/2014/main" id="{00000000-0008-0000-0100-000003000000}"/>
            </a:ext>
          </a:extLst>
        </xdr:cNvPr>
        <xdr:cNvCxnSpPr/>
      </xdr:nvCxnSpPr>
      <xdr:spPr>
        <a:xfrm flipV="1">
          <a:off x="14534029" y="3955678"/>
          <a:ext cx="1210236" cy="414616"/>
        </a:xfrm>
        <a:prstGeom prst="bentConnector3">
          <a:avLst/>
        </a:prstGeom>
        <a:ln>
          <a:headEnd type="triangle"/>
          <a:tailEnd type="triangle"/>
        </a:ln>
      </xdr:spPr>
      <xdr:style>
        <a:lnRef idx="3">
          <a:schemeClr val="dk1"/>
        </a:lnRef>
        <a:fillRef idx="0">
          <a:schemeClr val="dk1"/>
        </a:fillRef>
        <a:effectRef idx="2">
          <a:schemeClr val="dk1"/>
        </a:effectRef>
        <a:fontRef idx="minor">
          <a:schemeClr val="tx1"/>
        </a:fontRef>
      </xdr:style>
    </xdr:cxnSp>
    <xdr:clientData/>
  </xdr:twoCellAnchor>
  <xdr:twoCellAnchor editAs="oneCell">
    <xdr:from>
      <xdr:col>65</xdr:col>
      <xdr:colOff>44824</xdr:colOff>
      <xdr:row>0</xdr:row>
      <xdr:rowOff>11207</xdr:rowOff>
    </xdr:from>
    <xdr:to>
      <xdr:col>65</xdr:col>
      <xdr:colOff>997324</xdr:colOff>
      <xdr:row>4</xdr:row>
      <xdr:rowOff>89648</xdr:rowOff>
    </xdr:to>
    <xdr:pic macro="[0]!출력함">
      <xdr:nvPicPr>
        <xdr:cNvPr id="4" name="그림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791765" y="11207"/>
          <a:ext cx="952500" cy="952500"/>
        </a:xfrm>
        <a:prstGeom prst="rect">
          <a:avLst/>
        </a:prstGeom>
      </xdr:spPr>
    </xdr:pic>
    <xdr:clientData/>
  </xdr:twoCellAnchor>
  <xdr:twoCellAnchor>
    <xdr:from>
      <xdr:col>64</xdr:col>
      <xdr:colOff>11205</xdr:colOff>
      <xdr:row>11</xdr:row>
      <xdr:rowOff>33617</xdr:rowOff>
    </xdr:from>
    <xdr:to>
      <xdr:col>65</xdr:col>
      <xdr:colOff>1030942</xdr:colOff>
      <xdr:row>13</xdr:row>
      <xdr:rowOff>123269</xdr:rowOff>
    </xdr:to>
    <xdr:cxnSp macro="">
      <xdr:nvCxnSpPr>
        <xdr:cNvPr id="18" name="꺾인 연결선 17">
          <a:extLst>
            <a:ext uri="{FF2B5EF4-FFF2-40B4-BE49-F238E27FC236}">
              <a16:creationId xmlns:a16="http://schemas.microsoft.com/office/drawing/2014/main" id="{00000000-0008-0000-0100-000012000000}"/>
            </a:ext>
          </a:extLst>
        </xdr:cNvPr>
        <xdr:cNvCxnSpPr/>
      </xdr:nvCxnSpPr>
      <xdr:spPr>
        <a:xfrm flipV="1">
          <a:off x="14534029" y="2913529"/>
          <a:ext cx="1501589" cy="694769"/>
        </a:xfrm>
        <a:prstGeom prst="bentConnector3">
          <a:avLst/>
        </a:prstGeom>
        <a:ln>
          <a:headEnd type="triangle"/>
          <a:tailEnd type="triangle"/>
        </a:ln>
      </xdr:spPr>
      <xdr:style>
        <a:lnRef idx="3">
          <a:schemeClr val="dk1"/>
        </a:lnRef>
        <a:fillRef idx="0">
          <a:schemeClr val="dk1"/>
        </a:fillRef>
        <a:effectRef idx="2">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79</xdr:col>
          <xdr:colOff>142875</xdr:colOff>
          <xdr:row>0</xdr:row>
          <xdr:rowOff>133350</xdr:rowOff>
        </xdr:from>
        <xdr:to>
          <xdr:col>84</xdr:col>
          <xdr:colOff>142875</xdr:colOff>
          <xdr:row>2</xdr:row>
          <xdr:rowOff>190500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200-000053100000}"/>
                </a:ext>
              </a:extLst>
            </xdr:cNvPr>
            <xdr:cNvSpPr/>
          </xdr:nvSpPr>
          <xdr:spPr bwMode="auto">
            <a:xfrm>
              <a:off x="0" y="0"/>
              <a:ext cx="0" cy="0"/>
            </a:xfrm>
            <a:prstGeom prst="rect">
              <a:avLst/>
            </a:prstGeom>
            <a:solidFill>
              <a:srgbClr val="CCFFCC" mc:Ignorable="a14" a14:legacySpreadsheetColorIndex="42"/>
            </a:solidFill>
            <a:ln w="9525">
              <a:solidFill>
                <a:srgbClr val="000000" mc:Ignorable="a14" a14:legacySpreadsheetColorIndex="8"/>
              </a:solidFill>
              <a:miter lim="800000"/>
              <a:headEnd/>
              <a:tailEnd/>
            </a:ln>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 예외승인</a:t>
              </a:r>
            </a:p>
          </xdr:txBody>
        </xdr:sp>
        <xdr:clientData fLocksWithSheet="0"/>
      </xdr:twoCellAnchor>
    </mc:Choice>
    <mc:Fallback/>
  </mc:AlternateContent>
  <xdr:twoCellAnchor>
    <xdr:from>
      <xdr:col>64</xdr:col>
      <xdr:colOff>89646</xdr:colOff>
      <xdr:row>40</xdr:row>
      <xdr:rowOff>134468</xdr:rowOff>
    </xdr:from>
    <xdr:to>
      <xdr:col>65</xdr:col>
      <xdr:colOff>963706</xdr:colOff>
      <xdr:row>41</xdr:row>
      <xdr:rowOff>145677</xdr:rowOff>
    </xdr:to>
    <xdr:cxnSp macro="">
      <xdr:nvCxnSpPr>
        <xdr:cNvPr id="19" name="꺾인 연결선 18">
          <a:extLst>
            <a:ext uri="{FF2B5EF4-FFF2-40B4-BE49-F238E27FC236}">
              <a16:creationId xmlns:a16="http://schemas.microsoft.com/office/drawing/2014/main" id="{00000000-0008-0000-0100-000013000000}"/>
            </a:ext>
          </a:extLst>
        </xdr:cNvPr>
        <xdr:cNvCxnSpPr/>
      </xdr:nvCxnSpPr>
      <xdr:spPr>
        <a:xfrm>
          <a:off x="14612470" y="9816350"/>
          <a:ext cx="1355912" cy="224121"/>
        </a:xfrm>
        <a:prstGeom prst="bentConnector3">
          <a:avLst/>
        </a:prstGeom>
        <a:ln>
          <a:headEnd type="triangle"/>
          <a:tailEnd type="triangle"/>
        </a:ln>
      </xdr:spPr>
      <xdr:style>
        <a:lnRef idx="3">
          <a:schemeClr val="dk1"/>
        </a:lnRef>
        <a:fillRef idx="0">
          <a:schemeClr val="dk1"/>
        </a:fillRef>
        <a:effectRef idx="2">
          <a:schemeClr val="dk1"/>
        </a:effectRef>
        <a:fontRef idx="minor">
          <a:schemeClr val="tx1"/>
        </a:fontRef>
      </xdr:style>
    </xdr:cxnSp>
    <xdr:clientData/>
  </xdr:twoCellAnchor>
  <xdr:twoCellAnchor editAs="oneCell">
    <xdr:from>
      <xdr:col>26</xdr:col>
      <xdr:colOff>145676</xdr:colOff>
      <xdr:row>0</xdr:row>
      <xdr:rowOff>22411</xdr:rowOff>
    </xdr:from>
    <xdr:to>
      <xdr:col>34</xdr:col>
      <xdr:colOff>78440</xdr:colOff>
      <xdr:row>3</xdr:row>
      <xdr:rowOff>166868</xdr:rowOff>
    </xdr:to>
    <xdr:pic>
      <xdr:nvPicPr>
        <xdr:cNvPr id="7" name="그림 6">
          <a:extLst>
            <a:ext uri="{FF2B5EF4-FFF2-40B4-BE49-F238E27FC236}">
              <a16:creationId xmlns:a16="http://schemas.microsoft.com/office/drawing/2014/main" id="{00000000-0008-0000-0100-000007000000}"/>
            </a:ext>
          </a:extLst>
        </xdr:cNvPr>
        <xdr:cNvPicPr>
          <a:picLocks noChangeAspect="1"/>
        </xdr:cNvPicPr>
      </xdr:nvPicPr>
      <xdr:blipFill rotWithShape="1">
        <a:blip xmlns:r="http://schemas.openxmlformats.org/officeDocument/2006/relationships" r:embed="rId2" cstate="print">
          <a:extLst>
            <a:ext uri="{BEBA8EAE-BF5A-486C-A8C5-ECC9F3942E4B}">
              <a14:imgProps xmlns:a14="http://schemas.microsoft.com/office/drawing/2010/main">
                <a14:imgLayer r:embed="rId3">
                  <a14:imgEffect>
                    <a14:backgroundRemoval t="46725" b="100000" l="19307" r="90956"/>
                  </a14:imgEffect>
                </a14:imgLayer>
              </a14:imgProps>
            </a:ext>
            <a:ext uri="{28A0092B-C50C-407E-A947-70E740481C1C}">
              <a14:useLocalDpi xmlns:a14="http://schemas.microsoft.com/office/drawing/2010/main" val="0"/>
            </a:ext>
          </a:extLst>
        </a:blip>
        <a:srcRect l="19541" t="47097" r="8694"/>
        <a:stretch/>
      </xdr:blipFill>
      <xdr:spPr>
        <a:xfrm>
          <a:off x="5972735" y="22411"/>
          <a:ext cx="1860176" cy="805604"/>
        </a:xfrm>
        <a:prstGeom prst="rect">
          <a:avLst/>
        </a:prstGeom>
      </xdr:spPr>
    </xdr:pic>
    <xdr:clientData/>
  </xdr:twoCellAnchor>
  <xdr:twoCellAnchor editAs="oneCell">
    <xdr:from>
      <xdr:col>0</xdr:col>
      <xdr:colOff>0</xdr:colOff>
      <xdr:row>0</xdr:row>
      <xdr:rowOff>0</xdr:rowOff>
    </xdr:from>
    <xdr:to>
      <xdr:col>10</xdr:col>
      <xdr:colOff>111136</xdr:colOff>
      <xdr:row>3</xdr:row>
      <xdr:rowOff>138053</xdr:rowOff>
    </xdr:to>
    <xdr:pic>
      <xdr:nvPicPr>
        <xdr:cNvPr id="26" name="그림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2352312" cy="799200"/>
        </a:xfrm>
        <a:prstGeom prst="rect">
          <a:avLst/>
        </a:prstGeom>
      </xdr:spPr>
    </xdr:pic>
    <xdr:clientData/>
  </xdr:twoCellAnchor>
  <xdr:twoCellAnchor editAs="oneCell">
    <xdr:from>
      <xdr:col>1</xdr:col>
      <xdr:colOff>100852</xdr:colOff>
      <xdr:row>46</xdr:row>
      <xdr:rowOff>190499</xdr:rowOff>
    </xdr:from>
    <xdr:to>
      <xdr:col>35</xdr:col>
      <xdr:colOff>11205</xdr:colOff>
      <xdr:row>51</xdr:row>
      <xdr:rowOff>43759</xdr:rowOff>
    </xdr:to>
    <xdr:pic>
      <xdr:nvPicPr>
        <xdr:cNvPr id="21" name="그림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5"/>
        <a:stretch>
          <a:fillRect/>
        </a:stretch>
      </xdr:blipFill>
      <xdr:spPr>
        <a:xfrm>
          <a:off x="324970" y="11183470"/>
          <a:ext cx="7664823" cy="94023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130968</xdr:colOff>
      <xdr:row>13</xdr:row>
      <xdr:rowOff>190499</xdr:rowOff>
    </xdr:from>
    <xdr:to>
      <xdr:col>32</xdr:col>
      <xdr:colOff>369094</xdr:colOff>
      <xdr:row>49</xdr:row>
      <xdr:rowOff>166686</xdr:rowOff>
    </xdr:to>
    <xdr:pic>
      <xdr:nvPicPr>
        <xdr:cNvPr id="3" name="그림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stretch>
          <a:fillRect/>
        </a:stretch>
      </xdr:blipFill>
      <xdr:spPr>
        <a:xfrm>
          <a:off x="9441656" y="3298030"/>
          <a:ext cx="12025313" cy="860821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962025</xdr:colOff>
          <xdr:row>3</xdr:row>
          <xdr:rowOff>104775</xdr:rowOff>
        </xdr:from>
        <xdr:to>
          <xdr:col>2</xdr:col>
          <xdr:colOff>1266825</xdr:colOff>
          <xdr:row>3</xdr:row>
          <xdr:rowOff>352425</xdr:rowOff>
        </xdr:to>
        <xdr:sp macro="" textlink="">
          <xdr:nvSpPr>
            <xdr:cNvPr id="62465" name="Check Box 1" hidden="1">
              <a:extLst>
                <a:ext uri="{63B3BB69-23CF-44E3-9099-C40C66FF867C}">
                  <a14:compatExt spid="_x0000_s62465"/>
                </a:ext>
                <a:ext uri="{FF2B5EF4-FFF2-40B4-BE49-F238E27FC236}">
                  <a16:creationId xmlns:a16="http://schemas.microsoft.com/office/drawing/2014/main" id="{00000000-0008-0000-0700-000001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1981200</xdr:colOff>
          <xdr:row>3</xdr:row>
          <xdr:rowOff>95250</xdr:rowOff>
        </xdr:from>
        <xdr:to>
          <xdr:col>2</xdr:col>
          <xdr:colOff>2286000</xdr:colOff>
          <xdr:row>3</xdr:row>
          <xdr:rowOff>342900</xdr:rowOff>
        </xdr:to>
        <xdr:sp macro="" textlink="">
          <xdr:nvSpPr>
            <xdr:cNvPr id="62466" name="Check Box 2" hidden="1">
              <a:extLst>
                <a:ext uri="{63B3BB69-23CF-44E3-9099-C40C66FF867C}">
                  <a14:compatExt spid="_x0000_s62466"/>
                </a:ext>
                <a:ext uri="{FF2B5EF4-FFF2-40B4-BE49-F238E27FC236}">
                  <a16:creationId xmlns:a16="http://schemas.microsoft.com/office/drawing/2014/main" id="{00000000-0008-0000-0700-000002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1000125</xdr:colOff>
          <xdr:row>6</xdr:row>
          <xdr:rowOff>9525</xdr:rowOff>
        </xdr:from>
        <xdr:to>
          <xdr:col>2</xdr:col>
          <xdr:colOff>1381125</xdr:colOff>
          <xdr:row>6</xdr:row>
          <xdr:rowOff>390525</xdr:rowOff>
        </xdr:to>
        <xdr:sp macro="" textlink="">
          <xdr:nvSpPr>
            <xdr:cNvPr id="62467" name="Check Box 3" hidden="1">
              <a:extLst>
                <a:ext uri="{63B3BB69-23CF-44E3-9099-C40C66FF867C}">
                  <a14:compatExt spid="_x0000_s62467"/>
                </a:ext>
                <a:ext uri="{FF2B5EF4-FFF2-40B4-BE49-F238E27FC236}">
                  <a16:creationId xmlns:a16="http://schemas.microsoft.com/office/drawing/2014/main" id="{00000000-0008-0000-0700-000003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2333625</xdr:colOff>
          <xdr:row>6</xdr:row>
          <xdr:rowOff>0</xdr:rowOff>
        </xdr:from>
        <xdr:to>
          <xdr:col>2</xdr:col>
          <xdr:colOff>2638425</xdr:colOff>
          <xdr:row>6</xdr:row>
          <xdr:rowOff>381000</xdr:rowOff>
        </xdr:to>
        <xdr:sp macro="" textlink="">
          <xdr:nvSpPr>
            <xdr:cNvPr id="62468" name="Check Box 4" hidden="1">
              <a:extLst>
                <a:ext uri="{63B3BB69-23CF-44E3-9099-C40C66FF867C}">
                  <a14:compatExt spid="_x0000_s62468"/>
                </a:ext>
                <a:ext uri="{FF2B5EF4-FFF2-40B4-BE49-F238E27FC236}">
                  <a16:creationId xmlns:a16="http://schemas.microsoft.com/office/drawing/2014/main" id="{00000000-0008-0000-0700-000004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1000125</xdr:colOff>
          <xdr:row>7</xdr:row>
          <xdr:rowOff>47625</xdr:rowOff>
        </xdr:from>
        <xdr:to>
          <xdr:col>2</xdr:col>
          <xdr:colOff>1304925</xdr:colOff>
          <xdr:row>7</xdr:row>
          <xdr:rowOff>371475</xdr:rowOff>
        </xdr:to>
        <xdr:sp macro="" textlink="">
          <xdr:nvSpPr>
            <xdr:cNvPr id="62469" name="Check Box 5" hidden="1">
              <a:extLst>
                <a:ext uri="{63B3BB69-23CF-44E3-9099-C40C66FF867C}">
                  <a14:compatExt spid="_x0000_s62469"/>
                </a:ext>
                <a:ext uri="{FF2B5EF4-FFF2-40B4-BE49-F238E27FC236}">
                  <a16:creationId xmlns:a16="http://schemas.microsoft.com/office/drawing/2014/main" id="{00000000-0008-0000-0700-000005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2324100</xdr:colOff>
          <xdr:row>7</xdr:row>
          <xdr:rowOff>47625</xdr:rowOff>
        </xdr:from>
        <xdr:to>
          <xdr:col>2</xdr:col>
          <xdr:colOff>2628900</xdr:colOff>
          <xdr:row>7</xdr:row>
          <xdr:rowOff>400050</xdr:rowOff>
        </xdr:to>
        <xdr:sp macro="" textlink="">
          <xdr:nvSpPr>
            <xdr:cNvPr id="62470" name="Check Box 6" hidden="1">
              <a:extLst>
                <a:ext uri="{63B3BB69-23CF-44E3-9099-C40C66FF867C}">
                  <a14:compatExt spid="_x0000_s62470"/>
                </a:ext>
                <a:ext uri="{FF2B5EF4-FFF2-40B4-BE49-F238E27FC236}">
                  <a16:creationId xmlns:a16="http://schemas.microsoft.com/office/drawing/2014/main" id="{00000000-0008-0000-0700-000006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8</xdr:row>
          <xdr:rowOff>38100</xdr:rowOff>
        </xdr:from>
        <xdr:to>
          <xdr:col>2</xdr:col>
          <xdr:colOff>342900</xdr:colOff>
          <xdr:row>8</xdr:row>
          <xdr:rowOff>361950</xdr:rowOff>
        </xdr:to>
        <xdr:sp macro="" textlink="">
          <xdr:nvSpPr>
            <xdr:cNvPr id="62471" name="Check Box 7" hidden="1">
              <a:extLst>
                <a:ext uri="{63B3BB69-23CF-44E3-9099-C40C66FF867C}">
                  <a14:compatExt spid="_x0000_s62471"/>
                </a:ext>
                <a:ext uri="{FF2B5EF4-FFF2-40B4-BE49-F238E27FC236}">
                  <a16:creationId xmlns:a16="http://schemas.microsoft.com/office/drawing/2014/main" id="{00000000-0008-0000-0700-000007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1171575</xdr:colOff>
          <xdr:row>8</xdr:row>
          <xdr:rowOff>28575</xdr:rowOff>
        </xdr:from>
        <xdr:to>
          <xdr:col>2</xdr:col>
          <xdr:colOff>1476375</xdr:colOff>
          <xdr:row>8</xdr:row>
          <xdr:rowOff>352425</xdr:rowOff>
        </xdr:to>
        <xdr:sp macro="" textlink="">
          <xdr:nvSpPr>
            <xdr:cNvPr id="62472" name="Check Box 8" hidden="1">
              <a:extLst>
                <a:ext uri="{63B3BB69-23CF-44E3-9099-C40C66FF867C}">
                  <a14:compatExt spid="_x0000_s62472"/>
                </a:ext>
                <a:ext uri="{FF2B5EF4-FFF2-40B4-BE49-F238E27FC236}">
                  <a16:creationId xmlns:a16="http://schemas.microsoft.com/office/drawing/2014/main" id="{00000000-0008-0000-0700-000008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2343150</xdr:colOff>
          <xdr:row>8</xdr:row>
          <xdr:rowOff>38100</xdr:rowOff>
        </xdr:from>
        <xdr:to>
          <xdr:col>2</xdr:col>
          <xdr:colOff>2647950</xdr:colOff>
          <xdr:row>8</xdr:row>
          <xdr:rowOff>361950</xdr:rowOff>
        </xdr:to>
        <xdr:sp macro="" textlink="">
          <xdr:nvSpPr>
            <xdr:cNvPr id="62473" name="Check Box 9" hidden="1">
              <a:extLst>
                <a:ext uri="{63B3BB69-23CF-44E3-9099-C40C66FF867C}">
                  <a14:compatExt spid="_x0000_s62473"/>
                </a:ext>
                <a:ext uri="{FF2B5EF4-FFF2-40B4-BE49-F238E27FC236}">
                  <a16:creationId xmlns:a16="http://schemas.microsoft.com/office/drawing/2014/main" id="{00000000-0008-0000-0700-000009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1476375</xdr:colOff>
          <xdr:row>19</xdr:row>
          <xdr:rowOff>9525</xdr:rowOff>
        </xdr:from>
        <xdr:to>
          <xdr:col>2</xdr:col>
          <xdr:colOff>1781175</xdr:colOff>
          <xdr:row>19</xdr:row>
          <xdr:rowOff>438150</xdr:rowOff>
        </xdr:to>
        <xdr:sp macro="" textlink="">
          <xdr:nvSpPr>
            <xdr:cNvPr id="62474" name="Check Box 10" hidden="1">
              <a:extLst>
                <a:ext uri="{63B3BB69-23CF-44E3-9099-C40C66FF867C}">
                  <a14:compatExt spid="_x0000_s62474"/>
                </a:ext>
                <a:ext uri="{FF2B5EF4-FFF2-40B4-BE49-F238E27FC236}">
                  <a16:creationId xmlns:a16="http://schemas.microsoft.com/office/drawing/2014/main" id="{00000000-0008-0000-0700-00000A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14</xdr:col>
      <xdr:colOff>178593</xdr:colOff>
      <xdr:row>13</xdr:row>
      <xdr:rowOff>71439</xdr:rowOff>
    </xdr:from>
    <xdr:to>
      <xdr:col>31</xdr:col>
      <xdr:colOff>653846</xdr:colOff>
      <xdr:row>44</xdr:row>
      <xdr:rowOff>26986</xdr:rowOff>
    </xdr:to>
    <xdr:pic>
      <xdr:nvPicPr>
        <xdr:cNvPr id="2" name="그림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9703593" y="3178970"/>
          <a:ext cx="13715003" cy="846851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0</xdr:colOff>
      <xdr:row>1</xdr:row>
      <xdr:rowOff>0</xdr:rowOff>
    </xdr:from>
    <xdr:to>
      <xdr:col>5</xdr:col>
      <xdr:colOff>380077</xdr:colOff>
      <xdr:row>4</xdr:row>
      <xdr:rowOff>160465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60294" y="212912"/>
          <a:ext cx="2352312" cy="7992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50</xdr:col>
      <xdr:colOff>22412</xdr:colOff>
      <xdr:row>11</xdr:row>
      <xdr:rowOff>145676</xdr:rowOff>
    </xdr:from>
    <xdr:to>
      <xdr:col>52</xdr:col>
      <xdr:colOff>22411</xdr:colOff>
      <xdr:row>12</xdr:row>
      <xdr:rowOff>100853</xdr:rowOff>
    </xdr:to>
    <xdr:cxnSp macro="">
      <xdr:nvCxnSpPr>
        <xdr:cNvPr id="3" name="꺾인 연결선 2">
          <a:extLst>
            <a:ext uri="{FF2B5EF4-FFF2-40B4-BE49-F238E27FC236}">
              <a16:creationId xmlns:a16="http://schemas.microsoft.com/office/drawing/2014/main" id="{00000000-0008-0000-0E00-000003000000}"/>
            </a:ext>
          </a:extLst>
        </xdr:cNvPr>
        <xdr:cNvCxnSpPr/>
      </xdr:nvCxnSpPr>
      <xdr:spPr>
        <a:xfrm>
          <a:off x="10804712" y="2869826"/>
          <a:ext cx="380999" cy="202827"/>
        </a:xfrm>
        <a:prstGeom prst="bentConnector3">
          <a:avLst/>
        </a:prstGeom>
        <a:ln>
          <a:solidFill>
            <a:schemeClr val="accent6">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17859</xdr:colOff>
      <xdr:row>12</xdr:row>
      <xdr:rowOff>100853</xdr:rowOff>
    </xdr:from>
    <xdr:to>
      <xdr:col>51</xdr:col>
      <xdr:colOff>201706</xdr:colOff>
      <xdr:row>12</xdr:row>
      <xdr:rowOff>101203</xdr:rowOff>
    </xdr:to>
    <xdr:cxnSp macro="">
      <xdr:nvCxnSpPr>
        <xdr:cNvPr id="4" name="직선 연결선 3">
          <a:extLst>
            <a:ext uri="{FF2B5EF4-FFF2-40B4-BE49-F238E27FC236}">
              <a16:creationId xmlns:a16="http://schemas.microsoft.com/office/drawing/2014/main" id="{00000000-0008-0000-0E00-000004000000}"/>
            </a:ext>
          </a:extLst>
        </xdr:cNvPr>
        <xdr:cNvCxnSpPr/>
      </xdr:nvCxnSpPr>
      <xdr:spPr>
        <a:xfrm flipV="1">
          <a:off x="10800159" y="3072653"/>
          <a:ext cx="364822" cy="350"/>
        </a:xfrm>
        <a:prstGeom prst="line">
          <a:avLst/>
        </a:prstGeom>
        <a:ln>
          <a:solidFill>
            <a:schemeClr val="accent6">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47</xdr:col>
          <xdr:colOff>38100</xdr:colOff>
          <xdr:row>17</xdr:row>
          <xdr:rowOff>9525</xdr:rowOff>
        </xdr:from>
        <xdr:to>
          <xdr:col>51</xdr:col>
          <xdr:colOff>38100</xdr:colOff>
          <xdr:row>18</xdr:row>
          <xdr:rowOff>0</xdr:rowOff>
        </xdr:to>
        <xdr:sp macro="" textlink="">
          <xdr:nvSpPr>
            <xdr:cNvPr id="55297" name="Check Box 1" hidden="1">
              <a:extLst>
                <a:ext uri="{63B3BB69-23CF-44E3-9099-C40C66FF867C}">
                  <a14:compatExt spid="_x0000_s55297"/>
                </a:ext>
                <a:ext uri="{FF2B5EF4-FFF2-40B4-BE49-F238E27FC236}">
                  <a16:creationId xmlns:a16="http://schemas.microsoft.com/office/drawing/2014/main" id="{00000000-0008-0000-0E00-000001D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 수기입력</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171450</xdr:colOff>
          <xdr:row>2</xdr:row>
          <xdr:rowOff>0</xdr:rowOff>
        </xdr:from>
        <xdr:to>
          <xdr:col>60</xdr:col>
          <xdr:colOff>104775</xdr:colOff>
          <xdr:row>3</xdr:row>
          <xdr:rowOff>9525</xdr:rowOff>
        </xdr:to>
        <xdr:sp macro="" textlink="">
          <xdr:nvSpPr>
            <xdr:cNvPr id="55304" name="Option Button 8" hidden="1">
              <a:extLst>
                <a:ext uri="{63B3BB69-23CF-44E3-9099-C40C66FF867C}">
                  <a14:compatExt spid="_x0000_s55304"/>
                </a:ext>
                <a:ext uri="{FF2B5EF4-FFF2-40B4-BE49-F238E27FC236}">
                  <a16:creationId xmlns:a16="http://schemas.microsoft.com/office/drawing/2014/main" id="{00000000-0008-0000-0E00-000008D80000}"/>
                </a:ext>
              </a:extLst>
            </xdr:cNvPr>
            <xdr:cNvSpPr/>
          </xdr:nvSpPr>
          <xdr:spPr bwMode="auto">
            <a:xfrm>
              <a:off x="0" y="0"/>
              <a:ext cx="0" cy="0"/>
            </a:xfrm>
            <a:prstGeom prst="rect">
              <a:avLst/>
            </a:prstGeom>
            <a:solidFill>
              <a:srgbClr val="C0C0C0" mc:Ignorable="a14" a14:legacySpreadsheetColorIndex="22"/>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할부금융</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124</xdr:col>
          <xdr:colOff>285750</xdr:colOff>
          <xdr:row>1</xdr:row>
          <xdr:rowOff>114300</xdr:rowOff>
        </xdr:from>
        <xdr:to>
          <xdr:col>126</xdr:col>
          <xdr:colOff>190500</xdr:colOff>
          <xdr:row>2</xdr:row>
          <xdr:rowOff>104775</xdr:rowOff>
        </xdr:to>
        <xdr:sp macro="" textlink="">
          <xdr:nvSpPr>
            <xdr:cNvPr id="55311" name="Check Box 15" hidden="1">
              <a:extLst>
                <a:ext uri="{63B3BB69-23CF-44E3-9099-C40C66FF867C}">
                  <a14:compatExt spid="_x0000_s55311"/>
                </a:ext>
                <a:ext uri="{FF2B5EF4-FFF2-40B4-BE49-F238E27FC236}">
                  <a16:creationId xmlns:a16="http://schemas.microsoft.com/office/drawing/2014/main" id="{00000000-0008-0000-0E00-00000FD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금리표시</a:t>
              </a:r>
            </a:p>
          </xdr:txBody>
        </xdr:sp>
        <xdr:clientData/>
      </xdr:twoCellAnchor>
    </mc:Choice>
    <mc:Fallback/>
  </mc:AlternateContent>
  <xdr:oneCellAnchor>
    <xdr:from>
      <xdr:col>2</xdr:col>
      <xdr:colOff>67235</xdr:colOff>
      <xdr:row>43</xdr:row>
      <xdr:rowOff>189634</xdr:rowOff>
    </xdr:from>
    <xdr:ext cx="8753831" cy="580159"/>
    <xdr:sp macro="" textlink="">
      <xdr:nvSpPr>
        <xdr:cNvPr id="13" name="TextBox 12">
          <a:extLst>
            <a:ext uri="{FF2B5EF4-FFF2-40B4-BE49-F238E27FC236}">
              <a16:creationId xmlns:a16="http://schemas.microsoft.com/office/drawing/2014/main" id="{00000000-0008-0000-0E00-00000D000000}"/>
            </a:ext>
          </a:extLst>
        </xdr:cNvPr>
        <xdr:cNvSpPr txBox="1"/>
      </xdr:nvSpPr>
      <xdr:spPr>
        <a:xfrm>
          <a:off x="291353" y="10790399"/>
          <a:ext cx="8753831" cy="5801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en-US" altLang="ko-KR" sz="1100" b="1" i="0" u="none" strike="noStrike">
              <a:solidFill>
                <a:schemeClr val="tx2"/>
              </a:solidFill>
              <a:effectLst/>
              <a:latin typeface="+mn-ea"/>
              <a:ea typeface="+mn-ea"/>
              <a:cs typeface="+mn-cs"/>
            </a:rPr>
            <a:t>    04521  </a:t>
          </a:r>
          <a:r>
            <a:rPr lang="ko-KR" altLang="en-US" sz="1100" b="1" i="0" u="none" strike="noStrike">
              <a:solidFill>
                <a:schemeClr val="tx2"/>
              </a:solidFill>
              <a:effectLst/>
              <a:latin typeface="+mn-ea"/>
              <a:ea typeface="+mn-ea"/>
              <a:cs typeface="+mn-cs"/>
            </a:rPr>
            <a:t>서울특별시 중구 남대문로 </a:t>
          </a:r>
          <a:r>
            <a:rPr lang="en-US" altLang="ko-KR" sz="1100" b="1" i="0" u="none" strike="noStrike">
              <a:solidFill>
                <a:schemeClr val="tx2"/>
              </a:solidFill>
              <a:effectLst/>
              <a:latin typeface="+mn-ea"/>
              <a:ea typeface="+mn-ea"/>
              <a:cs typeface="+mn-cs"/>
            </a:rPr>
            <a:t>125, 7</a:t>
          </a:r>
          <a:r>
            <a:rPr lang="ko-KR" altLang="en-US" sz="1100" b="1" i="0" u="none" strike="noStrike">
              <a:solidFill>
                <a:schemeClr val="tx2"/>
              </a:solidFill>
              <a:effectLst/>
              <a:latin typeface="+mn-ea"/>
              <a:ea typeface="+mn-ea"/>
              <a:cs typeface="+mn-cs"/>
            </a:rPr>
            <a:t>층 주식회사 아이엠캐피탈    </a:t>
          </a:r>
          <a:r>
            <a:rPr lang="en-US" altLang="ko-KR" sz="1100" b="1" i="0" u="none" strike="noStrike">
              <a:solidFill>
                <a:sysClr val="windowText" lastClr="000000"/>
              </a:solidFill>
              <a:effectLst/>
              <a:latin typeface="+mn-ea"/>
              <a:ea typeface="+mn-ea"/>
              <a:cs typeface="+mn-cs"/>
            </a:rPr>
            <a:t>www.imcap.co.kr</a:t>
          </a:r>
          <a:r>
            <a:rPr lang="en-US" altLang="ko-KR" sz="1100" b="1">
              <a:solidFill>
                <a:sysClr val="windowText" lastClr="000000"/>
              </a:solidFill>
              <a:latin typeface="+mn-ea"/>
              <a:ea typeface="+mn-ea"/>
            </a:rPr>
            <a:t> </a:t>
          </a:r>
          <a:r>
            <a:rPr lang="ko-KR" altLang="en-US" sz="1100" b="1" i="0" u="none" strike="noStrike">
              <a:solidFill>
                <a:sysClr val="windowText" lastClr="000000"/>
              </a:solidFill>
              <a:effectLst/>
              <a:latin typeface="+mn-ea"/>
              <a:ea typeface="+mn-ea"/>
              <a:cs typeface="+mn-cs"/>
            </a:rPr>
            <a:t>　</a:t>
          </a:r>
          <a:r>
            <a:rPr lang="en-US" altLang="ko-KR" sz="1100" b="1">
              <a:solidFill>
                <a:sysClr val="windowText" lastClr="000000"/>
              </a:solidFill>
              <a:latin typeface="+mn-ea"/>
              <a:ea typeface="+mn-ea"/>
            </a:rPr>
            <a:t> </a:t>
          </a:r>
          <a:r>
            <a:rPr lang="ko-KR" altLang="en-US" sz="1100" b="1" i="0" u="none" strike="noStrike">
              <a:solidFill>
                <a:schemeClr val="tx2"/>
              </a:solidFill>
              <a:effectLst/>
              <a:latin typeface="+mn-ea"/>
              <a:ea typeface="+mn-ea"/>
              <a:cs typeface="+mn-cs"/>
            </a:rPr>
            <a:t>　</a:t>
          </a:r>
          <a:r>
            <a:rPr lang="en-US" altLang="ko-KR" sz="1100" b="1">
              <a:solidFill>
                <a:schemeClr val="tx2"/>
              </a:solidFill>
              <a:latin typeface="+mn-ea"/>
              <a:ea typeface="+mn-ea"/>
            </a:rPr>
            <a:t> </a:t>
          </a:r>
          <a:r>
            <a:rPr lang="ko-KR" altLang="en-US" sz="1100" b="1" i="0" u="none" strike="noStrike">
              <a:solidFill>
                <a:schemeClr val="tx2"/>
              </a:solidFill>
              <a:effectLst/>
              <a:latin typeface="+mn-ea"/>
              <a:ea typeface="+mn-ea"/>
              <a:cs typeface="+mn-cs"/>
            </a:rPr>
            <a:t>　</a:t>
          </a:r>
          <a:r>
            <a:rPr lang="en-US" altLang="ko-KR" sz="1100" b="1">
              <a:solidFill>
                <a:schemeClr val="tx2"/>
              </a:solidFill>
              <a:latin typeface="+mn-ea"/>
              <a:ea typeface="+mn-ea"/>
            </a:rPr>
            <a:t> </a:t>
          </a:r>
          <a:r>
            <a:rPr lang="ko-KR" altLang="en-US" sz="1100" b="1" i="0" u="none" strike="noStrike">
              <a:solidFill>
                <a:schemeClr val="tx2"/>
              </a:solidFill>
              <a:effectLst/>
              <a:latin typeface="+mn-ea"/>
              <a:ea typeface="+mn-ea"/>
              <a:cs typeface="+mn-cs"/>
            </a:rPr>
            <a:t>　</a:t>
          </a:r>
          <a:r>
            <a:rPr lang="en-US" altLang="ko-KR" sz="1100" b="1">
              <a:solidFill>
                <a:schemeClr val="tx2"/>
              </a:solidFill>
              <a:latin typeface="+mn-ea"/>
              <a:ea typeface="+mn-ea"/>
            </a:rPr>
            <a:t> </a:t>
          </a:r>
          <a:r>
            <a:rPr lang="ko-KR" altLang="en-US" sz="1100" b="1" i="0" u="none" strike="noStrike">
              <a:solidFill>
                <a:schemeClr val="tx2"/>
              </a:solidFill>
              <a:effectLst/>
              <a:latin typeface="+mn-ea"/>
              <a:ea typeface="+mn-ea"/>
              <a:cs typeface="+mn-cs"/>
            </a:rPr>
            <a:t>　</a:t>
          </a:r>
          <a:r>
            <a:rPr lang="en-US" altLang="ko-KR" sz="1100" b="1">
              <a:solidFill>
                <a:schemeClr val="tx2"/>
              </a:solidFill>
              <a:latin typeface="+mn-ea"/>
              <a:ea typeface="+mn-ea"/>
            </a:rPr>
            <a:t> </a:t>
          </a:r>
          <a:r>
            <a:rPr lang="ko-KR" altLang="en-US" sz="1100" b="1" i="0" u="none" strike="noStrike">
              <a:solidFill>
                <a:schemeClr val="tx2"/>
              </a:solidFill>
              <a:effectLst/>
              <a:latin typeface="+mn-ea"/>
              <a:ea typeface="+mn-ea"/>
              <a:cs typeface="+mn-cs"/>
            </a:rPr>
            <a:t>　</a:t>
          </a:r>
          <a:r>
            <a:rPr lang="en-US" altLang="ko-KR" sz="1100" b="1">
              <a:solidFill>
                <a:schemeClr val="tx2"/>
              </a:solidFill>
              <a:latin typeface="+mn-ea"/>
              <a:ea typeface="+mn-ea"/>
            </a:rPr>
            <a:t> </a:t>
          </a:r>
          <a:r>
            <a:rPr lang="ko-KR" altLang="en-US" sz="1100" b="1" i="0" u="none" strike="noStrike">
              <a:solidFill>
                <a:schemeClr val="tx2"/>
              </a:solidFill>
              <a:effectLst/>
              <a:latin typeface="+mn-ea"/>
              <a:ea typeface="+mn-ea"/>
              <a:cs typeface="+mn-cs"/>
            </a:rPr>
            <a:t>　</a:t>
          </a:r>
          <a:r>
            <a:rPr lang="en-US" altLang="ko-KR" sz="1100" b="1">
              <a:solidFill>
                <a:schemeClr val="tx2"/>
              </a:solidFill>
              <a:latin typeface="+mn-ea"/>
              <a:ea typeface="+mn-ea"/>
            </a:rPr>
            <a:t> </a:t>
          </a:r>
          <a:r>
            <a:rPr lang="ko-KR" altLang="en-US" sz="1100" b="1" i="0" u="none" strike="noStrike">
              <a:solidFill>
                <a:schemeClr val="tx2"/>
              </a:solidFill>
              <a:effectLst/>
              <a:latin typeface="+mn-ea"/>
              <a:ea typeface="+mn-ea"/>
              <a:cs typeface="+mn-cs"/>
            </a:rPr>
            <a:t>　</a:t>
          </a:r>
          <a:r>
            <a:rPr lang="en-US" altLang="ko-KR" sz="1100" b="1">
              <a:solidFill>
                <a:schemeClr val="tx2"/>
              </a:solidFill>
              <a:latin typeface="+mn-ea"/>
              <a:ea typeface="+mn-ea"/>
            </a:rPr>
            <a:t> </a:t>
          </a:r>
          <a:r>
            <a:rPr lang="ko-KR" altLang="en-US" sz="1100" b="1" i="0" u="none" strike="noStrike">
              <a:solidFill>
                <a:schemeClr val="tx2"/>
              </a:solidFill>
              <a:effectLst/>
              <a:latin typeface="+mn-ea"/>
              <a:ea typeface="+mn-ea"/>
              <a:cs typeface="+mn-cs"/>
            </a:rPr>
            <a:t>　</a:t>
          </a:r>
          <a:r>
            <a:rPr lang="en-US" altLang="ko-KR" sz="1100" b="1">
              <a:solidFill>
                <a:schemeClr val="tx2"/>
              </a:solidFill>
              <a:latin typeface="+mn-ea"/>
              <a:ea typeface="+mn-ea"/>
            </a:rPr>
            <a:t> </a:t>
          </a:r>
        </a:p>
        <a:p>
          <a:pPr algn="l"/>
          <a:r>
            <a:rPr lang="ko-KR" altLang="en-US" sz="1100" b="1" i="0" u="none" strike="noStrike">
              <a:solidFill>
                <a:schemeClr val="tx2"/>
              </a:solidFill>
              <a:effectLst/>
              <a:latin typeface="+mn-ea"/>
              <a:ea typeface="+mn-ea"/>
              <a:cs typeface="+mn-cs"/>
            </a:rPr>
            <a:t>    고객센터 </a:t>
          </a:r>
          <a:r>
            <a:rPr lang="en-US" altLang="ko-KR" sz="1100" b="1" i="0" u="none" strike="noStrike">
              <a:solidFill>
                <a:schemeClr val="tx2"/>
              </a:solidFill>
              <a:effectLst/>
              <a:latin typeface="+mn-ea"/>
              <a:ea typeface="+mn-ea"/>
              <a:cs typeface="+mn-cs"/>
            </a:rPr>
            <a:t>1566-0050</a:t>
          </a:r>
          <a:r>
            <a:rPr lang="ko-KR" altLang="en-US" sz="1100" b="1">
              <a:solidFill>
                <a:schemeClr val="tx2"/>
              </a:solidFill>
              <a:latin typeface="+mn-ea"/>
              <a:ea typeface="+mn-ea"/>
            </a:rPr>
            <a:t> </a:t>
          </a:r>
        </a:p>
      </xdr:txBody>
    </xdr:sp>
    <xdr:clientData/>
  </xdr:oneCellAnchor>
  <xdr:twoCellAnchor editAs="oneCell">
    <xdr:from>
      <xdr:col>27</xdr:col>
      <xdr:colOff>212912</xdr:colOff>
      <xdr:row>0</xdr:row>
      <xdr:rowOff>0</xdr:rowOff>
    </xdr:from>
    <xdr:to>
      <xdr:col>35</xdr:col>
      <xdr:colOff>193547</xdr:colOff>
      <xdr:row>4</xdr:row>
      <xdr:rowOff>179562</xdr:rowOff>
    </xdr:to>
    <xdr:pic>
      <xdr:nvPicPr>
        <xdr:cNvPr id="22" name="그림 21">
          <a:extLst>
            <a:ext uri="{FF2B5EF4-FFF2-40B4-BE49-F238E27FC236}">
              <a16:creationId xmlns:a16="http://schemas.microsoft.com/office/drawing/2014/main" id="{00000000-0008-0000-0E00-000016000000}"/>
            </a:ext>
          </a:extLst>
        </xdr:cNvPr>
        <xdr:cNvPicPr>
          <a:picLocks noChangeAspect="1"/>
        </xdr:cNvPicPr>
      </xdr:nvPicPr>
      <xdr:blipFill rotWithShape="1">
        <a:blip xmlns:r="http://schemas.openxmlformats.org/officeDocument/2006/relationships" r:embed="rId1" cstate="print">
          <a:extLst>
            <a:ext uri="{BEBA8EAE-BF5A-486C-A8C5-ECC9F3942E4B}">
              <a14:imgProps xmlns:a14="http://schemas.microsoft.com/office/drawing/2010/main">
                <a14:imgLayer r:embed="rId2">
                  <a14:imgEffect>
                    <a14:backgroundRemoval t="35044" b="99672" l="42399" r="99359"/>
                  </a14:imgEffect>
                </a14:imgLayer>
              </a14:imgProps>
            </a:ext>
            <a:ext uri="{28A0092B-C50C-407E-A947-70E740481C1C}">
              <a14:useLocalDpi xmlns:a14="http://schemas.microsoft.com/office/drawing/2010/main" val="0"/>
            </a:ext>
          </a:extLst>
        </a:blip>
        <a:srcRect l="42541" t="35028" r="173" b="883"/>
        <a:stretch/>
      </xdr:blipFill>
      <xdr:spPr>
        <a:xfrm>
          <a:off x="6039971" y="0"/>
          <a:ext cx="1773576" cy="1165680"/>
        </a:xfrm>
        <a:prstGeom prst="rect">
          <a:avLst/>
        </a:prstGeom>
      </xdr:spPr>
    </xdr:pic>
    <xdr:clientData/>
  </xdr:twoCellAnchor>
  <xdr:twoCellAnchor editAs="oneCell">
    <xdr:from>
      <xdr:col>0</xdr:col>
      <xdr:colOff>0</xdr:colOff>
      <xdr:row>0</xdr:row>
      <xdr:rowOff>0</xdr:rowOff>
    </xdr:from>
    <xdr:to>
      <xdr:col>11</xdr:col>
      <xdr:colOff>111136</xdr:colOff>
      <xdr:row>3</xdr:row>
      <xdr:rowOff>59612</xdr:rowOff>
    </xdr:to>
    <xdr:pic>
      <xdr:nvPicPr>
        <xdr:cNvPr id="16" name="그림 15">
          <a:extLst>
            <a:ext uri="{FF2B5EF4-FFF2-40B4-BE49-F238E27FC236}">
              <a16:creationId xmlns:a16="http://schemas.microsoft.com/office/drawing/2014/main" id="{00000000-0008-0000-0E00-000010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2352312" cy="7992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238125</xdr:colOff>
          <xdr:row>29</xdr:row>
          <xdr:rowOff>219075</xdr:rowOff>
        </xdr:from>
        <xdr:to>
          <xdr:col>16</xdr:col>
          <xdr:colOff>209550</xdr:colOff>
          <xdr:row>32</xdr:row>
          <xdr:rowOff>342900</xdr:rowOff>
        </xdr:to>
        <xdr:sp macro="" textlink="">
          <xdr:nvSpPr>
            <xdr:cNvPr id="71681" name="Button 1" hidden="1">
              <a:extLst>
                <a:ext uri="{63B3BB69-23CF-44E3-9099-C40C66FF867C}">
                  <a14:compatExt spid="_x0000_s71681"/>
                </a:ext>
                <a:ext uri="{FF2B5EF4-FFF2-40B4-BE49-F238E27FC236}">
                  <a16:creationId xmlns:a16="http://schemas.microsoft.com/office/drawing/2014/main" id="{00000000-0008-0000-1000-00000118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ko-KR" altLang="en-US" sz="1800" b="1" i="0" u="none" strike="noStrike" baseline="0">
                  <a:solidFill>
                    <a:srgbClr val="FF0000"/>
                  </a:solidFill>
                  <a:latin typeface="맑은 고딕"/>
                  <a:ea typeface="맑은 고딕"/>
                </a:rPr>
                <a:t>카버스 용품 확인하기</a:t>
              </a:r>
            </a:p>
          </xdr:txBody>
        </xdr:sp>
        <xdr:clientData fLocksWithSheet="0"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323849</xdr:colOff>
      <xdr:row>18</xdr:row>
      <xdr:rowOff>38100</xdr:rowOff>
    </xdr:from>
    <xdr:to>
      <xdr:col>4</xdr:col>
      <xdr:colOff>1666874</xdr:colOff>
      <xdr:row>22</xdr:row>
      <xdr:rowOff>142875</xdr:rowOff>
    </xdr:to>
    <xdr:pic>
      <xdr:nvPicPr>
        <xdr:cNvPr id="6" name="그림 5">
          <a:extLst>
            <a:ext uri="{FF2B5EF4-FFF2-40B4-BE49-F238E27FC236}">
              <a16:creationId xmlns:a16="http://schemas.microsoft.com/office/drawing/2014/main" id="{00000000-0008-0000-11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3849" y="25088850"/>
          <a:ext cx="5653088" cy="1819275"/>
        </a:xfrm>
        <a:prstGeom prst="rect">
          <a:avLst/>
        </a:prstGeom>
        <a:noFill/>
        <a:ln>
          <a:noFill/>
        </a:ln>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0</xdr:row>
          <xdr:rowOff>38100</xdr:rowOff>
        </xdr:from>
        <xdr:to>
          <xdr:col>6</xdr:col>
          <xdr:colOff>1028700</xdr:colOff>
          <xdr:row>2</xdr:row>
          <xdr:rowOff>28575</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1300-000001E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200" b="1" i="0" u="none" strike="noStrike" baseline="0">
                  <a:solidFill>
                    <a:srgbClr val="FF0000"/>
                  </a:solidFill>
                  <a:latin typeface="맑은 고딕"/>
                  <a:ea typeface="맑은 고딕"/>
                </a:rPr>
                <a:t>견적화면 돌아가기</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4</xdr:col>
      <xdr:colOff>200026</xdr:colOff>
      <xdr:row>0</xdr:row>
      <xdr:rowOff>0</xdr:rowOff>
    </xdr:from>
    <xdr:to>
      <xdr:col>4</xdr:col>
      <xdr:colOff>611708</xdr:colOff>
      <xdr:row>0</xdr:row>
      <xdr:rowOff>1</xdr:rowOff>
    </xdr:to>
    <xdr:pic>
      <xdr:nvPicPr>
        <xdr:cNvPr id="2" name="그림 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1"/>
        <a:stretch>
          <a:fillRect/>
        </a:stretch>
      </xdr:blipFill>
      <xdr:spPr>
        <a:xfrm>
          <a:off x="0" y="0"/>
          <a:ext cx="411682" cy="1"/>
        </a:xfrm>
        <a:prstGeom prst="rect">
          <a:avLst/>
        </a:prstGeom>
      </xdr:spPr>
    </xdr:pic>
    <xdr:clientData/>
  </xdr:twoCellAnchor>
  <xdr:oneCellAnchor>
    <xdr:from>
      <xdr:col>4</xdr:col>
      <xdr:colOff>200026</xdr:colOff>
      <xdr:row>0</xdr:row>
      <xdr:rowOff>0</xdr:rowOff>
    </xdr:from>
    <xdr:ext cx="411682" cy="1"/>
    <xdr:pic>
      <xdr:nvPicPr>
        <xdr:cNvPr id="3" name="그림 2">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a:stretch>
          <a:fillRect/>
        </a:stretch>
      </xdr:blipFill>
      <xdr:spPr>
        <a:xfrm>
          <a:off x="0" y="0"/>
          <a:ext cx="411682" cy="1"/>
        </a:xfrm>
        <a:prstGeom prst="rect">
          <a:avLst/>
        </a:prstGeom>
      </xdr:spPr>
    </xdr:pic>
    <xdr:clientData/>
  </xdr:oneCellAnchor>
  <xdr:oneCellAnchor>
    <xdr:from>
      <xdr:col>4</xdr:col>
      <xdr:colOff>200026</xdr:colOff>
      <xdr:row>0</xdr:row>
      <xdr:rowOff>0</xdr:rowOff>
    </xdr:from>
    <xdr:ext cx="411682" cy="1"/>
    <xdr:pic>
      <xdr:nvPicPr>
        <xdr:cNvPr id="4" name="그림 3">
          <a:extLst>
            <a:ext uri="{FF2B5EF4-FFF2-40B4-BE49-F238E27FC236}">
              <a16:creationId xmlns:a16="http://schemas.microsoft.com/office/drawing/2014/main" id="{00000000-0008-0000-1400-000004000000}"/>
            </a:ext>
          </a:extLst>
        </xdr:cNvPr>
        <xdr:cNvPicPr>
          <a:picLocks noChangeAspect="1"/>
        </xdr:cNvPicPr>
      </xdr:nvPicPr>
      <xdr:blipFill>
        <a:blip xmlns:r="http://schemas.openxmlformats.org/officeDocument/2006/relationships" r:embed="rId1"/>
        <a:stretch>
          <a:fillRect/>
        </a:stretch>
      </xdr:blipFill>
      <xdr:spPr>
        <a:xfrm>
          <a:off x="0" y="0"/>
          <a:ext cx="411682" cy="1"/>
        </a:xfrm>
        <a:prstGeom prst="rect">
          <a:avLst/>
        </a:prstGeom>
      </xdr:spPr>
    </xdr:pic>
    <xdr:clientData/>
  </xdr:oneCellAnchor>
  <xdr:oneCellAnchor>
    <xdr:from>
      <xdr:col>4</xdr:col>
      <xdr:colOff>200026</xdr:colOff>
      <xdr:row>0</xdr:row>
      <xdr:rowOff>0</xdr:rowOff>
    </xdr:from>
    <xdr:ext cx="411682" cy="1"/>
    <xdr:pic>
      <xdr:nvPicPr>
        <xdr:cNvPr id="5" name="그림 4">
          <a:extLst>
            <a:ext uri="{FF2B5EF4-FFF2-40B4-BE49-F238E27FC236}">
              <a16:creationId xmlns:a16="http://schemas.microsoft.com/office/drawing/2014/main" id="{00000000-0008-0000-1400-000005000000}"/>
            </a:ext>
          </a:extLst>
        </xdr:cNvPr>
        <xdr:cNvPicPr>
          <a:picLocks noChangeAspect="1"/>
        </xdr:cNvPicPr>
      </xdr:nvPicPr>
      <xdr:blipFill>
        <a:blip xmlns:r="http://schemas.openxmlformats.org/officeDocument/2006/relationships" r:embed="rId1"/>
        <a:stretch>
          <a:fillRect/>
        </a:stretch>
      </xdr:blipFill>
      <xdr:spPr>
        <a:xfrm>
          <a:off x="0" y="0"/>
          <a:ext cx="411682" cy="1"/>
        </a:xfrm>
        <a:prstGeom prst="rect">
          <a:avLst/>
        </a:prstGeom>
      </xdr:spPr>
    </xdr:pic>
    <xdr:clientData/>
  </xdr:oneCellAnchor>
</xdr:wsDr>
</file>

<file path=xl/drawings/drawing13.xml><?xml version="1.0" encoding="utf-8"?>
<xdr:wsDr xmlns:xdr="http://schemas.openxmlformats.org/drawingml/2006/spreadsheetDrawing" xmlns:a="http://schemas.openxmlformats.org/drawingml/2006/main">
  <xdr:twoCellAnchor editAs="oneCell">
    <xdr:from>
      <xdr:col>6</xdr:col>
      <xdr:colOff>200026</xdr:colOff>
      <xdr:row>0</xdr:row>
      <xdr:rowOff>0</xdr:rowOff>
    </xdr:from>
    <xdr:to>
      <xdr:col>6</xdr:col>
      <xdr:colOff>611708</xdr:colOff>
      <xdr:row>0</xdr:row>
      <xdr:rowOff>1</xdr:rowOff>
    </xdr:to>
    <xdr:pic>
      <xdr:nvPicPr>
        <xdr:cNvPr id="2" name="그림 1">
          <a:extLst>
            <a:ext uri="{FF2B5EF4-FFF2-40B4-BE49-F238E27FC236}">
              <a16:creationId xmlns:a16="http://schemas.microsoft.com/office/drawing/2014/main" id="{00000000-0008-0000-1500-000002000000}"/>
            </a:ext>
          </a:extLst>
        </xdr:cNvPr>
        <xdr:cNvPicPr>
          <a:picLocks noChangeAspect="1"/>
        </xdr:cNvPicPr>
      </xdr:nvPicPr>
      <xdr:blipFill>
        <a:blip xmlns:r="http://schemas.openxmlformats.org/officeDocument/2006/relationships" r:embed="rId1"/>
        <a:stretch>
          <a:fillRect/>
        </a:stretch>
      </xdr:blipFill>
      <xdr:spPr>
        <a:xfrm>
          <a:off x="6419851" y="0"/>
          <a:ext cx="411682" cy="1"/>
        </a:xfrm>
        <a:prstGeom prst="rect">
          <a:avLst/>
        </a:prstGeom>
      </xdr:spPr>
    </xdr:pic>
    <xdr:clientData/>
  </xdr:twoCellAnchor>
  <xdr:oneCellAnchor>
    <xdr:from>
      <xdr:col>6</xdr:col>
      <xdr:colOff>200026</xdr:colOff>
      <xdr:row>0</xdr:row>
      <xdr:rowOff>0</xdr:rowOff>
    </xdr:from>
    <xdr:ext cx="411682" cy="1"/>
    <xdr:pic>
      <xdr:nvPicPr>
        <xdr:cNvPr id="3" name="그림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6419851" y="0"/>
          <a:ext cx="411682" cy="1"/>
        </a:xfrm>
        <a:prstGeom prst="rect">
          <a:avLst/>
        </a:prstGeom>
      </xdr:spPr>
    </xdr:pic>
    <xdr:clientData/>
  </xdr:oneCellAnchor>
  <xdr:oneCellAnchor>
    <xdr:from>
      <xdr:col>6</xdr:col>
      <xdr:colOff>200026</xdr:colOff>
      <xdr:row>0</xdr:row>
      <xdr:rowOff>0</xdr:rowOff>
    </xdr:from>
    <xdr:ext cx="411682" cy="1"/>
    <xdr:pic>
      <xdr:nvPicPr>
        <xdr:cNvPr id="4" name="그림 3">
          <a:extLst>
            <a:ext uri="{FF2B5EF4-FFF2-40B4-BE49-F238E27FC236}">
              <a16:creationId xmlns:a16="http://schemas.microsoft.com/office/drawing/2014/main" id="{00000000-0008-0000-1500-000004000000}"/>
            </a:ext>
          </a:extLst>
        </xdr:cNvPr>
        <xdr:cNvPicPr>
          <a:picLocks noChangeAspect="1"/>
        </xdr:cNvPicPr>
      </xdr:nvPicPr>
      <xdr:blipFill>
        <a:blip xmlns:r="http://schemas.openxmlformats.org/officeDocument/2006/relationships" r:embed="rId1"/>
        <a:stretch>
          <a:fillRect/>
        </a:stretch>
      </xdr:blipFill>
      <xdr:spPr>
        <a:xfrm>
          <a:off x="6419851" y="0"/>
          <a:ext cx="411682" cy="1"/>
        </a:xfrm>
        <a:prstGeom prst="rect">
          <a:avLst/>
        </a:prstGeom>
      </xdr:spPr>
    </xdr:pic>
    <xdr:clientData/>
  </xdr:oneCellAnchor>
  <xdr:oneCellAnchor>
    <xdr:from>
      <xdr:col>6</xdr:col>
      <xdr:colOff>200026</xdr:colOff>
      <xdr:row>0</xdr:row>
      <xdr:rowOff>0</xdr:rowOff>
    </xdr:from>
    <xdr:ext cx="411682" cy="1"/>
    <xdr:pic>
      <xdr:nvPicPr>
        <xdr:cNvPr id="5" name="그림 4">
          <a:extLst>
            <a:ext uri="{FF2B5EF4-FFF2-40B4-BE49-F238E27FC236}">
              <a16:creationId xmlns:a16="http://schemas.microsoft.com/office/drawing/2014/main" id="{00000000-0008-0000-1500-000005000000}"/>
            </a:ext>
          </a:extLst>
        </xdr:cNvPr>
        <xdr:cNvPicPr>
          <a:picLocks noChangeAspect="1"/>
        </xdr:cNvPicPr>
      </xdr:nvPicPr>
      <xdr:blipFill>
        <a:blip xmlns:r="http://schemas.openxmlformats.org/officeDocument/2006/relationships" r:embed="rId1"/>
        <a:stretch>
          <a:fillRect/>
        </a:stretch>
      </xdr:blipFill>
      <xdr:spPr>
        <a:xfrm>
          <a:off x="6419851" y="0"/>
          <a:ext cx="411682" cy="1"/>
        </a:xfrm>
        <a:prstGeom prst="rect">
          <a:avLst/>
        </a:prstGeom>
      </xdr:spPr>
    </xdr:pic>
    <xdr:clientData/>
  </xdr:oneCellAnchor>
  <mc:AlternateContent xmlns:mc="http://schemas.openxmlformats.org/markup-compatibility/2006">
    <mc:Choice xmlns:a14="http://schemas.microsoft.com/office/drawing/2010/main" Requires="a14">
      <xdr:twoCellAnchor>
        <xdr:from>
          <xdr:col>4</xdr:col>
          <xdr:colOff>161925</xdr:colOff>
          <xdr:row>14</xdr:row>
          <xdr:rowOff>28575</xdr:rowOff>
        </xdr:from>
        <xdr:to>
          <xdr:col>6</xdr:col>
          <xdr:colOff>1238250</xdr:colOff>
          <xdr:row>19</xdr:row>
          <xdr:rowOff>76200</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1500-0000010C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ko-KR" altLang="en-US" sz="1800" b="1" i="0" u="none" strike="noStrike" baseline="0">
                  <a:solidFill>
                    <a:srgbClr val="FF0000"/>
                  </a:solidFill>
                  <a:latin typeface="맑은 고딕"/>
                  <a:ea typeface="맑은 고딕"/>
                </a:rPr>
                <a:t>카버스 실행요청서 </a:t>
              </a:r>
            </a:p>
            <a:p>
              <a:pPr algn="ctr" rtl="0">
                <a:defRPr sz="1000"/>
              </a:pPr>
              <a:r>
                <a:rPr lang="ko-KR" altLang="en-US" sz="1800" b="1" i="0" u="none" strike="noStrike" baseline="0">
                  <a:solidFill>
                    <a:srgbClr val="FF0000"/>
                  </a:solidFill>
                  <a:latin typeface="맑은 고딕"/>
                  <a:ea typeface="맑은 고딕"/>
                </a:rPr>
                <a:t>돌아가기</a:t>
              </a:r>
            </a:p>
          </xdr:txBody>
        </xdr:sp>
        <xdr:clientData fLocksWithSheet="0"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ocuONE\Users\16135\Desktop\&#47116;&#53552;&#52852;\&#49892;&#54665;&#50836;&#52397;&#49436;\&#47116;&#53552;&#52852;\&#44204;&#51201;&#49884;&#53944;\&#44204;&#51201;&#49884;&#53944;(2018.04)\JB.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92.168.82.202\&#50724;&#53664;&#44552;&#50997;&#54016;\Users\Hyosung\Desktop\&#44608;&#50689;&#53468;&#50629;&#47924;\&#47116;&#53552;&#52852;_&#44204;&#51201;&#49884;&#53944;\&#53440;&#49324;_&#44204;&#51201;&#49884;&#53944;\KB&#52880;&#54588;&#53448;_1&#50900;_&#47116;&#53552;&#52852;_&#44204;&#51201;&#49884;&#53944;.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DocuONE\&#44060;&#51064;&#54632;\&#48148;&#53461;&#54868;&#47732;\2022&#45380;&#44204;&#51201;&#49884;&#53944;\2203&#53440;&#49324;\(&#50864;&#47532;&#52852;&#46300;)&#44397;&#49328;&#47532;&#49828;&#44204;&#51201;_&#51649;&#47588;&#44033;_0223(&#51060;&#50857;&#51088;_&#52712;&#46301;&#49464;).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DocuONE\&#44277;&#50976;&#54632;\&#50724;&#53664;&#47116;&#53448;&#49324;&#50629;&#48512;\&#47116;&#53552;&#52852;%20&#44204;&#51201;&#49328;&#52636;\2021.09\DGB&#52880;&#54588;&#53448;_&#47116;&#53552;&#52852;%20&#44204;&#51201;&#49884;&#53944;(VER%202021.09.01_&#48376;&#49324;&#50857;)_%20&#44608;&#44288;&#49885;(&#50668;&#51452;&#52980;&#54504;&#53552;),%20G80%202.5T%20AWD_2021.09.30.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DocuONE\&#44060;&#51064;&#54632;\&#48148;&#53461;&#54868;&#47732;\2021&#45380;&#44204;&#51201;&#49884;&#53944;\8&#50900;&#44204;&#51201;\&#47116;&#53944;\DGB&#52880;&#54588;&#53448;_&#47116;&#53552;&#52852;%20&#44204;&#51201;&#49884;&#53944;(VER%202021.07.23_&#48376;&#49324;&#50857;)_%20&#47784;&#45912;&#54532;&#47196;&#47784;&#49496;&#52264;&#47049;&#51221;&#49688;&#51648;&#45824;&#47532;&#44204;&#51201;,%20_2021.08.06.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DocuONE\&#44060;&#51064;&#54632;\&#48148;&#53461;&#54868;&#47732;\2021&#45380;&#44204;&#51201;&#49884;&#53944;\8&#50900;&#44204;&#51201;\&#47116;&#53944;\DGB&#52880;&#54588;&#53448;_&#47116;&#53552;&#52852;%20&#44204;&#51201;&#49884;&#53944;(VER%202021.07.23_&#48376;&#49324;&#50857;)_%20,%20_2021.08.0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4월 조건 안내"/>
      <sheetName val="국산"/>
      <sheetName val="기준표"/>
      <sheetName val="수입 (인수형)"/>
      <sheetName val="(국)"/>
      <sheetName val="수입(2)"/>
      <sheetName val="수입"/>
      <sheetName val="(수)"/>
      <sheetName val="국산차특판발주서"/>
      <sheetName val="차량용품가격표"/>
      <sheetName val="정비상품안내서"/>
      <sheetName val="재고차량확인서"/>
      <sheetName val="방문조사서"/>
      <sheetName val="임직원보험가입신청서"/>
      <sheetName val="국산차물품"/>
      <sheetName val="수입차물품"/>
      <sheetName val="정비기준"/>
      <sheetName val="잔가율"/>
      <sheetName val="T5국산"/>
      <sheetName val="T5수입"/>
      <sheetName val="외주탁송 1차 단가"/>
      <sheetName val="T5수입(인수형)"/>
      <sheetName val="2차 탁송 기준"/>
      <sheetName val="입고정비 소모품 교환주기"/>
      <sheetName val="T7"/>
      <sheetName val="T9"/>
      <sheetName val="T10"/>
      <sheetName val="T11"/>
      <sheetName val="국산 비교"/>
      <sheetName val="수입 비교"/>
      <sheetName val="Sheet1"/>
      <sheetName val="INS"/>
      <sheetName val="INS(2)"/>
      <sheetName val="견적 변동 요약"/>
      <sheetName val="검사비"/>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row r="3">
          <cell r="C3" t="str">
            <v>엑센트 1.4 VVT</v>
          </cell>
        </row>
        <row r="4">
          <cell r="C4" t="str">
            <v>엑센트 1.6 VGT</v>
          </cell>
        </row>
        <row r="5">
          <cell r="C5" t="str">
            <v>엑센트 Wit 5Door 1.4 VVT</v>
          </cell>
        </row>
        <row r="6">
          <cell r="C6" t="str">
            <v>엑센트 Wit 5Door 1.6 VGT</v>
          </cell>
        </row>
        <row r="7">
          <cell r="C7" t="str">
            <v>아반떼 AD 1.6 GDi</v>
          </cell>
        </row>
        <row r="8">
          <cell r="C8" t="str">
            <v>아반떼 AD 1.6 e-VGT</v>
          </cell>
        </row>
        <row r="9">
          <cell r="C9" t="str">
            <v>아반떼 AD 1.6 렌터카 LPI</v>
          </cell>
        </row>
        <row r="10">
          <cell r="C10" t="str">
            <v>아반떼 AD 1.6 T-GDI</v>
          </cell>
        </row>
        <row r="11">
          <cell r="C11" t="str">
            <v>벨로스터 1.4 Turbo</v>
          </cell>
        </row>
        <row r="12">
          <cell r="C12" t="str">
            <v>벨로스터 1.6 Turbo</v>
          </cell>
        </row>
        <row r="13">
          <cell r="C13" t="str">
            <v>아이오닉 하이브리드</v>
          </cell>
        </row>
        <row r="14">
          <cell r="C14" t="str">
            <v>i30 1.4 Turbo</v>
          </cell>
        </row>
        <row r="15">
          <cell r="C15" t="str">
            <v>i30 1.6 Turbo</v>
          </cell>
        </row>
        <row r="16">
          <cell r="C16" t="str">
            <v>i30 1.6 디젤</v>
          </cell>
        </row>
        <row r="17">
          <cell r="C17" t="str">
            <v>i40 1.7 VGT 디젤</v>
          </cell>
        </row>
        <row r="18">
          <cell r="C18" t="str">
            <v xml:space="preserve">i40 2.0 GDi </v>
          </cell>
        </row>
        <row r="19">
          <cell r="C19" t="str">
            <v xml:space="preserve">i40 SALOON 2.0 GDi </v>
          </cell>
        </row>
        <row r="20">
          <cell r="C20" t="str">
            <v>LF쏘나타 뉴라이즈 2.0</v>
          </cell>
        </row>
        <row r="21">
          <cell r="C21" t="str">
            <v>LF쏘나타 뉴라이즈 1.6 Turbo</v>
          </cell>
        </row>
        <row r="22">
          <cell r="C22" t="str">
            <v>LF쏘나타 뉴라이즈 2.0 Turbo</v>
          </cell>
        </row>
        <row r="23">
          <cell r="C23" t="str">
            <v>LF쏘나타 뉴라이즈 1.7</v>
          </cell>
        </row>
        <row r="24">
          <cell r="C24" t="str">
            <v>LF쏘나타 뉴라이즈 2.0 LPG</v>
          </cell>
        </row>
        <row r="25">
          <cell r="C25" t="str">
            <v>LF쏘나타 뉴라이즈 하이브리드</v>
          </cell>
        </row>
        <row r="26">
          <cell r="C26" t="str">
            <v>그랜저 IG 220</v>
          </cell>
        </row>
        <row r="27">
          <cell r="C27" t="str">
            <v>그랜저 IG 240</v>
          </cell>
        </row>
        <row r="28">
          <cell r="C28" t="str">
            <v>그랜저 IG 300</v>
          </cell>
        </row>
        <row r="29">
          <cell r="C29" t="str">
            <v>그랜저 IG 330</v>
          </cell>
        </row>
        <row r="30">
          <cell r="C30" t="str">
            <v>그랜저 IG 300 LPG 렌터카</v>
          </cell>
        </row>
        <row r="31">
          <cell r="C31" t="str">
            <v>그랜저 IG 240[렌터카 전용]</v>
          </cell>
        </row>
        <row r="32">
          <cell r="C32" t="str">
            <v>그랜저 IG 300[렌터카 전용]</v>
          </cell>
        </row>
        <row r="33">
          <cell r="C33" t="str">
            <v>그랜저 IG 하이브리드</v>
          </cell>
        </row>
        <row r="34">
          <cell r="C34" t="str">
            <v>제네시스 G70 2.0T</v>
          </cell>
        </row>
        <row r="35">
          <cell r="C35" t="str">
            <v>제네시스 G70 2.2D</v>
          </cell>
        </row>
        <row r="36">
          <cell r="C36" t="str">
            <v>제네시스 G70 3.3T 스포츠</v>
          </cell>
        </row>
        <row r="37">
          <cell r="C37" t="str">
            <v>제네시스 G80 2.2D</v>
          </cell>
        </row>
        <row r="38">
          <cell r="C38" t="str">
            <v>제네시스 G80 3.3</v>
          </cell>
        </row>
        <row r="39">
          <cell r="C39" t="str">
            <v>제네시스 G80 3.8</v>
          </cell>
        </row>
        <row r="40">
          <cell r="C40" t="str">
            <v>제네시스 G80 3.8 Finest</v>
          </cell>
        </row>
        <row r="41">
          <cell r="C41" t="str">
            <v>제네시스 G80 스포츠 3.3 T-GDI</v>
          </cell>
        </row>
        <row r="42">
          <cell r="C42" t="str">
            <v>아슬란 G300</v>
          </cell>
        </row>
        <row r="43">
          <cell r="C43" t="str">
            <v>아슬란 G330</v>
          </cell>
        </row>
        <row r="44">
          <cell r="C44" t="str">
            <v>제네시스 EQ900 3.8</v>
          </cell>
        </row>
        <row r="45">
          <cell r="C45" t="str">
            <v>제네시스 EQ900 3.3T</v>
          </cell>
        </row>
        <row r="46">
          <cell r="C46" t="str">
            <v>제네시스 EQ900 5.0</v>
          </cell>
        </row>
        <row r="47">
          <cell r="C47" t="str">
            <v>KONA 1.6T 휘발유</v>
          </cell>
        </row>
        <row r="48">
          <cell r="C48" t="str">
            <v>KONA 1.6 디젤</v>
          </cell>
        </row>
        <row r="49">
          <cell r="C49" t="str">
            <v>투싼 2.0 2WD</v>
          </cell>
        </row>
        <row r="50">
          <cell r="C50" t="str">
            <v>투싼 2.0 4WD</v>
          </cell>
        </row>
        <row r="51">
          <cell r="C51" t="str">
            <v>투싼 1.7 2WD</v>
          </cell>
        </row>
        <row r="52">
          <cell r="C52" t="str">
            <v>투싼 1.6T 휘발유</v>
          </cell>
        </row>
        <row r="53">
          <cell r="C53" t="str">
            <v>싼타페TM 2.0 2WD 5인승</v>
          </cell>
        </row>
        <row r="54">
          <cell r="C54" t="str">
            <v>싼타페TM 2.0 4WD 5인승</v>
          </cell>
        </row>
        <row r="55">
          <cell r="C55" t="str">
            <v>싼타페TM 2.2 2WD 5인승</v>
          </cell>
        </row>
        <row r="56">
          <cell r="C56" t="str">
            <v>싼타페TM 2.2 4WD 5인승</v>
          </cell>
        </row>
        <row r="57">
          <cell r="C57" t="str">
            <v>싼타페TM 2.0 2WD 7인승</v>
          </cell>
        </row>
        <row r="58">
          <cell r="C58" t="str">
            <v>싼타페TM 2.0 4WD 7인승</v>
          </cell>
        </row>
        <row r="59">
          <cell r="C59" t="str">
            <v>싼타페TM 2.2 2WD 7인승</v>
          </cell>
        </row>
        <row r="60">
          <cell r="C60" t="str">
            <v>싼타페TM 2.2 4WD 7인승</v>
          </cell>
        </row>
        <row r="61">
          <cell r="C61" t="str">
            <v>싼타페TM 2.0T 휘발유 2WD 5인승</v>
          </cell>
        </row>
        <row r="62">
          <cell r="C62" t="str">
            <v>싼타페TM 2.0T 휘발유 4WD 5인승</v>
          </cell>
        </row>
        <row r="63">
          <cell r="C63" t="str">
            <v>싼타페TM 2.0T 휘발유 2WD 7인승</v>
          </cell>
        </row>
        <row r="64">
          <cell r="C64" t="str">
            <v>싼타페TM 2.0T 휘발유 4WD 7인승</v>
          </cell>
        </row>
        <row r="65">
          <cell r="C65" t="str">
            <v>[구형]싼타페DM 2.0 2WD 5인승</v>
          </cell>
        </row>
        <row r="66">
          <cell r="C66" t="str">
            <v>[구형]싼타페DM 2.0 4WD 5인승</v>
          </cell>
        </row>
        <row r="67">
          <cell r="C67" t="str">
            <v>[구형]싼타페DM 2.2 2WD 5인승</v>
          </cell>
        </row>
        <row r="68">
          <cell r="C68" t="str">
            <v>[구형]싼타페DM 2.2 4WD 5인승</v>
          </cell>
        </row>
        <row r="69">
          <cell r="C69" t="str">
            <v>[구형]싼타페DM 2.0 2WD 7인승</v>
          </cell>
        </row>
        <row r="70">
          <cell r="C70" t="str">
            <v>[구형]싼타페DM 2.0 4WD 7인승</v>
          </cell>
        </row>
        <row r="71">
          <cell r="C71" t="str">
            <v>[구형]싼타페DM 2.2 2WD 7인승</v>
          </cell>
        </row>
        <row r="72">
          <cell r="C72" t="str">
            <v>[구형]싼타페DM 2.2 4WD 7인승</v>
          </cell>
        </row>
        <row r="73">
          <cell r="C73" t="str">
            <v>[구형]싼타페DM 2.0T 휘발유 2WD 5인승</v>
          </cell>
        </row>
        <row r="74">
          <cell r="C74" t="str">
            <v>[구형]싼타페DM 2.0T 휘발유 4WD 5인승</v>
          </cell>
        </row>
        <row r="75">
          <cell r="C75" t="str">
            <v>[구형]싼타페DM 2.0T 휘발유 2WD 7인승</v>
          </cell>
        </row>
        <row r="76">
          <cell r="C76" t="str">
            <v>[구형]싼타페DM 2.0T 휘발유 4WD 7인승</v>
          </cell>
        </row>
        <row r="77">
          <cell r="C77" t="str">
            <v>맥스크루즈 2.2 6인승 디젤</v>
          </cell>
        </row>
        <row r="78">
          <cell r="C78" t="str">
            <v>맥스크루즈 2.2 7인승 디젤</v>
          </cell>
        </row>
        <row r="79">
          <cell r="C79" t="str">
            <v>맥스크루즈 3.3 6인승 휘발유</v>
          </cell>
        </row>
        <row r="80">
          <cell r="C80" t="str">
            <v>맥스크루즈 3.3 7인승 휘발유</v>
          </cell>
        </row>
        <row r="81">
          <cell r="C81" t="str">
            <v>더뉴 그랜드 스타렉스 2.5 Urban 9인승</v>
          </cell>
        </row>
        <row r="82">
          <cell r="C82" t="str">
            <v>더뉴 그랜드 스타렉스 2.5 웨건 11/12인승</v>
          </cell>
        </row>
        <row r="83">
          <cell r="C83" t="str">
            <v>스타렉스 2.5 웨건 12인승</v>
          </cell>
        </row>
        <row r="84">
          <cell r="C84" t="str">
            <v>스타렉스 2.5 웨건 11인승</v>
          </cell>
        </row>
        <row r="85">
          <cell r="C85" t="str">
            <v>스타렉스 2.4 웨건 12인승 LPi</v>
          </cell>
        </row>
        <row r="86">
          <cell r="C86" t="str">
            <v>스타렉스 리무진 11인승 VIP Package</v>
          </cell>
        </row>
        <row r="89">
          <cell r="C89" t="str">
            <v>올뉴 모닝 1.0</v>
          </cell>
        </row>
        <row r="90">
          <cell r="C90" t="str">
            <v>올뉴 모닝 1.0 T-GDI(터보)</v>
          </cell>
        </row>
        <row r="91">
          <cell r="C91" t="str">
            <v>올뉴 모닝 1.0 Lpi</v>
          </cell>
        </row>
        <row r="92">
          <cell r="C92" t="str">
            <v>올뉴 모닝 1.0 VAN</v>
          </cell>
        </row>
        <row r="93">
          <cell r="C93" t="str">
            <v xml:space="preserve">레이 1.0 </v>
          </cell>
        </row>
        <row r="94">
          <cell r="C94" t="str">
            <v>레이 1.0 Turbo TCI</v>
          </cell>
        </row>
        <row r="95">
          <cell r="C95" t="str">
            <v>레이 1.0 LPi</v>
          </cell>
        </row>
        <row r="96">
          <cell r="C96" t="str">
            <v>레이 1.0 바이퓨얼</v>
          </cell>
        </row>
        <row r="97">
          <cell r="C97" t="str">
            <v>레이 1.0 VAN</v>
          </cell>
        </row>
        <row r="98">
          <cell r="C98" t="str">
            <v>프라이드 1.4 4도어</v>
          </cell>
        </row>
        <row r="99">
          <cell r="C99" t="str">
            <v>프라이드 1.6 4도어</v>
          </cell>
        </row>
        <row r="100">
          <cell r="C100" t="str">
            <v>프라이드 1.4 5도어</v>
          </cell>
        </row>
        <row r="101">
          <cell r="C101" t="str">
            <v>프라이드 1.6 5도어</v>
          </cell>
        </row>
        <row r="102">
          <cell r="C102" t="str">
            <v>올뉴 K3 1.6 휘발유</v>
          </cell>
        </row>
        <row r="103">
          <cell r="C103" t="str">
            <v>[구형/재고] K3 1.6 휘발유</v>
          </cell>
        </row>
        <row r="104">
          <cell r="C104" t="str">
            <v>[구형/재고] K3 1.6 디젤</v>
          </cell>
        </row>
        <row r="105">
          <cell r="C105" t="str">
            <v>더 뉴 K5 2.0 휘발유</v>
          </cell>
        </row>
        <row r="106">
          <cell r="C106" t="str">
            <v xml:space="preserve">더 뉴 K5 1.6 T-GDI 터보 </v>
          </cell>
        </row>
        <row r="107">
          <cell r="C107" t="str">
            <v>더 뉴 K5 1.7 디젤</v>
          </cell>
        </row>
        <row r="108">
          <cell r="C108" t="str">
            <v>더 뉴 K5 2.0 렌터카 LPI</v>
          </cell>
        </row>
        <row r="109">
          <cell r="C109" t="str">
            <v>[구형] K5 2.0 휘발유</v>
          </cell>
        </row>
        <row r="110">
          <cell r="C110" t="str">
            <v>[구형] K5 1.6 T-GDI 터보</v>
          </cell>
        </row>
        <row r="111">
          <cell r="C111" t="str">
            <v>[구형] K5 2.0 T-GDI 터보</v>
          </cell>
        </row>
        <row r="112">
          <cell r="C112" t="str">
            <v>[구형] K5 1.7 디젤</v>
          </cell>
        </row>
        <row r="113">
          <cell r="C113" t="str">
            <v>[구형] K5 2.0 렌터카 LPI</v>
          </cell>
        </row>
        <row r="114">
          <cell r="C114" t="str">
            <v>K5 하이브리드</v>
          </cell>
        </row>
        <row r="115">
          <cell r="C115" t="str">
            <v>뉴 K7 2.2 VGT</v>
          </cell>
        </row>
        <row r="116">
          <cell r="C116" t="str">
            <v>뉴 K7 2.4 GDI</v>
          </cell>
        </row>
        <row r="117">
          <cell r="C117" t="str">
            <v>뉴 K7 3.0 GDI</v>
          </cell>
        </row>
        <row r="118">
          <cell r="C118" t="str">
            <v>뉴 K7 3.3 GDI</v>
          </cell>
        </row>
        <row r="119">
          <cell r="C119" t="str">
            <v>뉴 K7 3.0 렌터카 LPI</v>
          </cell>
        </row>
        <row r="120">
          <cell r="C120" t="str">
            <v>뉴 K7 하이브리드</v>
          </cell>
        </row>
        <row r="121">
          <cell r="C121" t="str">
            <v>스팅어 2.0 터보</v>
          </cell>
        </row>
        <row r="122">
          <cell r="C122" t="str">
            <v>스팅어 3.3 터보</v>
          </cell>
        </row>
        <row r="123">
          <cell r="C123" t="str">
            <v xml:space="preserve">스팅어 2.2 디젤 </v>
          </cell>
        </row>
        <row r="124">
          <cell r="C124" t="str">
            <v>The K9 3.3 T-GDI</v>
          </cell>
        </row>
        <row r="125">
          <cell r="C125" t="str">
            <v>The K9 3.8 GDI</v>
          </cell>
        </row>
        <row r="126">
          <cell r="C126" t="str">
            <v>The K9 5.0 GDI</v>
          </cell>
        </row>
        <row r="127">
          <cell r="C127" t="str">
            <v>[구형] K9 3.3T GDI</v>
          </cell>
        </row>
        <row r="128">
          <cell r="C128" t="str">
            <v>[구형] K9 3.8 GDI</v>
          </cell>
        </row>
        <row r="129">
          <cell r="C129" t="str">
            <v>[구형] K9 5.0 GDI</v>
          </cell>
        </row>
        <row r="130">
          <cell r="C130" t="str">
            <v>스토닉 1.4 휘발유</v>
          </cell>
        </row>
        <row r="131">
          <cell r="C131" t="str">
            <v>스토닉 1.6 디젤</v>
          </cell>
        </row>
        <row r="132">
          <cell r="C132" t="str">
            <v>카렌스 1.7 디젤 5인승</v>
          </cell>
        </row>
        <row r="133">
          <cell r="C133" t="str">
            <v>카렌스 1.7 디젤 7인승</v>
          </cell>
        </row>
        <row r="134">
          <cell r="C134" t="str">
            <v>카렌스 2.0 LPI 7인승</v>
          </cell>
        </row>
        <row r="135">
          <cell r="C135" t="str">
            <v>카렌스 2.0 렌터카 LPI</v>
          </cell>
        </row>
        <row r="136">
          <cell r="C136" t="str">
            <v>니로 1.6</v>
          </cell>
        </row>
        <row r="137">
          <cell r="C137" t="str">
            <v>스포티지 2.0 2WD</v>
          </cell>
        </row>
        <row r="138">
          <cell r="C138" t="str">
            <v>스포티지 2.0 4WD</v>
          </cell>
        </row>
        <row r="139">
          <cell r="C139" t="str">
            <v>스포티지 1.7 2WD</v>
          </cell>
        </row>
        <row r="140">
          <cell r="C140" t="str">
            <v>스포티지 2.0 가솔린 2WD</v>
          </cell>
        </row>
        <row r="141">
          <cell r="C141" t="str">
            <v>쏘렌토 2.0 2WD 5인승</v>
          </cell>
        </row>
        <row r="142">
          <cell r="C142" t="str">
            <v>쏘렌토 2.0 4WD 5인승</v>
          </cell>
        </row>
        <row r="143">
          <cell r="C143" t="str">
            <v>쏘렌토 2.2 2WD 5인승</v>
          </cell>
        </row>
        <row r="144">
          <cell r="C144" t="str">
            <v>쏘렌토 2.2 4WD 5인승</v>
          </cell>
        </row>
        <row r="145">
          <cell r="C145" t="str">
            <v>쏘렌토 2.0 2WD 7인승</v>
          </cell>
        </row>
        <row r="146">
          <cell r="C146" t="str">
            <v>쏘렌토 2.0 4WD 7인승</v>
          </cell>
        </row>
        <row r="147">
          <cell r="C147" t="str">
            <v>쏘렌토 2.2 2WD 7인승</v>
          </cell>
        </row>
        <row r="148">
          <cell r="C148" t="str">
            <v>쏘렌토 2.2 4WD 7인승</v>
          </cell>
        </row>
        <row r="149">
          <cell r="C149" t="str">
            <v>쏘렌토 2.0T 휘발유 2WD 5인승</v>
          </cell>
        </row>
        <row r="150">
          <cell r="C150" t="str">
            <v>쏘렌토 2.0T 휘발유 4WD 5인승</v>
          </cell>
        </row>
        <row r="151">
          <cell r="C151" t="str">
            <v>쏘렌토 2.0T 휘발유 2WD 7인승</v>
          </cell>
        </row>
        <row r="152">
          <cell r="C152" t="str">
            <v>쏘렌토 2.0T 휘발유 4WD 7인승</v>
          </cell>
        </row>
        <row r="153">
          <cell r="C153" t="str">
            <v>쏘울 1.6 GDI 휘발유</v>
          </cell>
        </row>
        <row r="154">
          <cell r="C154" t="str">
            <v>쏘울 1.6 디젤</v>
          </cell>
        </row>
        <row r="155">
          <cell r="C155" t="str">
            <v>모하비 3.0 2WD 5인승</v>
          </cell>
        </row>
        <row r="156">
          <cell r="C156" t="str">
            <v>모하비 3.0 4WD 5인승</v>
          </cell>
        </row>
        <row r="157">
          <cell r="C157" t="str">
            <v>모하비 3.0 2WD 7인승</v>
          </cell>
        </row>
        <row r="158">
          <cell r="C158" t="str">
            <v>모하비 3.0 4WD 7인승</v>
          </cell>
        </row>
        <row r="159">
          <cell r="C159" t="str">
            <v xml:space="preserve">더 뉴 카니발 2.2 9인승 </v>
          </cell>
        </row>
        <row r="160">
          <cell r="C160" t="str">
            <v xml:space="preserve">더 뉴 카니발 3.3 9인승 휘발유 </v>
          </cell>
        </row>
        <row r="161">
          <cell r="C161" t="str">
            <v>더 뉴 카니발 2.2 7인승 리무진 디젤</v>
          </cell>
        </row>
        <row r="162">
          <cell r="C162" t="str">
            <v>더 뉴 카니발 3.3 7인승 리무진 휘발유</v>
          </cell>
        </row>
        <row r="163">
          <cell r="C163" t="str">
            <v xml:space="preserve">더 뉴 카니발 2.2 11인승 </v>
          </cell>
        </row>
        <row r="164">
          <cell r="C164" t="str">
            <v xml:space="preserve">[재고] 카니발 2.2 9인승 </v>
          </cell>
        </row>
        <row r="165">
          <cell r="C165" t="str">
            <v xml:space="preserve">[재고] 카니발 2.2 11인승 </v>
          </cell>
        </row>
        <row r="166">
          <cell r="C166" t="str">
            <v>[재고] 카니발 2.2 7인승 리무진 디젤</v>
          </cell>
        </row>
        <row r="167">
          <cell r="C167" t="str">
            <v>[재고] 카니발 3.3 7인승 리무진 휘발유</v>
          </cell>
        </row>
        <row r="168">
          <cell r="C168" t="str">
            <v>[재고] 카니발 3.3 7인승 휘발유</v>
          </cell>
        </row>
        <row r="169">
          <cell r="C169" t="str">
            <v xml:space="preserve">[재고] 카니발 3.3 9인승 휘발유 </v>
          </cell>
        </row>
        <row r="170">
          <cell r="C170" t="str">
            <v>카니발 3.3 7인승 하이리무진 휘발유</v>
          </cell>
        </row>
        <row r="171">
          <cell r="C171" t="str">
            <v>카니발 2.2 7인승 하이리무진 디젤</v>
          </cell>
        </row>
        <row r="172">
          <cell r="C172" t="str">
            <v>카니발 3.3 9인승 휘발유 하이리무진</v>
          </cell>
        </row>
        <row r="173">
          <cell r="C173" t="str">
            <v>카니발 2.2 9인승 하이리무진</v>
          </cell>
        </row>
        <row r="174">
          <cell r="C174" t="str">
            <v>카니발 2.2 11인승 하이리무진</v>
          </cell>
        </row>
        <row r="175">
          <cell r="C175" t="str">
            <v>카니발 2.2 7인승 아웃도어</v>
          </cell>
        </row>
        <row r="176">
          <cell r="C176" t="str">
            <v>카니발 2.2 9인승 아웃도어</v>
          </cell>
        </row>
        <row r="177">
          <cell r="C177" t="str">
            <v>카니발 2.2 11인승 아웃도어</v>
          </cell>
        </row>
        <row r="180">
          <cell r="C180" t="str">
            <v>SM3 1.6 휘발유_18my</v>
          </cell>
        </row>
        <row r="181">
          <cell r="C181" t="str">
            <v>SM3 1.5 디젤 _18my</v>
          </cell>
        </row>
        <row r="182">
          <cell r="C182" t="str">
            <v>SM5 2.0 Classic 휘발유</v>
          </cell>
        </row>
        <row r="183">
          <cell r="C183" t="str">
            <v>SM6 2.0 GDe 휘발유</v>
          </cell>
        </row>
        <row r="184">
          <cell r="C184" t="str">
            <v>SM6 1.6 TCe 휘발유</v>
          </cell>
        </row>
        <row r="185">
          <cell r="C185" t="str">
            <v>SM6 1.5 dCi 디젤</v>
          </cell>
        </row>
        <row r="186">
          <cell r="C186" t="str">
            <v>SM6 2.0 장애인용 LPe</v>
          </cell>
        </row>
        <row r="187">
          <cell r="C187" t="str">
            <v>SM6 2.0 렌터카 LPe</v>
          </cell>
        </row>
        <row r="188">
          <cell r="C188" t="str">
            <v>SM7 VQ35</v>
          </cell>
        </row>
        <row r="189">
          <cell r="C189" t="str">
            <v>SM7 VQ25</v>
          </cell>
        </row>
        <row r="190">
          <cell r="C190" t="str">
            <v>SM7 2.0 장애인용 LPe</v>
          </cell>
        </row>
        <row r="191">
          <cell r="C191" t="str">
            <v>SM7 2.0 렌터카 LPe</v>
          </cell>
        </row>
        <row r="192">
          <cell r="C192" t="str">
            <v>QM3 1.5 dCi</v>
          </cell>
        </row>
        <row r="193">
          <cell r="C193" t="str">
            <v>QM6 2.0 dCi 2WD</v>
          </cell>
        </row>
        <row r="194">
          <cell r="C194" t="str">
            <v>QM6 2.0 dCi 4WD</v>
          </cell>
        </row>
        <row r="195">
          <cell r="C195" t="str">
            <v>QM6 2.0 GDe 2WD</v>
          </cell>
        </row>
        <row r="198">
          <cell r="C198" t="str">
            <v>티볼리 아머 1.6 디젤</v>
          </cell>
        </row>
        <row r="199">
          <cell r="C199" t="str">
            <v>티볼리 아머 1.6 휘발유</v>
          </cell>
        </row>
        <row r="200">
          <cell r="C200" t="str">
            <v>티볼리 에어 1.6 디젤</v>
          </cell>
        </row>
        <row r="201">
          <cell r="C201" t="str">
            <v>티볼리 에어 1.6 휘발유</v>
          </cell>
        </row>
        <row r="202">
          <cell r="C202" t="str">
            <v>렉스턴 G4 2.2 2WD</v>
          </cell>
        </row>
        <row r="203">
          <cell r="C203" t="str">
            <v>렉스턴 G4 2.2 2WD 7인승</v>
          </cell>
        </row>
        <row r="204">
          <cell r="C204" t="str">
            <v>렉스턴 G4 2.2 4WD</v>
          </cell>
        </row>
        <row r="205">
          <cell r="C205" t="str">
            <v>렉스턴 G4 2.2 4WD_7인승</v>
          </cell>
        </row>
        <row r="206">
          <cell r="C206" t="str">
            <v>뉴스타일 코란도C 2.2 2WD</v>
          </cell>
        </row>
        <row r="207">
          <cell r="C207" t="str">
            <v>뉴스타일 코란도C 2.2 4WD</v>
          </cell>
        </row>
        <row r="208">
          <cell r="C208" t="str">
            <v>코란도 투리스모 9인승</v>
          </cell>
        </row>
        <row r="209">
          <cell r="C209" t="str">
            <v>코란도 투리스모 9인승_아웃도어에디션</v>
          </cell>
        </row>
        <row r="210">
          <cell r="C210" t="str">
            <v>코란도 투리스모 11인승</v>
          </cell>
        </row>
        <row r="211">
          <cell r="C211" t="str">
            <v>코란도 투리스모 Chateau High-Roof 9인승</v>
          </cell>
        </row>
        <row r="212">
          <cell r="C212" t="str">
            <v>코란도 투리스모 Chateau High-Roof 11인승</v>
          </cell>
        </row>
        <row r="213">
          <cell r="C213" t="str">
            <v>코란도 투리스모 Chateau High-Limousine 9인승</v>
          </cell>
        </row>
        <row r="216">
          <cell r="C216" t="str">
            <v>더 넥스트 스파크 1.0</v>
          </cell>
        </row>
        <row r="217">
          <cell r="C217" t="str">
            <v>더 넥스트 스파크 1.0 VAN</v>
          </cell>
        </row>
        <row r="218">
          <cell r="C218" t="str">
            <v>아베오 1.4 Turbo 세단</v>
          </cell>
        </row>
        <row r="219">
          <cell r="C219" t="str">
            <v>아베오 1.4 Turbo 5도어 해치백</v>
          </cell>
        </row>
        <row r="220">
          <cell r="C220" t="str">
            <v>[재고프로모션] 올뉴 크루즈 1.4 터보 휘발유_17my</v>
          </cell>
        </row>
        <row r="221">
          <cell r="C221" t="str">
            <v>올뉴 크루즈 1.4 터보 휘발유</v>
          </cell>
        </row>
        <row r="222">
          <cell r="C222" t="str">
            <v>올뉴 크루즈 1.6 디젤</v>
          </cell>
        </row>
        <row r="223">
          <cell r="C223" t="str">
            <v>올뉴 말리부 1.5 휘발유</v>
          </cell>
        </row>
        <row r="224">
          <cell r="C224" t="str">
            <v>올뉴 말리부 2.0 휘발유</v>
          </cell>
        </row>
        <row r="225">
          <cell r="C225" t="str">
            <v>올뉴 말리부 1.8 하이브리드</v>
          </cell>
        </row>
        <row r="226">
          <cell r="C226" t="str">
            <v>[재고프로모션] 임팔라 2.5_17my</v>
          </cell>
        </row>
        <row r="227">
          <cell r="C227" t="str">
            <v>임팔라 2.5_18my</v>
          </cell>
        </row>
        <row r="228">
          <cell r="C228" t="str">
            <v>임팔라 3.6_18my</v>
          </cell>
        </row>
        <row r="229">
          <cell r="C229" t="str">
            <v>올란도 1.6 디젤</v>
          </cell>
        </row>
        <row r="230">
          <cell r="C230" t="str">
            <v>올란도 2.0 LPGi</v>
          </cell>
        </row>
        <row r="231">
          <cell r="C231" t="str">
            <v>올란도 2.0 LPGi 렌터카</v>
          </cell>
        </row>
        <row r="232">
          <cell r="C232" t="str">
            <v>더뉴 트랙스 1.6 디젤</v>
          </cell>
        </row>
        <row r="233">
          <cell r="C233" t="str">
            <v>더뉴 트랙스 1.4 휘발유</v>
          </cell>
        </row>
        <row r="234">
          <cell r="C234" t="str">
            <v>캡티바 2.0 디젤 5인승</v>
          </cell>
        </row>
        <row r="235">
          <cell r="C235" t="str">
            <v>캡티바 2.0 디젤 7인승</v>
          </cell>
        </row>
      </sheetData>
      <sheetData sheetId="15" refreshError="1">
        <row r="3">
          <cell r="C3" t="str">
            <v>118d M Sport Package</v>
          </cell>
        </row>
        <row r="4">
          <cell r="C4" t="str">
            <v>118d Joy</v>
          </cell>
        </row>
        <row r="5">
          <cell r="C5" t="str">
            <v>Active Tourer</v>
          </cell>
        </row>
        <row r="6">
          <cell r="C6" t="str">
            <v>320i</v>
          </cell>
        </row>
        <row r="7">
          <cell r="C7" t="str">
            <v>320i M Sport</v>
          </cell>
        </row>
        <row r="8">
          <cell r="C8" t="str">
            <v>328i M Sport</v>
          </cell>
        </row>
        <row r="9">
          <cell r="C9" t="str">
            <v>330i M Sport</v>
          </cell>
        </row>
        <row r="10">
          <cell r="C10" t="str">
            <v>320d</v>
          </cell>
        </row>
        <row r="11">
          <cell r="C11" t="str">
            <v>320d ED</v>
          </cell>
        </row>
        <row r="12">
          <cell r="C12" t="str">
            <v>320d xDrive</v>
          </cell>
        </row>
        <row r="13">
          <cell r="C13" t="str">
            <v>320d M Sport</v>
          </cell>
        </row>
        <row r="14">
          <cell r="C14" t="str">
            <v>320d Touring</v>
          </cell>
        </row>
        <row r="15">
          <cell r="C15" t="str">
            <v>420i Gran Coupe(4도어)</v>
          </cell>
        </row>
        <row r="16">
          <cell r="C16" t="str">
            <v>420d Gran Coupe(4도어)</v>
          </cell>
        </row>
        <row r="17">
          <cell r="C17" t="str">
            <v>420d Gran Coupe xDrive(4도어)</v>
          </cell>
        </row>
        <row r="18">
          <cell r="C18" t="str">
            <v>435d Gran Coupe(4도어)</v>
          </cell>
        </row>
        <row r="19">
          <cell r="C19" t="str">
            <v>520d M Sport</v>
          </cell>
        </row>
        <row r="20">
          <cell r="C20" t="str">
            <v>520d M Sport Plus</v>
          </cell>
        </row>
        <row r="21">
          <cell r="C21" t="str">
            <v>520d xDrive M Sport</v>
          </cell>
        </row>
        <row r="22">
          <cell r="C22" t="str">
            <v>520d xDrive M Sport Plus</v>
          </cell>
        </row>
        <row r="23">
          <cell r="C23" t="str">
            <v>530i M Sport</v>
          </cell>
        </row>
        <row r="24">
          <cell r="C24" t="str">
            <v>530i M Sport Plus</v>
          </cell>
        </row>
        <row r="25">
          <cell r="C25" t="str">
            <v>530i xDrive M Sport</v>
          </cell>
        </row>
        <row r="26">
          <cell r="C26" t="str">
            <v>530i xDrive M Sport Plus</v>
          </cell>
        </row>
        <row r="27">
          <cell r="C27" t="str">
            <v>530d M Sport</v>
          </cell>
        </row>
        <row r="28">
          <cell r="C28" t="str">
            <v>540i xDrive M Sport Plus</v>
          </cell>
        </row>
        <row r="29">
          <cell r="C29" t="str">
            <v>640d Gran Coupe xDrive</v>
          </cell>
        </row>
        <row r="30">
          <cell r="C30" t="str">
            <v>730d xDrive M Sport</v>
          </cell>
        </row>
        <row r="31">
          <cell r="C31" t="str">
            <v>730Ld xDrive M Sport</v>
          </cell>
        </row>
        <row r="32">
          <cell r="C32" t="str">
            <v>740d xDrive M Sport</v>
          </cell>
        </row>
        <row r="33">
          <cell r="C33" t="str">
            <v>740Ld xDrive M Sport</v>
          </cell>
        </row>
        <row r="34">
          <cell r="C34" t="str">
            <v>740Li xDrive M Sport</v>
          </cell>
        </row>
        <row r="35">
          <cell r="C35" t="str">
            <v>750Li xDrive M Sport</v>
          </cell>
        </row>
        <row r="36">
          <cell r="C36" t="str">
            <v>3GT 20d</v>
          </cell>
        </row>
        <row r="37">
          <cell r="C37" t="str">
            <v>3GT 20d xDrive</v>
          </cell>
        </row>
        <row r="38">
          <cell r="C38" t="str">
            <v>6GT 30d xDrive</v>
          </cell>
        </row>
        <row r="39">
          <cell r="C39" t="str">
            <v>6GT 40i xDrive</v>
          </cell>
        </row>
        <row r="40">
          <cell r="C40" t="str">
            <v>X1 xDrive 18d JOY</v>
          </cell>
        </row>
        <row r="41">
          <cell r="C41" t="str">
            <v>X1 xDrive 18d M Sport Package</v>
          </cell>
        </row>
        <row r="42">
          <cell r="C42" t="str">
            <v>X3 xDrive 20d xLine</v>
          </cell>
        </row>
        <row r="43">
          <cell r="C43" t="str">
            <v>X3 xDrive 20d M Sport Package</v>
          </cell>
        </row>
        <row r="44">
          <cell r="C44" t="str">
            <v>X3 xDrive 30d xLine</v>
          </cell>
        </row>
        <row r="45">
          <cell r="C45" t="str">
            <v>X3 xDrive 30d M Sport Package</v>
          </cell>
        </row>
        <row r="46">
          <cell r="C46" t="str">
            <v>X4 xDrive 20d M Sport Package</v>
          </cell>
        </row>
        <row r="47">
          <cell r="C47" t="str">
            <v>X4 30d M Sport</v>
          </cell>
        </row>
        <row r="48">
          <cell r="C48" t="str">
            <v>X5 xDrive 30d</v>
          </cell>
        </row>
        <row r="49">
          <cell r="C49" t="str">
            <v>X5 xDrive 40d M Sport Package</v>
          </cell>
        </row>
        <row r="50">
          <cell r="C50" t="str">
            <v>X6 xDrive 30d</v>
          </cell>
        </row>
        <row r="51">
          <cell r="C51" t="str">
            <v>X6 xDrive 40d M Sport Package</v>
          </cell>
        </row>
        <row r="53">
          <cell r="C53" t="str">
            <v xml:space="preserve">A200 </v>
          </cell>
        </row>
        <row r="54">
          <cell r="C54" t="str">
            <v>A200 AMG Line</v>
          </cell>
        </row>
        <row r="55">
          <cell r="C55" t="str">
            <v>B220</v>
          </cell>
        </row>
        <row r="56">
          <cell r="C56" t="str">
            <v>B200 d</v>
          </cell>
        </row>
        <row r="57">
          <cell r="C57" t="str">
            <v>CLA 220 AMG Line</v>
          </cell>
        </row>
        <row r="58">
          <cell r="C58" t="str">
            <v>CLA 250 4M</v>
          </cell>
        </row>
        <row r="59">
          <cell r="C59" t="str">
            <v>CLA 250 4M AMG Line</v>
          </cell>
        </row>
        <row r="60">
          <cell r="C60" t="str">
            <v>GLA 200d</v>
          </cell>
        </row>
        <row r="61">
          <cell r="C61" t="str">
            <v>GLA 220</v>
          </cell>
        </row>
        <row r="62">
          <cell r="C62" t="str">
            <v>GLA 250 4M</v>
          </cell>
        </row>
        <row r="63">
          <cell r="C63" t="str">
            <v>C200(4도어 세단)</v>
          </cell>
        </row>
        <row r="64">
          <cell r="C64" t="str">
            <v>C200d(4도어 세단)</v>
          </cell>
        </row>
        <row r="65">
          <cell r="C65" t="str">
            <v>C220d(4도어 세단)</v>
          </cell>
        </row>
        <row r="66">
          <cell r="C66" t="str">
            <v>C220d 4M(4도어 세단)</v>
          </cell>
        </row>
        <row r="67">
          <cell r="C67" t="str">
            <v>C250d 4M(4도어 세단)</v>
          </cell>
        </row>
        <row r="68">
          <cell r="C68" t="str">
            <v>E200 (4도어 세단)</v>
          </cell>
        </row>
        <row r="69">
          <cell r="C69" t="str">
            <v>E220d (4도어 세단)</v>
          </cell>
        </row>
        <row r="70">
          <cell r="C70" t="str">
            <v>E220d 4M (4도어 세단)</v>
          </cell>
        </row>
        <row r="71">
          <cell r="C71" t="str">
            <v>E300 (4도어 세단)</v>
          </cell>
        </row>
        <row r="72">
          <cell r="C72" t="str">
            <v>E300 4M (4도어 세단)</v>
          </cell>
        </row>
        <row r="73">
          <cell r="C73" t="str">
            <v>E300 AMG Line (4도어 세단)</v>
          </cell>
        </row>
        <row r="74">
          <cell r="C74" t="str">
            <v>E300 4M AMG Line (4도어 세단)</v>
          </cell>
        </row>
        <row r="75">
          <cell r="C75" t="str">
            <v>E350d 4M (4도어 세단)</v>
          </cell>
        </row>
        <row r="76">
          <cell r="C76" t="str">
            <v>E400 4M (4도어 세단)</v>
          </cell>
        </row>
        <row r="77">
          <cell r="C77" t="str">
            <v>S350d</v>
          </cell>
        </row>
        <row r="78">
          <cell r="C78" t="str">
            <v>S350d 4M</v>
          </cell>
        </row>
        <row r="79">
          <cell r="C79" t="str">
            <v>S400d Long</v>
          </cell>
        </row>
        <row r="80">
          <cell r="C80" t="str">
            <v>S400d 4M Long</v>
          </cell>
        </row>
        <row r="81">
          <cell r="C81" t="str">
            <v>S400 Long</v>
          </cell>
        </row>
        <row r="82">
          <cell r="C82" t="str">
            <v>S400 4M Long</v>
          </cell>
        </row>
        <row r="83">
          <cell r="C83" t="str">
            <v>S450 Long</v>
          </cell>
        </row>
        <row r="84">
          <cell r="C84" t="str">
            <v>S450 4M Long</v>
          </cell>
        </row>
        <row r="85">
          <cell r="C85" t="str">
            <v>S500 Long</v>
          </cell>
        </row>
        <row r="86">
          <cell r="C86" t="str">
            <v>S500 4M Long</v>
          </cell>
        </row>
        <row r="87">
          <cell r="C87" t="str">
            <v>S560 4M Long</v>
          </cell>
        </row>
        <row r="88">
          <cell r="C88" t="str">
            <v>CLS 250d 4M</v>
          </cell>
        </row>
        <row r="89">
          <cell r="C89" t="str">
            <v>CLS 250d 4M AMG Line</v>
          </cell>
        </row>
        <row r="90">
          <cell r="C90" t="str">
            <v>CLS 350d 4M</v>
          </cell>
        </row>
        <row r="91">
          <cell r="C91" t="str">
            <v>CLS 400</v>
          </cell>
        </row>
        <row r="92">
          <cell r="C92" t="str">
            <v>CLS 400 AMG Line</v>
          </cell>
        </row>
        <row r="93">
          <cell r="C93" t="str">
            <v>GLC 220d 4M</v>
          </cell>
        </row>
        <row r="94">
          <cell r="C94" t="str">
            <v>GLC 250d 4M</v>
          </cell>
        </row>
        <row r="95">
          <cell r="C95" t="str">
            <v>GLC 220d 4M Coupe</v>
          </cell>
        </row>
        <row r="96">
          <cell r="C96" t="str">
            <v>GLC 250d 4M Coupe</v>
          </cell>
        </row>
        <row r="97">
          <cell r="C97" t="str">
            <v>GLE 250d 4M</v>
          </cell>
        </row>
        <row r="98">
          <cell r="C98" t="str">
            <v>GLE 350d 4M</v>
          </cell>
        </row>
        <row r="99">
          <cell r="C99" t="str">
            <v>GLE 350d 4M Coupe</v>
          </cell>
        </row>
        <row r="100">
          <cell r="C100" t="str">
            <v>GLS 350d 4M</v>
          </cell>
        </row>
        <row r="101">
          <cell r="C101" t="str">
            <v>GLS 500 4M</v>
          </cell>
        </row>
        <row r="103">
          <cell r="C103" t="str">
            <v>Passat GT 2.0 TDI</v>
          </cell>
        </row>
        <row r="106">
          <cell r="C106" t="str">
            <v>COOPER</v>
          </cell>
        </row>
        <row r="107">
          <cell r="C107" t="str">
            <v>COOPER JCW</v>
          </cell>
        </row>
        <row r="108">
          <cell r="C108" t="str">
            <v>COOPER D</v>
          </cell>
        </row>
        <row r="109">
          <cell r="C109" t="str">
            <v>COOPER 5Door</v>
          </cell>
        </row>
        <row r="110">
          <cell r="C110" t="str">
            <v>COOPER D 5Door</v>
          </cell>
        </row>
        <row r="111">
          <cell r="C111" t="str">
            <v>CLUBMAN Cooper</v>
          </cell>
        </row>
        <row r="112">
          <cell r="C112" t="str">
            <v>CLUBMAN Cooper High Trim</v>
          </cell>
        </row>
        <row r="113">
          <cell r="C113" t="str">
            <v>CLUBMAN Cooper S</v>
          </cell>
        </row>
        <row r="114">
          <cell r="C114" t="str">
            <v>COUNTRYMAN COOPER D</v>
          </cell>
        </row>
        <row r="115">
          <cell r="C115" t="str">
            <v>COUNTRYMAN COOPER D All4</v>
          </cell>
        </row>
        <row r="116">
          <cell r="C116" t="str">
            <v>COUNTRYMAN COOPER D All4 High Trim</v>
          </cell>
        </row>
        <row r="117">
          <cell r="C117" t="str">
            <v>COUNTRYMAN COOPER SD All4</v>
          </cell>
        </row>
        <row r="119">
          <cell r="C119" t="str">
            <v>Mondeo 2.0</v>
          </cell>
        </row>
        <row r="120">
          <cell r="C120" t="str">
            <v>KUGA 2.0</v>
          </cell>
        </row>
        <row r="121">
          <cell r="C121" t="str">
            <v>Taurus 2.0</v>
          </cell>
        </row>
        <row r="122">
          <cell r="C122" t="str">
            <v>Taurus 3.5</v>
          </cell>
        </row>
        <row r="123">
          <cell r="C123" t="str">
            <v>Explorer 2.3 AWD Limited</v>
          </cell>
        </row>
        <row r="124">
          <cell r="C124" t="str">
            <v>Explorer 3.5 AWD Limited</v>
          </cell>
        </row>
        <row r="126">
          <cell r="C126" t="str">
            <v>MKZ 2.0 Select 300A FWD</v>
          </cell>
        </row>
        <row r="127">
          <cell r="C127" t="str">
            <v>MKZ 2.0 Reserve 300A AWD</v>
          </cell>
        </row>
        <row r="128">
          <cell r="C128" t="str">
            <v>MKX 2.7</v>
          </cell>
        </row>
        <row r="129">
          <cell r="C129" t="str">
            <v>MKC 2.0</v>
          </cell>
        </row>
        <row r="130">
          <cell r="C130" t="str">
            <v>Continental 3.0L AWD</v>
          </cell>
        </row>
        <row r="132">
          <cell r="C132" t="str">
            <v>Discovery Sport 2.0 TD4</v>
          </cell>
        </row>
        <row r="133">
          <cell r="C133" t="str">
            <v>Discovery SD4 2.0</v>
          </cell>
        </row>
        <row r="134">
          <cell r="C134" t="str">
            <v>Discovery TD6 3.0</v>
          </cell>
        </row>
        <row r="135">
          <cell r="C135" t="str">
            <v>Evoque 2.0 TD4 SE (5도어)</v>
          </cell>
        </row>
        <row r="136">
          <cell r="C136" t="str">
            <v>Evoque 2.0 TD4 HSE(5도어)</v>
          </cell>
        </row>
        <row r="137">
          <cell r="C137" t="str">
            <v>Evoque 2.0 TD4 HSE Ember Limited Edition(5도어)</v>
          </cell>
        </row>
        <row r="138">
          <cell r="C138" t="str">
            <v>Evoque 2.0 TD4 HSE Dynamic(5도어)</v>
          </cell>
        </row>
        <row r="139">
          <cell r="C139" t="str">
            <v>Evoque 2.0 TD4 Autobiography(5도어)</v>
          </cell>
        </row>
        <row r="140">
          <cell r="C140" t="str">
            <v>Evoque 2.0 Si4 HSE</v>
          </cell>
        </row>
        <row r="141">
          <cell r="C141" t="str">
            <v>Range Rover VELAR D240</v>
          </cell>
        </row>
        <row r="142">
          <cell r="C142" t="str">
            <v>Range Rover VELAR D300</v>
          </cell>
        </row>
        <row r="143">
          <cell r="C143" t="str">
            <v>Range Rover VELAR P380</v>
          </cell>
        </row>
        <row r="144">
          <cell r="C144" t="str">
            <v>Range Rover Sport 3.0 SDV6 HSE</v>
          </cell>
        </row>
        <row r="145">
          <cell r="C145" t="str">
            <v>Range Rover Sport 3.0 SDV6 HSE Dynamic</v>
          </cell>
        </row>
        <row r="146">
          <cell r="C146" t="str">
            <v>Range Rover Sport 3.0 SDV6 Autobiography DY</v>
          </cell>
        </row>
        <row r="147">
          <cell r="C147" t="str">
            <v>Range Rover Sport 3.0 SCV6</v>
          </cell>
        </row>
        <row r="148">
          <cell r="C148" t="str">
            <v>Range Rover Sport 5.0 SCV8</v>
          </cell>
        </row>
        <row r="149">
          <cell r="C149" t="str">
            <v>Range Rover 4.4 SDV8</v>
          </cell>
        </row>
        <row r="150">
          <cell r="C150" t="str">
            <v>Range Rover 5.0 SCV8</v>
          </cell>
        </row>
        <row r="152">
          <cell r="C152" t="str">
            <v>E-PACE P250</v>
          </cell>
        </row>
        <row r="153">
          <cell r="C153" t="str">
            <v>XF 20d</v>
          </cell>
        </row>
        <row r="154">
          <cell r="C154" t="str">
            <v>XF 30d</v>
          </cell>
        </row>
        <row r="155">
          <cell r="C155" t="str">
            <v>XF 25T</v>
          </cell>
        </row>
        <row r="156">
          <cell r="C156" t="str">
            <v>XF S AWD</v>
          </cell>
        </row>
        <row r="157">
          <cell r="C157" t="str">
            <v>XE 20d</v>
          </cell>
        </row>
        <row r="158">
          <cell r="C158" t="str">
            <v xml:space="preserve">XE 20T </v>
          </cell>
        </row>
        <row r="159">
          <cell r="C159" t="str">
            <v>XE S RWD</v>
          </cell>
        </row>
        <row r="160">
          <cell r="C160" t="str">
            <v>XJ 3.0D</v>
          </cell>
        </row>
        <row r="161">
          <cell r="C161" t="str">
            <v>XJ 2.0P</v>
          </cell>
        </row>
        <row r="162">
          <cell r="C162" t="str">
            <v>XJ 3.0SC</v>
          </cell>
        </row>
        <row r="163">
          <cell r="C163" t="str">
            <v>F-PACE 20d</v>
          </cell>
        </row>
        <row r="164">
          <cell r="C164" t="str">
            <v>F-PACE 30d S</v>
          </cell>
        </row>
        <row r="166">
          <cell r="C166" t="str">
            <v>IS 300</v>
          </cell>
        </row>
        <row r="167">
          <cell r="C167" t="str">
            <v>CT 200h</v>
          </cell>
        </row>
        <row r="168">
          <cell r="C168" t="str">
            <v>GS 300</v>
          </cell>
        </row>
        <row r="169">
          <cell r="C169" t="str">
            <v>GS 350</v>
          </cell>
        </row>
        <row r="170">
          <cell r="C170" t="str">
            <v>GS 450h</v>
          </cell>
        </row>
        <row r="171">
          <cell r="C171" t="str">
            <v>ES 350</v>
          </cell>
        </row>
        <row r="172">
          <cell r="C172" t="str">
            <v>ES 300h</v>
          </cell>
        </row>
        <row r="173">
          <cell r="C173" t="str">
            <v>LS 460</v>
          </cell>
        </row>
        <row r="174">
          <cell r="C174" t="str">
            <v>NX 300</v>
          </cell>
        </row>
        <row r="175">
          <cell r="C175" t="str">
            <v>NX 300h</v>
          </cell>
        </row>
        <row r="176">
          <cell r="C176" t="str">
            <v>RX 350</v>
          </cell>
        </row>
        <row r="177">
          <cell r="C177" t="str">
            <v>RX 450h</v>
          </cell>
        </row>
        <row r="179">
          <cell r="C179" t="str">
            <v>CHRYSLER 300c 3.6</v>
          </cell>
        </row>
        <row r="180">
          <cell r="C180" t="str">
            <v>CHRYSLER 300c 3.0</v>
          </cell>
        </row>
        <row r="182">
          <cell r="C182" t="str">
            <v>JEEP RENEGADE 2.4</v>
          </cell>
        </row>
        <row r="183">
          <cell r="C183" t="str">
            <v>JEEP RENEGADE 2.0</v>
          </cell>
        </row>
        <row r="184">
          <cell r="C184" t="str">
            <v>JEEP Compas 2.4</v>
          </cell>
        </row>
        <row r="185">
          <cell r="C185" t="str">
            <v>JEEP All-new Cherokee 2.2</v>
          </cell>
        </row>
        <row r="186">
          <cell r="C186" t="str">
            <v>JEEP All-new Cherokee 2.4</v>
          </cell>
        </row>
        <row r="187">
          <cell r="C187" t="str">
            <v>JEEP Grand Cherokee 3.0</v>
          </cell>
        </row>
        <row r="188">
          <cell r="C188" t="str">
            <v>JEEP Grand Cherokee 3.6</v>
          </cell>
        </row>
        <row r="189">
          <cell r="C189" t="str">
            <v>JEEP Wrangler Sport 2-Door</v>
          </cell>
        </row>
        <row r="190">
          <cell r="C190" t="str">
            <v>JEEP Wrangler Rubicon 2-Door</v>
          </cell>
        </row>
        <row r="191">
          <cell r="C191" t="str">
            <v>JEEP Wrangler Rubicon</v>
          </cell>
        </row>
        <row r="192">
          <cell r="C192" t="str">
            <v>JEEP Wrangler Rubicon Recon</v>
          </cell>
        </row>
        <row r="193">
          <cell r="C193" t="str">
            <v>JEEP Wrangler Sahara</v>
          </cell>
        </row>
        <row r="194">
          <cell r="C194" t="str">
            <v>JEEP Wrangler Winter Edtion</v>
          </cell>
        </row>
        <row r="195">
          <cell r="C195" t="str">
            <v>JEEP Wrangler JK Edition</v>
          </cell>
        </row>
        <row r="197">
          <cell r="C197" t="str">
            <v>FIAT 500</v>
          </cell>
        </row>
        <row r="198">
          <cell r="C198" t="str">
            <v>FIAT 500X Pop Star 2.4</v>
          </cell>
        </row>
        <row r="199">
          <cell r="C199" t="str">
            <v>FIAT 500X Cross 2.0</v>
          </cell>
        </row>
        <row r="200">
          <cell r="C200" t="str">
            <v>FIAT 500X Cross Plus 2.0</v>
          </cell>
        </row>
        <row r="202">
          <cell r="C202" t="str">
            <v>NISSAN ALTIMA 2.5</v>
          </cell>
        </row>
        <row r="203">
          <cell r="C203" t="str">
            <v>NISSAN ALTIMA 3.5</v>
          </cell>
        </row>
        <row r="204">
          <cell r="C204" t="str">
            <v>NISSAN MAXIMA 3.5</v>
          </cell>
        </row>
        <row r="205">
          <cell r="C205" t="str">
            <v>NISSAN PATHFINDER 3.5</v>
          </cell>
        </row>
        <row r="207">
          <cell r="C207" t="str">
            <v>AUDI A6 35 TDI</v>
          </cell>
        </row>
        <row r="208">
          <cell r="C208" t="str">
            <v>AUDI A6 35 TDI qu.</v>
          </cell>
        </row>
        <row r="210">
          <cell r="C210" t="str">
            <v>INFINITI Q30 2.0t</v>
          </cell>
        </row>
        <row r="211">
          <cell r="C211" t="str">
            <v>INFINITI Q50 3.5</v>
          </cell>
        </row>
        <row r="212">
          <cell r="C212" t="str">
            <v>INFINITI Q70 3.7</v>
          </cell>
        </row>
        <row r="213">
          <cell r="C213" t="str">
            <v>INFINITI QX50 3.7</v>
          </cell>
        </row>
        <row r="214">
          <cell r="C214" t="str">
            <v>INFINITI QX60 3.5</v>
          </cell>
        </row>
        <row r="215">
          <cell r="C215" t="str">
            <v>INFINITI QX70 3.7</v>
          </cell>
        </row>
        <row r="217">
          <cell r="C217" t="str">
            <v>PEUGEOT 208 1.6</v>
          </cell>
        </row>
        <row r="218">
          <cell r="C218" t="str">
            <v xml:space="preserve">PEUGEOT 308 1.6 </v>
          </cell>
        </row>
        <row r="219">
          <cell r="C219" t="str">
            <v>PEUGEOT 308 GT 2.0</v>
          </cell>
        </row>
        <row r="220">
          <cell r="C220" t="str">
            <v>PEUGEOT 308 SW 1.6</v>
          </cell>
        </row>
        <row r="221">
          <cell r="C221" t="str">
            <v>PEUGEOT 308 SW 2.0</v>
          </cell>
        </row>
        <row r="222">
          <cell r="C222" t="str">
            <v>PEUGEOT 508 1.6</v>
          </cell>
        </row>
        <row r="223">
          <cell r="C223" t="str">
            <v>PEUGEOT 508 2.0</v>
          </cell>
        </row>
        <row r="224">
          <cell r="C224" t="str">
            <v>PEUGEOT New 2008 1.6</v>
          </cell>
        </row>
        <row r="225">
          <cell r="C225" t="str">
            <v>PEUGEOT New 3008 1.6</v>
          </cell>
        </row>
        <row r="226">
          <cell r="C226" t="str">
            <v>PEUGEOT New 3008 2.0 GT</v>
          </cell>
        </row>
        <row r="227">
          <cell r="C227" t="str">
            <v>PEUGEOT New 5008 1.6</v>
          </cell>
        </row>
        <row r="228">
          <cell r="C228" t="str">
            <v>PEUGEOT New 5008 2.0 GT</v>
          </cell>
        </row>
        <row r="230">
          <cell r="C230" t="str">
            <v>CADILLAC CTS 2.0</v>
          </cell>
        </row>
        <row r="231">
          <cell r="C231" t="str">
            <v>CADILLAC ATS 2.0 Sedan</v>
          </cell>
        </row>
        <row r="232">
          <cell r="C232" t="str">
            <v>CADILLAC ATS-V 3.6 Sedan</v>
          </cell>
        </row>
        <row r="233">
          <cell r="C233" t="str">
            <v>CADILLAC CT6 2.0</v>
          </cell>
        </row>
        <row r="234">
          <cell r="C234" t="str">
            <v>CADILLAC CT6 3.6</v>
          </cell>
        </row>
        <row r="235">
          <cell r="C235" t="str">
            <v xml:space="preserve">CADILLAC XT5 </v>
          </cell>
        </row>
        <row r="237">
          <cell r="C237" t="str">
            <v>CITROEN C4 Cactus 1.6</v>
          </cell>
        </row>
        <row r="238">
          <cell r="C238" t="str">
            <v>CITROEN C4 Picasso 1.6</v>
          </cell>
        </row>
        <row r="239">
          <cell r="C239" t="str">
            <v>CITROEN Grand Picasso C4 1.6</v>
          </cell>
        </row>
        <row r="240">
          <cell r="C240" t="str">
            <v>CITROEN Grand Picasso C4 2.0</v>
          </cell>
        </row>
        <row r="241">
          <cell r="C241" t="str">
            <v>CITROEN DS3 1.6</v>
          </cell>
        </row>
        <row r="242">
          <cell r="C242" t="str">
            <v>CITROEN DS4 Crossback 1.6</v>
          </cell>
        </row>
        <row r="243">
          <cell r="C243" t="str">
            <v>CITROEN DS5 2.0</v>
          </cell>
        </row>
        <row r="245">
          <cell r="C245" t="str">
            <v>MASERATI Ghibli 휘발유</v>
          </cell>
        </row>
        <row r="246">
          <cell r="C246" t="str">
            <v>MASERATI Ghibli 디젤</v>
          </cell>
        </row>
        <row r="247">
          <cell r="C247" t="str">
            <v>MASERATI Levante 휘발유</v>
          </cell>
        </row>
        <row r="248">
          <cell r="C248" t="str">
            <v>MASERATI Levante 디젤</v>
          </cell>
        </row>
        <row r="250">
          <cell r="C250" t="str">
            <v>HONDA CIVIC 2.0</v>
          </cell>
        </row>
        <row r="251">
          <cell r="C251" t="str">
            <v>HONDA ACCORD 2.4</v>
          </cell>
        </row>
        <row r="252">
          <cell r="C252" t="str">
            <v>HONDA ACCORD 3.5 V6</v>
          </cell>
        </row>
        <row r="253">
          <cell r="C253" t="str">
            <v>HONDA ACCORD 2.0 Hybrid</v>
          </cell>
        </row>
        <row r="254">
          <cell r="C254" t="str">
            <v>HONDA HR-V 1.8</v>
          </cell>
        </row>
        <row r="255">
          <cell r="C255" t="str">
            <v>HONDA CR-V Turbo</v>
          </cell>
        </row>
        <row r="256">
          <cell r="C256" t="str">
            <v>HONDA PILOT 3.5</v>
          </cell>
        </row>
        <row r="257">
          <cell r="C257" t="str">
            <v>HONDA ODYSSEY 3.5</v>
          </cell>
        </row>
        <row r="259">
          <cell r="C259" t="str">
            <v>VOLVO S60 D3</v>
          </cell>
        </row>
        <row r="260">
          <cell r="C260" t="str">
            <v>VOLVO S60 D4</v>
          </cell>
        </row>
        <row r="261">
          <cell r="C261" t="str">
            <v>VOLVO S60 D5</v>
          </cell>
        </row>
        <row r="262">
          <cell r="C262" t="str">
            <v>VOLVO S60 T5</v>
          </cell>
        </row>
        <row r="263">
          <cell r="C263" t="str">
            <v>VOLVO S90 D4</v>
          </cell>
        </row>
        <row r="264">
          <cell r="C264" t="str">
            <v>VOLVO S90 D5</v>
          </cell>
        </row>
        <row r="265">
          <cell r="C265" t="str">
            <v>VOLVO S90 T5</v>
          </cell>
        </row>
        <row r="266">
          <cell r="C266" t="str">
            <v>VOLVO V40 D3</v>
          </cell>
        </row>
        <row r="267">
          <cell r="C267" t="str">
            <v>VOLVO V40 D4</v>
          </cell>
        </row>
        <row r="268">
          <cell r="C268" t="str">
            <v>VOLVO V40 T5</v>
          </cell>
        </row>
        <row r="269">
          <cell r="C269" t="str">
            <v>VOLVO V40 Cross Country D3</v>
          </cell>
        </row>
        <row r="270">
          <cell r="C270" t="str">
            <v>VOLVO V40 Cross Country D4</v>
          </cell>
        </row>
        <row r="271">
          <cell r="C271" t="str">
            <v>VOLVO V40 Cross Country T5</v>
          </cell>
        </row>
        <row r="272">
          <cell r="C272" t="str">
            <v>VOLVO V60 D3</v>
          </cell>
        </row>
        <row r="273">
          <cell r="C273" t="str">
            <v>VOLVO V60 D4</v>
          </cell>
        </row>
        <row r="274">
          <cell r="C274" t="str">
            <v>VOLVO V60 D5</v>
          </cell>
        </row>
        <row r="275">
          <cell r="C275" t="str">
            <v>VOLVO V60 Cross Country D4</v>
          </cell>
        </row>
        <row r="276">
          <cell r="C276" t="str">
            <v>VOLVO V60 Cross Country T5</v>
          </cell>
        </row>
        <row r="277">
          <cell r="C277" t="str">
            <v>VOLVO V90 Cross Country</v>
          </cell>
        </row>
        <row r="278">
          <cell r="C278" t="str">
            <v>VOLVO XC60 D4</v>
          </cell>
        </row>
        <row r="279">
          <cell r="C279" t="str">
            <v xml:space="preserve">VOLVO XC60 D5 </v>
          </cell>
        </row>
        <row r="280">
          <cell r="C280" t="str">
            <v>VOLVO XC60 T6</v>
          </cell>
        </row>
        <row r="281">
          <cell r="C281" t="str">
            <v>VOLVO XC90 D5 AWD</v>
          </cell>
        </row>
        <row r="282">
          <cell r="C282" t="str">
            <v>VOLVO XC90 T6 AWD</v>
          </cell>
        </row>
        <row r="283">
          <cell r="C283" t="str">
            <v>VOLVO XC90 T8 AWD</v>
          </cell>
        </row>
        <row r="285">
          <cell r="C285" t="str">
            <v>TOYOTA 1.5 Prius C</v>
          </cell>
        </row>
        <row r="286">
          <cell r="C286" t="str">
            <v>TOYOTA 1.8 Prius</v>
          </cell>
        </row>
        <row r="287">
          <cell r="C287" t="str">
            <v>TOYOTA 1.8 Prius V</v>
          </cell>
        </row>
        <row r="288">
          <cell r="C288" t="str">
            <v>TOYOTA CAMRY 2.5</v>
          </cell>
        </row>
        <row r="289">
          <cell r="C289" t="str">
            <v>TOYOTA New CAMRY 2.5</v>
          </cell>
        </row>
        <row r="290">
          <cell r="C290" t="str">
            <v>TOYOTA New CAMRY 2.5 Hybrid</v>
          </cell>
        </row>
        <row r="291">
          <cell r="C291" t="str">
            <v>TOYOTA AVALON Limited</v>
          </cell>
        </row>
        <row r="292">
          <cell r="C292" t="str">
            <v>TOYOTA RAV4 2.5</v>
          </cell>
        </row>
        <row r="293">
          <cell r="C293" t="str">
            <v>TOYOTA RAV4 2.5 Hybrid</v>
          </cell>
        </row>
        <row r="294">
          <cell r="C294" t="str">
            <v>TOYOTA Sienna 3.5</v>
          </cell>
        </row>
        <row r="296">
          <cell r="C296" t="str">
            <v>new A4 45 TFSI</v>
          </cell>
        </row>
        <row r="297">
          <cell r="C297" t="str">
            <v>new A4 45 TFSI qu.</v>
          </cell>
        </row>
        <row r="298">
          <cell r="C298" t="str">
            <v>new A4 55 TDI qu.</v>
          </cell>
        </row>
        <row r="299">
          <cell r="C299" t="str">
            <v>A6 40 TDI qu. comfort</v>
          </cell>
        </row>
        <row r="300">
          <cell r="C300" t="str">
            <v>A6 40 TDI qu. Premium</v>
          </cell>
        </row>
        <row r="301">
          <cell r="C301" t="str">
            <v>A6 50 TFSI quattro</v>
          </cell>
        </row>
        <row r="302">
          <cell r="C302" t="str">
            <v>A6 50 TDI quattro</v>
          </cell>
        </row>
        <row r="303">
          <cell r="C303" t="str">
            <v>A6 55 TDI quattro</v>
          </cell>
        </row>
        <row r="304">
          <cell r="C304" t="str">
            <v>A7 40 TDI</v>
          </cell>
        </row>
        <row r="305">
          <cell r="C305" t="str">
            <v>A7 40 TFSI Quattro</v>
          </cell>
        </row>
        <row r="306">
          <cell r="C306" t="str">
            <v>A7 50 TFSI Quattro</v>
          </cell>
        </row>
        <row r="307">
          <cell r="C307" t="str">
            <v>A7 50 TDI Quattro</v>
          </cell>
        </row>
        <row r="308">
          <cell r="C308" t="str">
            <v>A7 55 TDI Quattro</v>
          </cell>
        </row>
        <row r="309">
          <cell r="C309" t="str">
            <v>A8 50 TDI quattro</v>
          </cell>
        </row>
        <row r="310">
          <cell r="C310" t="str">
            <v>A8 L50 TDI quattro</v>
          </cell>
        </row>
        <row r="311">
          <cell r="C311" t="str">
            <v>Q5 45 TDI</v>
          </cell>
        </row>
        <row r="312">
          <cell r="C312" t="str">
            <v>SQ5 TDI Q</v>
          </cell>
        </row>
        <row r="316">
          <cell r="C316" t="str">
            <v>JUKE 1.6</v>
          </cell>
        </row>
        <row r="317">
          <cell r="C317" t="str">
            <v>QASHQAI</v>
          </cell>
        </row>
      </sheetData>
      <sheetData sheetId="16" refreshError="1">
        <row r="76">
          <cell r="H76" t="str">
            <v>프리미엄(순회 I)</v>
          </cell>
        </row>
        <row r="77">
          <cell r="H77" t="str">
            <v>디럭스+(순회 II)</v>
          </cell>
        </row>
        <row r="78">
          <cell r="H78" t="str">
            <v>디럭스(순회 III)</v>
          </cell>
        </row>
        <row r="79">
          <cell r="H79" t="str">
            <v>스탠다드(순회 IV)</v>
          </cell>
        </row>
        <row r="80">
          <cell r="H80" t="str">
            <v>디럭스(입고 I)</v>
          </cell>
        </row>
        <row r="81">
          <cell r="H81" t="str">
            <v>스탠다드(입고 II)</v>
          </cell>
        </row>
        <row r="82">
          <cell r="H82" t="str">
            <v>셀프</v>
          </cell>
        </row>
      </sheetData>
      <sheetData sheetId="17" refreshError="1">
        <row r="14">
          <cell r="R14">
            <v>12</v>
          </cell>
          <cell r="S14">
            <v>0.6</v>
          </cell>
          <cell r="T14">
            <v>0.57999999999999996</v>
          </cell>
          <cell r="U14">
            <v>0.56999999999999995</v>
          </cell>
          <cell r="V14">
            <v>0.54999999999999993</v>
          </cell>
          <cell r="W14">
            <v>0.53999999999999992</v>
          </cell>
          <cell r="X14">
            <v>0.52</v>
          </cell>
          <cell r="Y14">
            <v>0.51</v>
          </cell>
          <cell r="Z14">
            <v>0.49999999999999994</v>
          </cell>
          <cell r="AA14">
            <v>0.48999999999999994</v>
          </cell>
          <cell r="AB14">
            <v>0.47</v>
          </cell>
        </row>
        <row r="15">
          <cell r="R15">
            <v>24</v>
          </cell>
          <cell r="S15">
            <v>0.48</v>
          </cell>
          <cell r="T15">
            <v>0.46</v>
          </cell>
          <cell r="U15">
            <v>0.45</v>
          </cell>
          <cell r="V15">
            <v>0.43</v>
          </cell>
          <cell r="W15">
            <v>0.42</v>
          </cell>
          <cell r="X15">
            <v>0.4</v>
          </cell>
          <cell r="Y15">
            <v>0.39</v>
          </cell>
          <cell r="Z15">
            <v>0.38</v>
          </cell>
          <cell r="AA15">
            <v>0.37</v>
          </cell>
          <cell r="AB15">
            <v>0.35000000000000003</v>
          </cell>
        </row>
        <row r="16">
          <cell r="R16">
            <v>36</v>
          </cell>
          <cell r="S16">
            <v>0.41</v>
          </cell>
          <cell r="T16">
            <v>0.39</v>
          </cell>
          <cell r="U16">
            <v>0.38</v>
          </cell>
          <cell r="V16">
            <v>0.36</v>
          </cell>
          <cell r="W16">
            <v>0.35</v>
          </cell>
          <cell r="X16">
            <v>0.33</v>
          </cell>
          <cell r="Y16">
            <v>0.32</v>
          </cell>
          <cell r="Z16">
            <v>0.31</v>
          </cell>
          <cell r="AA16">
            <v>0.3</v>
          </cell>
          <cell r="AB16">
            <v>0.28000000000000003</v>
          </cell>
        </row>
        <row r="17">
          <cell r="R17">
            <v>48</v>
          </cell>
          <cell r="S17">
            <v>0.33</v>
          </cell>
          <cell r="T17">
            <v>0.31</v>
          </cell>
          <cell r="U17">
            <v>0.3</v>
          </cell>
          <cell r="V17">
            <v>0.27999999999999997</v>
          </cell>
          <cell r="W17">
            <v>0.26999999999999996</v>
          </cell>
          <cell r="X17">
            <v>0.25</v>
          </cell>
          <cell r="Y17">
            <v>0.24</v>
          </cell>
          <cell r="Z17">
            <v>0.22999999999999998</v>
          </cell>
          <cell r="AA17">
            <v>0.21999999999999997</v>
          </cell>
          <cell r="AB17">
            <v>0.2</v>
          </cell>
        </row>
        <row r="18">
          <cell r="R18">
            <v>55</v>
          </cell>
          <cell r="S18">
            <v>0.28000000000000003</v>
          </cell>
          <cell r="T18">
            <v>0.26</v>
          </cell>
          <cell r="U18">
            <v>0.25</v>
          </cell>
          <cell r="V18">
            <v>0.22999999999999998</v>
          </cell>
          <cell r="W18">
            <v>0.21999999999999997</v>
          </cell>
          <cell r="X18">
            <v>0.2</v>
          </cell>
          <cell r="Y18">
            <v>0.19</v>
          </cell>
          <cell r="Z18">
            <v>0.18</v>
          </cell>
          <cell r="AA18">
            <v>0.16999999999999998</v>
          </cell>
          <cell r="AB18">
            <v>0.15000000000000002</v>
          </cell>
        </row>
      </sheetData>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월 조건"/>
      <sheetName val="국산견적"/>
      <sheetName val="(국산)등록탁송 요청서"/>
      <sheetName val="국산출고장"/>
      <sheetName val="용품정보"/>
      <sheetName val="수입견적"/>
      <sheetName val="(수입)등록배송 요청서"/>
      <sheetName val="멤버십"/>
      <sheetName val="(국)A"/>
      <sheetName val="(국)B"/>
      <sheetName val="(국)KB손해"/>
      <sheetName val="(수)A"/>
      <sheetName val="(수)B"/>
      <sheetName val="(국)C1"/>
      <sheetName val="(수)KB손해"/>
      <sheetName val="국산차"/>
      <sheetName val="수입차"/>
      <sheetName val="Sheet1"/>
    </sheetNames>
    <sheetDataSet>
      <sheetData sheetId="0"/>
      <sheetData sheetId="1">
        <row r="46">
          <cell r="GO46" t="str">
            <v>제작사</v>
          </cell>
        </row>
      </sheetData>
      <sheetData sheetId="2"/>
      <sheetData sheetId="3"/>
      <sheetData sheetId="4"/>
      <sheetData sheetId="5"/>
      <sheetData sheetId="6"/>
      <sheetData sheetId="7"/>
      <sheetData sheetId="8">
        <row r="6">
          <cell r="B6" t="str">
            <v>차종</v>
          </cell>
        </row>
        <row r="23">
          <cell r="B23" t="str">
            <v>엑센트 4D 1.4</v>
          </cell>
        </row>
        <row r="24">
          <cell r="B24" t="str">
            <v>엑센트 4D 1.6</v>
          </cell>
        </row>
        <row r="25">
          <cell r="B25" t="str">
            <v>엑센트 4D 1.6(디젤)</v>
          </cell>
        </row>
        <row r="26">
          <cell r="B26" t="str">
            <v>엑센트 5D 1.4</v>
          </cell>
        </row>
        <row r="27">
          <cell r="B27" t="str">
            <v>엑센트 5D 1.6</v>
          </cell>
        </row>
        <row r="28">
          <cell r="B28" t="str">
            <v>엑센트 5D 1.6(디젤)</v>
          </cell>
        </row>
        <row r="29">
          <cell r="B29" t="str">
            <v>아반떼AD1.6</v>
          </cell>
        </row>
        <row r="30">
          <cell r="B30" t="str">
            <v>아반떼AD1.6(디젤)</v>
          </cell>
        </row>
        <row r="31">
          <cell r="B31" t="str">
            <v>아반떼AD2.0</v>
          </cell>
        </row>
        <row r="32">
          <cell r="B32" t="str">
            <v>아반떼AD1.6 LPG</v>
          </cell>
        </row>
        <row r="33">
          <cell r="B33" t="str">
            <v>아이오닉 하이브리드</v>
          </cell>
        </row>
        <row r="34">
          <cell r="B34" t="str">
            <v>i 30 2.0</v>
          </cell>
        </row>
        <row r="35">
          <cell r="B35" t="str">
            <v>i 30 1.6(디젤)</v>
          </cell>
        </row>
        <row r="36">
          <cell r="B36" t="str">
            <v>i 40 1.7(디젤)</v>
          </cell>
        </row>
        <row r="37">
          <cell r="B37" t="str">
            <v>i 40 2.0</v>
          </cell>
        </row>
        <row r="38">
          <cell r="B38" t="str">
            <v>i 40 Saloon 1.7(디젤)</v>
          </cell>
        </row>
        <row r="39">
          <cell r="B39" t="str">
            <v>i 40 Saloon 2.0</v>
          </cell>
        </row>
        <row r="40">
          <cell r="B40" t="str">
            <v>쏘나타 NR 1.6</v>
          </cell>
        </row>
        <row r="41">
          <cell r="B41" t="str">
            <v>쏘나타 NR 1.7</v>
          </cell>
        </row>
        <row r="42">
          <cell r="B42" t="str">
            <v>쏘나타 NR 2.0</v>
          </cell>
        </row>
        <row r="43">
          <cell r="B43" t="str">
            <v>쏘나타 NR 2.0터보</v>
          </cell>
        </row>
        <row r="44">
          <cell r="B44" t="str">
            <v>쏘나타 NR LPG</v>
          </cell>
        </row>
        <row r="45">
          <cell r="B45" t="str">
            <v>쏘나타 NR (하이브리드)</v>
          </cell>
        </row>
        <row r="46">
          <cell r="B46" t="str">
            <v>그랜져 IG 2.2(디젤)</v>
          </cell>
        </row>
        <row r="47">
          <cell r="B47" t="str">
            <v>그랜져 IG 2.4</v>
          </cell>
        </row>
        <row r="48">
          <cell r="B48" t="str">
            <v>그랜져 IG 3.0</v>
          </cell>
        </row>
        <row r="49">
          <cell r="B49" t="str">
            <v>그랜져 IG 3.3</v>
          </cell>
        </row>
        <row r="50">
          <cell r="B50" t="str">
            <v>그랜져 IG 300 LPG</v>
          </cell>
        </row>
        <row r="51">
          <cell r="B51" t="str">
            <v xml:space="preserve">[렌터카]그랜져 IG 240 </v>
          </cell>
        </row>
        <row r="52">
          <cell r="B52" t="str">
            <v>[렌터카]그랜져 IG 300</v>
          </cell>
        </row>
        <row r="53">
          <cell r="B53" t="str">
            <v>그랜져 IG(하이브리드)</v>
          </cell>
        </row>
        <row r="54">
          <cell r="B54" t="str">
            <v>아슬란 G300</v>
          </cell>
        </row>
        <row r="55">
          <cell r="B55" t="str">
            <v>아슬란 G330</v>
          </cell>
        </row>
        <row r="56">
          <cell r="B56" t="str">
            <v>G70 2.2D</v>
          </cell>
        </row>
        <row r="57">
          <cell r="B57" t="str">
            <v>G70 2.0T</v>
          </cell>
        </row>
        <row r="58">
          <cell r="B58" t="str">
            <v>G70 3.3T</v>
          </cell>
        </row>
        <row r="59">
          <cell r="B59" t="str">
            <v>G80 3.3</v>
          </cell>
        </row>
        <row r="60">
          <cell r="B60" t="str">
            <v>G80 Sport 3.3T</v>
          </cell>
        </row>
        <row r="61">
          <cell r="B61" t="str">
            <v>G80 3.8</v>
          </cell>
        </row>
        <row r="62">
          <cell r="B62" t="str">
            <v>G80 3.8 Finest</v>
          </cell>
        </row>
        <row r="63">
          <cell r="B63" t="str">
            <v>EQ900 3.8 (럭셔리)</v>
          </cell>
        </row>
        <row r="64">
          <cell r="B64" t="str">
            <v>EQ900 3.3T (럭셔리)</v>
          </cell>
        </row>
        <row r="65">
          <cell r="B65" t="str">
            <v>EQ900 3.8 (프리미엄)</v>
          </cell>
        </row>
        <row r="66">
          <cell r="B66" t="str">
            <v>EQ900 3.3T (프리미엄)</v>
          </cell>
        </row>
        <row r="67">
          <cell r="B67" t="str">
            <v>EQ900 3.8 (프레스티지)</v>
          </cell>
        </row>
        <row r="68">
          <cell r="B68" t="str">
            <v>EQ900 3.3T (프레스티지)</v>
          </cell>
        </row>
        <row r="69">
          <cell r="B69" t="str">
            <v>EQ900 5.0</v>
          </cell>
        </row>
        <row r="70">
          <cell r="B70" t="str">
            <v>코나 1.6 가솔린</v>
          </cell>
        </row>
        <row r="71">
          <cell r="B71" t="str">
            <v>코나 1.6 디젤</v>
          </cell>
        </row>
        <row r="72">
          <cell r="B72" t="str">
            <v>투싼 1.6(가솔린)</v>
          </cell>
        </row>
        <row r="73">
          <cell r="B73" t="str">
            <v>투싼 1.7(디젤)</v>
          </cell>
        </row>
        <row r="74">
          <cell r="B74" t="str">
            <v>투싼 2.0(디젤)</v>
          </cell>
        </row>
        <row r="75">
          <cell r="B75" t="str">
            <v>싼타페2.0T가솔린 (5P)</v>
          </cell>
        </row>
        <row r="76">
          <cell r="B76" t="str">
            <v>싼타페2.0T가솔린 (7P)</v>
          </cell>
        </row>
        <row r="77">
          <cell r="B77" t="str">
            <v>싼타페 R2.0 (5P)</v>
          </cell>
        </row>
        <row r="78">
          <cell r="B78" t="str">
            <v>싼타페 R2.0 (7P)</v>
          </cell>
        </row>
        <row r="79">
          <cell r="B79" t="str">
            <v>싼타페 R2.2 (5P)</v>
          </cell>
        </row>
        <row r="80">
          <cell r="B80" t="str">
            <v>싼타페 R2.2 (7P)</v>
          </cell>
        </row>
        <row r="81">
          <cell r="B81" t="str">
            <v>맥스크루즈2.2(6P)</v>
          </cell>
        </row>
        <row r="82">
          <cell r="B82" t="str">
            <v>맥스크루즈2.2(7P)</v>
          </cell>
        </row>
        <row r="83">
          <cell r="B83" t="str">
            <v>맥스크루즈3.3(6P)</v>
          </cell>
        </row>
        <row r="84">
          <cell r="B84" t="str">
            <v>맥스크루즈3.3(7P)</v>
          </cell>
        </row>
        <row r="85">
          <cell r="B85" t="str">
            <v>G스타렉스2.5디젤</v>
          </cell>
        </row>
        <row r="86">
          <cell r="B86" t="str">
            <v>G스타렉스2.4LPI</v>
          </cell>
        </row>
        <row r="87">
          <cell r="B87" t="str">
            <v>G스타렉스하이리무진</v>
          </cell>
        </row>
        <row r="88">
          <cell r="B88">
            <v>0</v>
          </cell>
        </row>
        <row r="89">
          <cell r="B89">
            <v>0</v>
          </cell>
        </row>
        <row r="90">
          <cell r="B90" t="str">
            <v>New 모닝</v>
          </cell>
        </row>
        <row r="91">
          <cell r="B91" t="str">
            <v>New 모닝 LPi</v>
          </cell>
        </row>
        <row r="92">
          <cell r="B92" t="str">
            <v>New 모닝 밴</v>
          </cell>
        </row>
        <row r="93">
          <cell r="B93" t="str">
            <v>레이</v>
          </cell>
        </row>
        <row r="94">
          <cell r="B94" t="str">
            <v>레이 바이퓨얼</v>
          </cell>
        </row>
        <row r="95">
          <cell r="B95" t="str">
            <v>레이 밴</v>
          </cell>
        </row>
        <row r="96">
          <cell r="B96" t="str">
            <v>K3 1.6</v>
          </cell>
        </row>
        <row r="97">
          <cell r="B97" t="str">
            <v>K3 1.6 디젤</v>
          </cell>
        </row>
        <row r="98">
          <cell r="B98" t="str">
            <v>쏘울 1.6</v>
          </cell>
        </row>
        <row r="99">
          <cell r="B99" t="str">
            <v>쏘울 1.6 (디젤)</v>
          </cell>
        </row>
        <row r="100">
          <cell r="B100" t="str">
            <v>K5 1.6 터보</v>
          </cell>
        </row>
        <row r="101">
          <cell r="B101" t="str">
            <v>K5 1.7 디젤</v>
          </cell>
        </row>
        <row r="102">
          <cell r="B102" t="str">
            <v>K5 2.0</v>
          </cell>
        </row>
        <row r="103">
          <cell r="B103" t="str">
            <v>K5 2.0 LPG</v>
          </cell>
        </row>
        <row r="104">
          <cell r="B104" t="str">
            <v>K5(하이브리드)</v>
          </cell>
        </row>
        <row r="105">
          <cell r="B105" t="str">
            <v>[18My]K7 2.2 디젤</v>
          </cell>
        </row>
        <row r="106">
          <cell r="B106" t="str">
            <v>[18My]K7 2.4</v>
          </cell>
        </row>
        <row r="107">
          <cell r="B107" t="str">
            <v>[18My]K7 3.0</v>
          </cell>
        </row>
        <row r="108">
          <cell r="B108" t="str">
            <v>[18My]K7 3.3</v>
          </cell>
        </row>
        <row r="109">
          <cell r="B109" t="str">
            <v>[18My]K7 3.0 LPG</v>
          </cell>
        </row>
        <row r="110">
          <cell r="B110" t="str">
            <v>[18My]K7(하이브리드)</v>
          </cell>
        </row>
        <row r="111">
          <cell r="B111" t="str">
            <v>스팅어 2.2 디젤</v>
          </cell>
        </row>
        <row r="112">
          <cell r="B112" t="str">
            <v>스팅어 2.0 터보 가솔린</v>
          </cell>
        </row>
        <row r="113">
          <cell r="B113" t="str">
            <v>스팅어 3.3 터보 가솔린</v>
          </cell>
        </row>
        <row r="114">
          <cell r="B114" t="str">
            <v>K9 3.3</v>
          </cell>
        </row>
        <row r="115">
          <cell r="B115" t="str">
            <v>K9 3.8</v>
          </cell>
        </row>
        <row r="116">
          <cell r="B116" t="str">
            <v>K9 5.0</v>
          </cell>
        </row>
        <row r="117">
          <cell r="B117" t="str">
            <v>니로 하이브리드</v>
          </cell>
        </row>
        <row r="118">
          <cell r="B118" t="str">
            <v>스토닉 1.6</v>
          </cell>
        </row>
        <row r="119">
          <cell r="B119" t="str">
            <v>스토닉 1.4</v>
          </cell>
        </row>
        <row r="120">
          <cell r="B120" t="str">
            <v>스포티지R 누우 2.0</v>
          </cell>
        </row>
        <row r="121">
          <cell r="B121" t="str">
            <v>스포티지R 2.0</v>
          </cell>
        </row>
        <row r="122">
          <cell r="B122" t="str">
            <v>스포티지U2 1.7</v>
          </cell>
        </row>
        <row r="123">
          <cell r="B123" t="str">
            <v>[18My]쏘렌토2.0T(5P)</v>
          </cell>
        </row>
        <row r="124">
          <cell r="B124" t="str">
            <v>[18My]쏘렌토2.0T(7P)</v>
          </cell>
        </row>
        <row r="125">
          <cell r="B125" t="str">
            <v>[18My]쏘렌토R 2.0(5P)</v>
          </cell>
        </row>
        <row r="126">
          <cell r="B126" t="str">
            <v>[18My]쏘렌토R 2.0(7P)</v>
          </cell>
        </row>
        <row r="127">
          <cell r="B127" t="str">
            <v>[18My]쏘렌토R 2.2(5P)</v>
          </cell>
        </row>
        <row r="128">
          <cell r="B128" t="str">
            <v>[18My]쏘렌토R 2.2(7P)</v>
          </cell>
        </row>
        <row r="129">
          <cell r="B129" t="str">
            <v>모하비 (5P)</v>
          </cell>
        </row>
        <row r="130">
          <cell r="B130" t="str">
            <v>모하비 (7P)</v>
          </cell>
        </row>
        <row r="131">
          <cell r="B131" t="str">
            <v>카렌스 2.0 LPI(7P)</v>
          </cell>
        </row>
        <row r="132">
          <cell r="B132" t="str">
            <v>카렌스 1.7(디젤)(5P)</v>
          </cell>
        </row>
        <row r="133">
          <cell r="B133" t="str">
            <v>카렌스 2.0 LPI(렌터카)</v>
          </cell>
        </row>
        <row r="134">
          <cell r="B134" t="str">
            <v>카니발 2.2 (9P)</v>
          </cell>
        </row>
        <row r="135">
          <cell r="B135" t="str">
            <v>카니발 2.2 (11P)</v>
          </cell>
        </row>
        <row r="136">
          <cell r="B136" t="str">
            <v>카니발 3.3 (9P)</v>
          </cell>
        </row>
        <row r="137">
          <cell r="B137" t="str">
            <v>카니발 2.2리무진(7P)</v>
          </cell>
        </row>
        <row r="138">
          <cell r="B138" t="str">
            <v>카니발 3.3리무진(7P)</v>
          </cell>
        </row>
        <row r="139">
          <cell r="B139" t="str">
            <v>카니발2.2하이리무진(7P)</v>
          </cell>
        </row>
        <row r="140">
          <cell r="B140" t="str">
            <v>카니발2.2하이리무진(9P)</v>
          </cell>
        </row>
        <row r="141">
          <cell r="B141" t="str">
            <v>카니발2.2하이리무진(11P)</v>
          </cell>
        </row>
        <row r="142">
          <cell r="B142" t="str">
            <v>카니발 3.3하이리무진(7P)</v>
          </cell>
        </row>
        <row r="143">
          <cell r="B143" t="str">
            <v>카니발 3.3하이리무진(9P)</v>
          </cell>
        </row>
        <row r="144">
          <cell r="B144" t="str">
            <v>카니발 아웃도어(7P)</v>
          </cell>
        </row>
        <row r="145">
          <cell r="B145" t="str">
            <v>카니발 아웃도어(9P)</v>
          </cell>
        </row>
        <row r="146">
          <cell r="B146" t="str">
            <v>카니발 아웃도어(11P)</v>
          </cell>
        </row>
        <row r="147">
          <cell r="B147">
            <v>0</v>
          </cell>
        </row>
        <row r="148">
          <cell r="B148">
            <v>0</v>
          </cell>
        </row>
        <row r="149">
          <cell r="B149" t="str">
            <v>스파크</v>
          </cell>
        </row>
        <row r="150">
          <cell r="B150" t="str">
            <v>스파크 밴</v>
          </cell>
        </row>
        <row r="151">
          <cell r="B151" t="str">
            <v>아베오1.4터보</v>
          </cell>
        </row>
        <row r="152">
          <cell r="B152" t="str">
            <v>아베오1.6</v>
          </cell>
        </row>
        <row r="153">
          <cell r="B153" t="str">
            <v>트랙스 1.4</v>
          </cell>
        </row>
        <row r="154">
          <cell r="B154" t="str">
            <v>트랙스 1.6</v>
          </cell>
        </row>
        <row r="155">
          <cell r="B155" t="str">
            <v>[17My특가]크루즈 1.4</v>
          </cell>
        </row>
        <row r="156">
          <cell r="B156" t="str">
            <v>[18My]크루즈 1.4</v>
          </cell>
        </row>
        <row r="157">
          <cell r="B157" t="str">
            <v>[18My]크루즈 1.6</v>
          </cell>
        </row>
        <row r="158">
          <cell r="B158" t="str">
            <v>All New 말리부 1.5</v>
          </cell>
        </row>
        <row r="159">
          <cell r="B159" t="str">
            <v>All New 말리부 2.0</v>
          </cell>
        </row>
        <row r="160">
          <cell r="B160" t="str">
            <v>AllNew말리부(하이브리드)</v>
          </cell>
        </row>
        <row r="161">
          <cell r="B161" t="str">
            <v>캡티바</v>
          </cell>
        </row>
        <row r="162">
          <cell r="B162" t="str">
            <v>올란도 1.6</v>
          </cell>
        </row>
        <row r="163">
          <cell r="B163" t="str">
            <v>올란도 2.0</v>
          </cell>
        </row>
        <row r="164">
          <cell r="B164" t="str">
            <v>올란도 2.0 LPG</v>
          </cell>
        </row>
        <row r="165">
          <cell r="B165" t="str">
            <v>올란도 2.0 렌터카</v>
          </cell>
        </row>
        <row r="166">
          <cell r="B166" t="str">
            <v>올란도 2.0 렌터카 (5P)</v>
          </cell>
        </row>
        <row r="167">
          <cell r="B167" t="str">
            <v>[17My특가]임팔라 2.5</v>
          </cell>
        </row>
        <row r="168">
          <cell r="B168" t="str">
            <v>임팔라 2.5</v>
          </cell>
        </row>
        <row r="169">
          <cell r="B169" t="str">
            <v>임팔라 3.6</v>
          </cell>
        </row>
        <row r="170">
          <cell r="B170">
            <v>0</v>
          </cell>
        </row>
        <row r="171">
          <cell r="B171">
            <v>0</v>
          </cell>
        </row>
        <row r="172">
          <cell r="B172" t="str">
            <v>G4 5P(Luxury,Prime)</v>
          </cell>
        </row>
        <row r="173">
          <cell r="B173" t="str">
            <v>G4 5P(유라시아)</v>
          </cell>
        </row>
        <row r="174">
          <cell r="B174" t="str">
            <v>G4 5P(Majesty,Heritage)</v>
          </cell>
        </row>
        <row r="175">
          <cell r="B175" t="str">
            <v>G4 7P(Luxury,Prime)</v>
          </cell>
        </row>
        <row r="176">
          <cell r="B176" t="str">
            <v>G4 7P(유라시아)</v>
          </cell>
        </row>
        <row r="177">
          <cell r="B177" t="str">
            <v>G4 7P(Majesty,Heritage)</v>
          </cell>
        </row>
        <row r="178">
          <cell r="B178" t="str">
            <v>뉴코란도 C 2.2</v>
          </cell>
        </row>
        <row r="179">
          <cell r="B179" t="str">
            <v>티볼리 가솔린</v>
          </cell>
        </row>
        <row r="180">
          <cell r="B180" t="str">
            <v>티볼리 디젤</v>
          </cell>
        </row>
        <row r="181">
          <cell r="B181" t="str">
            <v>티볼리에어 가솔린</v>
          </cell>
        </row>
        <row r="182">
          <cell r="B182" t="str">
            <v>티볼리에어 디젤</v>
          </cell>
        </row>
        <row r="183">
          <cell r="B183" t="str">
            <v>티볼리아머 가솔린</v>
          </cell>
        </row>
        <row r="184">
          <cell r="B184" t="str">
            <v>티볼리아머 디젤</v>
          </cell>
        </row>
        <row r="185">
          <cell r="B185" t="str">
            <v>코란도 투리스모(9P)</v>
          </cell>
        </row>
        <row r="186">
          <cell r="B186" t="str">
            <v>코란도 투리스모(11P)</v>
          </cell>
        </row>
        <row r="187">
          <cell r="B187" t="str">
            <v>투리스모 샤토(9P)</v>
          </cell>
        </row>
        <row r="188">
          <cell r="B188" t="str">
            <v>투리스모 샤토(11P)</v>
          </cell>
        </row>
        <row r="189">
          <cell r="B189">
            <v>0</v>
          </cell>
        </row>
      </sheetData>
      <sheetData sheetId="9"/>
      <sheetData sheetId="10">
        <row r="24">
          <cell r="E24">
            <v>991800</v>
          </cell>
        </row>
      </sheetData>
      <sheetData sheetId="11"/>
      <sheetData sheetId="12"/>
      <sheetData sheetId="13"/>
      <sheetData sheetId="14"/>
      <sheetData sheetId="15"/>
      <sheetData sheetId="16"/>
      <sheetData sheetId="17"/>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중요정보"/>
      <sheetName val="보조금"/>
      <sheetName val="차량정보"/>
      <sheetName val="잔가_직매각"/>
      <sheetName val="탁송"/>
      <sheetName val="용품"/>
      <sheetName val="공채"/>
      <sheetName val="(지점장)"/>
      <sheetName val="(AG수수료)"/>
      <sheetName val="운용리스"/>
      <sheetName val="조건출력(운용)"/>
      <sheetName val="금융리스"/>
      <sheetName val="조건출력(금융)"/>
      <sheetName val="전기차특약"/>
    </sheetNames>
    <sheetDataSet>
      <sheetData sheetId="0"/>
      <sheetData sheetId="1"/>
      <sheetData sheetId="2"/>
      <sheetData sheetId="3"/>
      <sheetData sheetId="4">
        <row r="7">
          <cell r="I7" t="str">
            <v>광역시</v>
          </cell>
        </row>
        <row r="8">
          <cell r="I8" t="str">
            <v>경기</v>
          </cell>
        </row>
        <row r="9">
          <cell r="I9" t="str">
            <v>강원</v>
          </cell>
        </row>
        <row r="10">
          <cell r="I10" t="str">
            <v>충북</v>
          </cell>
        </row>
        <row r="11">
          <cell r="I11" t="str">
            <v>충남</v>
          </cell>
        </row>
        <row r="12">
          <cell r="I12" t="str">
            <v>경북</v>
          </cell>
        </row>
        <row r="13">
          <cell r="I13" t="str">
            <v>경남</v>
          </cell>
        </row>
        <row r="14">
          <cell r="I14" t="str">
            <v>전북</v>
          </cell>
        </row>
        <row r="15">
          <cell r="I15" t="str">
            <v>전남</v>
          </cell>
        </row>
        <row r="16">
          <cell r="I16" t="str">
            <v>제주</v>
          </cell>
        </row>
        <row r="17">
          <cell r="I17">
            <v>0</v>
          </cell>
        </row>
        <row r="18">
          <cell r="I18">
            <v>0</v>
          </cell>
        </row>
        <row r="39">
          <cell r="I39" t="str">
            <v>서울</v>
          </cell>
        </row>
        <row r="40">
          <cell r="I40" t="str">
            <v>경기남부</v>
          </cell>
        </row>
        <row r="41">
          <cell r="I41" t="str">
            <v>경기북부</v>
          </cell>
        </row>
        <row r="42">
          <cell r="I42" t="str">
            <v>인천</v>
          </cell>
        </row>
        <row r="43">
          <cell r="I43" t="str">
            <v>강원</v>
          </cell>
        </row>
        <row r="44">
          <cell r="I44" t="str">
            <v>충북</v>
          </cell>
        </row>
        <row r="45">
          <cell r="I45" t="str">
            <v>충남</v>
          </cell>
        </row>
        <row r="46">
          <cell r="I46" t="str">
            <v>경북</v>
          </cell>
        </row>
        <row r="47">
          <cell r="I47" t="str">
            <v>경남</v>
          </cell>
        </row>
        <row r="48">
          <cell r="I48" t="str">
            <v>전북</v>
          </cell>
        </row>
        <row r="49">
          <cell r="I49" t="str">
            <v>전남</v>
          </cell>
        </row>
        <row r="50">
          <cell r="I50" t="str">
            <v>제주</v>
          </cell>
        </row>
        <row r="51">
          <cell r="I51">
            <v>0</v>
          </cell>
        </row>
        <row r="52">
          <cell r="I52">
            <v>0</v>
          </cell>
        </row>
      </sheetData>
      <sheetData sheetId="5"/>
      <sheetData sheetId="6">
        <row r="6">
          <cell r="L6" t="str">
            <v>서울</v>
          </cell>
        </row>
        <row r="7">
          <cell r="L7" t="str">
            <v>인천</v>
          </cell>
        </row>
        <row r="8">
          <cell r="L8" t="str">
            <v>대전</v>
          </cell>
        </row>
        <row r="9">
          <cell r="L9" t="str">
            <v>세종</v>
          </cell>
        </row>
        <row r="10">
          <cell r="L10" t="str">
            <v>부산</v>
          </cell>
        </row>
        <row r="11">
          <cell r="L11" t="str">
            <v>대구</v>
          </cell>
        </row>
        <row r="12">
          <cell r="L12" t="str">
            <v>울산</v>
          </cell>
        </row>
        <row r="13">
          <cell r="L13" t="str">
            <v>광주</v>
          </cell>
        </row>
        <row r="14">
          <cell r="L14" t="str">
            <v>경기</v>
          </cell>
        </row>
        <row r="15">
          <cell r="L15" t="str">
            <v>강원</v>
          </cell>
        </row>
        <row r="16">
          <cell r="L16" t="str">
            <v>충남</v>
          </cell>
        </row>
        <row r="17">
          <cell r="L17" t="str">
            <v>충북</v>
          </cell>
        </row>
        <row r="18">
          <cell r="L18" t="str">
            <v>경남</v>
          </cell>
        </row>
        <row r="19">
          <cell r="L19" t="str">
            <v>경북</v>
          </cell>
        </row>
        <row r="20">
          <cell r="L20" t="str">
            <v>전남</v>
          </cell>
        </row>
        <row r="21">
          <cell r="L21" t="str">
            <v>전북</v>
          </cell>
        </row>
        <row r="22">
          <cell r="L22" t="str">
            <v>제주</v>
          </cell>
        </row>
      </sheetData>
      <sheetData sheetId="7"/>
      <sheetData sheetId="8"/>
      <sheetData sheetId="9"/>
      <sheetData sheetId="10"/>
      <sheetData sheetId="11"/>
      <sheetData sheetId="12"/>
      <sheetData sheetId="1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GB캐피탈_렌터카 공지사항"/>
      <sheetName val="견적서및입력시트"/>
      <sheetName val="전산입력용"/>
      <sheetName val="실행요청서"/>
      <sheetName val="발주요청서"/>
      <sheetName val="차량_List"/>
      <sheetName val="운영기준"/>
      <sheetName val="정비"/>
      <sheetName val="정비_차종list"/>
      <sheetName val="잔가보장사_잔가"/>
      <sheetName val="기타_용품"/>
      <sheetName val="잔가"/>
      <sheetName val="보험"/>
      <sheetName val="탁송"/>
      <sheetName val="CF"/>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GB캐피탈_렌터카 공지사항"/>
      <sheetName val="견적서및입력시트"/>
      <sheetName val="전산입력용"/>
      <sheetName val="실행요청서"/>
      <sheetName val="발주요청서"/>
      <sheetName val="차량_List"/>
      <sheetName val="운영기준"/>
      <sheetName val="정비"/>
      <sheetName val="정비_차종list"/>
      <sheetName val="잔가보장사_잔가"/>
      <sheetName val="기타_용품"/>
      <sheetName val="잔가"/>
      <sheetName val="보험"/>
      <sheetName val="탁송"/>
      <sheetName val="CF"/>
      <sheetName val="Sheet1"/>
    </sheetNames>
    <sheetDataSet>
      <sheetData sheetId="0"/>
      <sheetData sheetId="1">
        <row r="6">
          <cell r="DM6">
            <v>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GB캐피탈_렌터카 공지사항"/>
      <sheetName val="견적서및입력시트"/>
      <sheetName val="전산입력용"/>
      <sheetName val="실행요청서"/>
      <sheetName val="발주요청서"/>
      <sheetName val="차량_List"/>
      <sheetName val="운영기준"/>
      <sheetName val="정비"/>
      <sheetName val="정비_차종list"/>
      <sheetName val="잔가보장사_잔가"/>
      <sheetName val="기타_용품"/>
      <sheetName val="잔가"/>
      <sheetName val="보험"/>
      <sheetName val="탁송"/>
      <sheetName val="CF"/>
      <sheetName val="Sheet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bg1"/>
        </a:solidFill>
        <a:ln>
          <a:solidFill>
            <a:schemeClr val="bg1"/>
          </a:solidFill>
        </a:ln>
      </a:spPr>
      <a:bodyPr vertOverflow="clip" horzOverflow="clip" rtlCol="0" anchor="t"/>
      <a:lstStyle>
        <a:defPPr algn="l">
          <a:defRPr sz="1100"/>
        </a:defPPr>
      </a:lstStyle>
      <a:style>
        <a:lnRef idx="2">
          <a:schemeClr val="dk1"/>
        </a:lnRef>
        <a:fillRef idx="1">
          <a:schemeClr val="lt1"/>
        </a:fillRef>
        <a:effectRef idx="0">
          <a:schemeClr val="dk1"/>
        </a:effectRef>
        <a:fontRef idx="minor">
          <a:schemeClr val="dk1"/>
        </a:fontRef>
      </a:style>
    </a:spDef>
    <a:lnDef>
      <a:spPr>
        <a:ln>
          <a:headEnd type="triangle"/>
          <a:tailEnd type="triangle"/>
        </a:ln>
      </a:spPr>
      <a:bodyPr/>
      <a:lstStyle/>
      <a:style>
        <a:lnRef idx="3">
          <a:schemeClr val="dk1"/>
        </a:lnRef>
        <a:fillRef idx="0">
          <a:schemeClr val="dk1"/>
        </a:fillRef>
        <a:effectRef idx="2">
          <a:schemeClr val="dk1"/>
        </a:effectRef>
        <a:fontRef idx="minor">
          <a:schemeClr val="tx1"/>
        </a:fontRef>
      </a: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ctrlProp" Target="../ctrlProps/ctrlProp14.xml"/><Relationship Id="rId3" Type="http://schemas.openxmlformats.org/officeDocument/2006/relationships/vmlDrawing" Target="../drawings/vmlDrawing2.vml"/><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drawing" Target="../drawings/drawing2.xml"/><Relationship Id="rId16" Type="http://schemas.openxmlformats.org/officeDocument/2006/relationships/ctrlProp" Target="../ctrlProps/ctrlProp17.xml"/><Relationship Id="rId1" Type="http://schemas.openxmlformats.org/officeDocument/2006/relationships/printerSettings" Target="../printerSettings/printerSettings2.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ctrlProp" Target="../ctrlProps/ctrlProp6.xml"/><Relationship Id="rId15" Type="http://schemas.openxmlformats.org/officeDocument/2006/relationships/ctrlProp" Target="../ctrlProps/ctrlProp16.xml"/><Relationship Id="rId10" Type="http://schemas.openxmlformats.org/officeDocument/2006/relationships/ctrlProp" Target="../ctrlProps/ctrlProp11.xml"/><Relationship Id="rId4" Type="http://schemas.openxmlformats.org/officeDocument/2006/relationships/ctrlProp" Target="../ctrlProps/ctrlProp5.xml"/><Relationship Id="rId9" Type="http://schemas.openxmlformats.org/officeDocument/2006/relationships/ctrlProp" Target="../ctrlProps/ctrlProp10.xml"/><Relationship Id="rId14" Type="http://schemas.openxmlformats.org/officeDocument/2006/relationships/ctrlProp" Target="../ctrlProps/ctrlProp15.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22.xml"/><Relationship Id="rId3" Type="http://schemas.openxmlformats.org/officeDocument/2006/relationships/vmlDrawing" Target="../drawings/vmlDrawing3.vml"/><Relationship Id="rId7" Type="http://schemas.openxmlformats.org/officeDocument/2006/relationships/ctrlProp" Target="../ctrlProps/ctrlProp21.xml"/><Relationship Id="rId12" Type="http://schemas.openxmlformats.org/officeDocument/2006/relationships/ctrlProp" Target="../ctrlProps/ctrlProp26.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20.xml"/><Relationship Id="rId11" Type="http://schemas.openxmlformats.org/officeDocument/2006/relationships/ctrlProp" Target="../ctrlProps/ctrlProp25.xml"/><Relationship Id="rId5" Type="http://schemas.openxmlformats.org/officeDocument/2006/relationships/ctrlProp" Target="../ctrlProps/ctrlProp19.xml"/><Relationship Id="rId10" Type="http://schemas.openxmlformats.org/officeDocument/2006/relationships/ctrlProp" Target="../ctrlProps/ctrlProp24.xml"/><Relationship Id="rId4" Type="http://schemas.openxmlformats.org/officeDocument/2006/relationships/ctrlProp" Target="../ctrlProps/ctrlProp18.xml"/><Relationship Id="rId9" Type="http://schemas.openxmlformats.org/officeDocument/2006/relationships/ctrlProp" Target="../ctrlProps/ctrlProp2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1.xml"/><Relationship Id="rId13" Type="http://schemas.openxmlformats.org/officeDocument/2006/relationships/ctrlProp" Target="../ctrlProps/ctrlProp36.xml"/><Relationship Id="rId3" Type="http://schemas.openxmlformats.org/officeDocument/2006/relationships/vmlDrawing" Target="../drawings/vmlDrawing4.vml"/><Relationship Id="rId7" Type="http://schemas.openxmlformats.org/officeDocument/2006/relationships/ctrlProp" Target="../ctrlProps/ctrlProp30.xml"/><Relationship Id="rId12" Type="http://schemas.openxmlformats.org/officeDocument/2006/relationships/ctrlProp" Target="../ctrlProps/ctrlProp35.xml"/><Relationship Id="rId2" Type="http://schemas.openxmlformats.org/officeDocument/2006/relationships/drawing" Target="../drawings/drawing5.xml"/><Relationship Id="rId1" Type="http://schemas.openxmlformats.org/officeDocument/2006/relationships/printerSettings" Target="../printerSettings/printerSettings8.bin"/><Relationship Id="rId6" Type="http://schemas.openxmlformats.org/officeDocument/2006/relationships/ctrlProp" Target="../ctrlProps/ctrlProp29.xml"/><Relationship Id="rId11" Type="http://schemas.openxmlformats.org/officeDocument/2006/relationships/ctrlProp" Target="../ctrlProps/ctrlProp34.xml"/><Relationship Id="rId5" Type="http://schemas.openxmlformats.org/officeDocument/2006/relationships/ctrlProp" Target="../ctrlProps/ctrlProp28.xml"/><Relationship Id="rId10" Type="http://schemas.openxmlformats.org/officeDocument/2006/relationships/ctrlProp" Target="../ctrlProps/ctrlProp33.xml"/><Relationship Id="rId4" Type="http://schemas.openxmlformats.org/officeDocument/2006/relationships/ctrlProp" Target="../ctrlProps/ctrlProp27.xml"/><Relationship Id="rId9" Type="http://schemas.openxmlformats.org/officeDocument/2006/relationships/ctrlProp" Target="../ctrlProps/ctrlProp3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omments" Target="../comments1.xml"/><Relationship Id="rId2" Type="http://schemas.openxmlformats.org/officeDocument/2006/relationships/drawing" Target="../drawings/drawing8.xml"/><Relationship Id="rId1" Type="http://schemas.openxmlformats.org/officeDocument/2006/relationships/printerSettings" Target="../printerSettings/printerSettings14.bin"/><Relationship Id="rId6" Type="http://schemas.openxmlformats.org/officeDocument/2006/relationships/ctrlProp" Target="../ctrlProps/ctrlProp39.xml"/><Relationship Id="rId5" Type="http://schemas.openxmlformats.org/officeDocument/2006/relationships/ctrlProp" Target="../ctrlProps/ctrlProp38.xml"/><Relationship Id="rId4" Type="http://schemas.openxmlformats.org/officeDocument/2006/relationships/ctrlProp" Target="../ctrlProps/ctrlProp37.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16.bin"/><Relationship Id="rId4" Type="http://schemas.openxmlformats.org/officeDocument/2006/relationships/ctrlProp" Target="../ctrlProps/ctrlProp40.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41.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4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tabColor rgb="FF92D050"/>
  </sheetPr>
  <dimension ref="J1:AS51"/>
  <sheetViews>
    <sheetView showGridLines="0" zoomScaleNormal="100" workbookViewId="0">
      <selection activeCell="Z18" sqref="Z18"/>
    </sheetView>
  </sheetViews>
  <sheetFormatPr defaultColWidth="9" defaultRowHeight="16.5" zeroHeight="1"/>
  <cols>
    <col min="1" max="18" width="2" style="29" customWidth="1"/>
    <col min="19" max="27" width="2.875" style="29" customWidth="1"/>
    <col min="28" max="28" width="2.375" style="29" customWidth="1"/>
    <col min="29" max="29" width="3.375" style="29" customWidth="1"/>
    <col min="30" max="30" width="7.875" style="29" customWidth="1"/>
    <col min="31" max="31" width="17.5" style="29" customWidth="1"/>
    <col min="32" max="34" width="14.25" style="29" hidden="1" customWidth="1"/>
    <col min="35" max="35" width="18" style="29" customWidth="1"/>
    <col min="36" max="44" width="7.875" style="29" customWidth="1"/>
    <col min="45" max="45" width="39.375" style="29" customWidth="1"/>
    <col min="46" max="46" width="7.875" style="29" customWidth="1"/>
    <col min="47" max="67" width="3.375" style="29" customWidth="1"/>
    <col min="68" max="68" width="30.625" style="29" customWidth="1"/>
    <col min="69" max="16384" width="9" style="29"/>
  </cols>
  <sheetData>
    <row r="1" spans="10:45" ht="17.25" thickBot="1"/>
    <row r="2" spans="10:45" s="722" customFormat="1" ht="39.75" customHeight="1" thickBot="1">
      <c r="AK2" s="1317" t="s">
        <v>1255</v>
      </c>
      <c r="AL2" s="1318"/>
      <c r="AM2" s="1318"/>
      <c r="AN2" s="1318"/>
      <c r="AO2" s="1318"/>
      <c r="AP2" s="1318"/>
      <c r="AQ2" s="1318"/>
      <c r="AR2" s="1318"/>
      <c r="AS2" s="1319"/>
    </row>
    <row r="3" spans="10:45" ht="20.25" customHeight="1">
      <c r="AK3" s="1326" t="s">
        <v>3229</v>
      </c>
      <c r="AL3" s="1327"/>
      <c r="AM3" s="1327"/>
      <c r="AN3" s="1327"/>
      <c r="AO3" s="1327"/>
      <c r="AP3" s="1327"/>
      <c r="AQ3" s="1327"/>
      <c r="AR3" s="1327"/>
      <c r="AS3" s="1328"/>
    </row>
    <row r="4" spans="10:45" ht="26.25">
      <c r="AK4" s="729" t="s">
        <v>1660</v>
      </c>
      <c r="AL4" s="730"/>
      <c r="AM4" s="730"/>
      <c r="AN4" s="730"/>
      <c r="AO4" s="730"/>
      <c r="AP4" s="730"/>
      <c r="AQ4" s="730"/>
      <c r="AR4" s="730"/>
      <c r="AS4" s="731"/>
    </row>
    <row r="5" spans="10:45" ht="26.25">
      <c r="J5" s="1324" t="s">
        <v>314</v>
      </c>
      <c r="K5" s="1324"/>
      <c r="L5" s="1324"/>
      <c r="M5" s="1324"/>
      <c r="N5" s="1324"/>
      <c r="O5" s="1324"/>
      <c r="P5" s="1324"/>
      <c r="Q5" s="1324"/>
      <c r="R5" s="1324"/>
      <c r="S5" s="1325" t="s">
        <v>207</v>
      </c>
      <c r="T5" s="1325"/>
      <c r="U5" s="1325"/>
      <c r="V5" s="1325"/>
      <c r="W5" s="1325"/>
      <c r="X5" s="1325"/>
      <c r="Y5" s="1325"/>
      <c r="Z5" s="1325"/>
      <c r="AA5" s="1325"/>
      <c r="AF5" s="124"/>
      <c r="AG5" s="124"/>
      <c r="AK5" s="729" t="s">
        <v>1136</v>
      </c>
      <c r="AL5" s="730"/>
      <c r="AM5" s="730"/>
      <c r="AN5" s="730"/>
      <c r="AO5" s="730"/>
      <c r="AP5" s="730"/>
      <c r="AQ5" s="730"/>
      <c r="AR5" s="730"/>
      <c r="AS5" s="731"/>
    </row>
    <row r="6" spans="10:45" ht="26.25">
      <c r="J6" s="1324"/>
      <c r="K6" s="1324"/>
      <c r="L6" s="1324"/>
      <c r="M6" s="1324"/>
      <c r="N6" s="1324"/>
      <c r="O6" s="1324"/>
      <c r="P6" s="1324"/>
      <c r="Q6" s="1324"/>
      <c r="R6" s="1324"/>
      <c r="S6" s="1325"/>
      <c r="T6" s="1325"/>
      <c r="U6" s="1325"/>
      <c r="V6" s="1325"/>
      <c r="W6" s="1325"/>
      <c r="X6" s="1325"/>
      <c r="Y6" s="1325"/>
      <c r="Z6" s="1325"/>
      <c r="AA6" s="1325"/>
      <c r="AF6" s="124"/>
      <c r="AG6" s="124"/>
      <c r="AK6" s="729" t="s">
        <v>3242</v>
      </c>
      <c r="AL6" s="730"/>
      <c r="AM6" s="730"/>
      <c r="AN6" s="730"/>
      <c r="AO6" s="730"/>
      <c r="AP6" s="730"/>
      <c r="AQ6" s="730"/>
      <c r="AR6" s="730"/>
      <c r="AS6" s="731"/>
    </row>
    <row r="7" spans="10:45" ht="26.25">
      <c r="J7" s="1324" t="s">
        <v>315</v>
      </c>
      <c r="K7" s="1324"/>
      <c r="L7" s="1324"/>
      <c r="M7" s="1324"/>
      <c r="N7" s="1324"/>
      <c r="O7" s="1324"/>
      <c r="P7" s="1324"/>
      <c r="Q7" s="1324"/>
      <c r="R7" s="1324"/>
      <c r="S7" s="1325" t="s">
        <v>202</v>
      </c>
      <c r="T7" s="1325"/>
      <c r="U7" s="1325"/>
      <c r="V7" s="1325"/>
      <c r="W7" s="1325"/>
      <c r="X7" s="1325"/>
      <c r="Y7" s="1325"/>
      <c r="Z7" s="1325"/>
      <c r="AA7" s="1325"/>
      <c r="AF7" s="124"/>
      <c r="AG7" s="124" t="str">
        <f>IFERROR(VLOOKUP(S7&amp;"_제휴",차량정보!AK4:AL97,1,0),"기타")</f>
        <v>기타</v>
      </c>
      <c r="AK7" s="729" t="s">
        <v>1250</v>
      </c>
      <c r="AL7" s="730"/>
      <c r="AM7" s="730"/>
      <c r="AN7" s="730"/>
      <c r="AO7" s="730"/>
      <c r="AP7" s="730"/>
      <c r="AQ7" s="730"/>
      <c r="AR7" s="730"/>
      <c r="AS7" s="731"/>
    </row>
    <row r="8" spans="10:45" ht="26.25">
      <c r="J8" s="1324"/>
      <c r="K8" s="1324"/>
      <c r="L8" s="1324"/>
      <c r="M8" s="1324"/>
      <c r="N8" s="1324"/>
      <c r="O8" s="1324"/>
      <c r="P8" s="1324"/>
      <c r="Q8" s="1324"/>
      <c r="R8" s="1324"/>
      <c r="S8" s="1325"/>
      <c r="T8" s="1325"/>
      <c r="U8" s="1325"/>
      <c r="V8" s="1325"/>
      <c r="W8" s="1325"/>
      <c r="X8" s="1325"/>
      <c r="Y8" s="1325"/>
      <c r="Z8" s="1325"/>
      <c r="AA8" s="1325"/>
      <c r="AF8" s="124"/>
      <c r="AG8" s="124" t="b">
        <v>0</v>
      </c>
      <c r="AK8" s="729" t="s">
        <v>1659</v>
      </c>
      <c r="AL8" s="730"/>
      <c r="AM8" s="730"/>
      <c r="AN8" s="730"/>
      <c r="AO8" s="730"/>
      <c r="AP8" s="730"/>
      <c r="AQ8" s="730"/>
      <c r="AR8" s="730"/>
      <c r="AS8" s="731"/>
    </row>
    <row r="9" spans="10:45" ht="26.25">
      <c r="J9" s="1324" t="s">
        <v>316</v>
      </c>
      <c r="K9" s="1324"/>
      <c r="L9" s="1324"/>
      <c r="M9" s="1324"/>
      <c r="N9" s="1324"/>
      <c r="O9" s="1324"/>
      <c r="P9" s="1324"/>
      <c r="Q9" s="1324"/>
      <c r="R9" s="1324"/>
      <c r="S9" s="1325" t="s">
        <v>332</v>
      </c>
      <c r="T9" s="1325"/>
      <c r="U9" s="1325"/>
      <c r="V9" s="1325"/>
      <c r="W9" s="1325"/>
      <c r="X9" s="1325"/>
      <c r="Y9" s="1325"/>
      <c r="Z9" s="1325"/>
      <c r="AA9" s="1325"/>
      <c r="AF9" s="124"/>
      <c r="AG9" s="124"/>
      <c r="AK9" s="729" t="s">
        <v>1278</v>
      </c>
      <c r="AL9" s="730"/>
      <c r="AM9" s="730"/>
      <c r="AN9" s="730"/>
      <c r="AO9" s="730"/>
      <c r="AP9" s="730"/>
      <c r="AQ9" s="730"/>
      <c r="AR9" s="730"/>
      <c r="AS9" s="731"/>
    </row>
    <row r="10" spans="10:45" ht="26.25">
      <c r="J10" s="1324"/>
      <c r="K10" s="1324"/>
      <c r="L10" s="1324"/>
      <c r="M10" s="1324"/>
      <c r="N10" s="1324"/>
      <c r="O10" s="1324"/>
      <c r="P10" s="1324"/>
      <c r="Q10" s="1324"/>
      <c r="R10" s="1324"/>
      <c r="S10" s="1325"/>
      <c r="T10" s="1325"/>
      <c r="U10" s="1325"/>
      <c r="V10" s="1325"/>
      <c r="W10" s="1325"/>
      <c r="X10" s="1325"/>
      <c r="Y10" s="1325"/>
      <c r="Z10" s="1325"/>
      <c r="AA10" s="1325"/>
      <c r="AF10" s="124"/>
      <c r="AG10" s="124"/>
      <c r="AK10" s="729" t="s">
        <v>1263</v>
      </c>
      <c r="AL10" s="730"/>
      <c r="AM10" s="730"/>
      <c r="AN10" s="730"/>
      <c r="AO10" s="730"/>
      <c r="AP10" s="730"/>
      <c r="AQ10" s="730"/>
      <c r="AR10" s="730"/>
      <c r="AS10" s="731"/>
    </row>
    <row r="11" spans="10:45" ht="26.25">
      <c r="AF11" s="124"/>
      <c r="AG11" s="124"/>
      <c r="AK11" s="729"/>
      <c r="AL11" s="730"/>
      <c r="AM11" s="730"/>
      <c r="AN11" s="730"/>
      <c r="AO11" s="730"/>
      <c r="AP11" s="730"/>
      <c r="AQ11" s="730"/>
      <c r="AR11" s="730"/>
      <c r="AS11" s="731"/>
    </row>
    <row r="12" spans="10:45" ht="26.25">
      <c r="AF12" s="124"/>
      <c r="AG12" s="124"/>
      <c r="AK12" s="729"/>
      <c r="AL12" s="730"/>
      <c r="AM12" s="730"/>
      <c r="AN12" s="730"/>
      <c r="AO12" s="730"/>
      <c r="AP12" s="730"/>
      <c r="AQ12" s="730"/>
      <c r="AR12" s="730"/>
      <c r="AS12" s="731"/>
    </row>
    <row r="13" spans="10:45" ht="26.25">
      <c r="J13" s="1323" t="s">
        <v>538</v>
      </c>
      <c r="K13" s="1324"/>
      <c r="L13" s="1324"/>
      <c r="M13" s="1324"/>
      <c r="N13" s="1324"/>
      <c r="O13" s="1324"/>
      <c r="P13" s="1324"/>
      <c r="Q13" s="1324"/>
      <c r="R13" s="1324"/>
      <c r="S13" s="1322">
        <v>0</v>
      </c>
      <c r="T13" s="1322"/>
      <c r="U13" s="1322"/>
      <c r="V13" s="1322"/>
      <c r="W13" s="1322"/>
      <c r="X13" s="1322"/>
      <c r="Y13" s="1322"/>
      <c r="Z13" s="1322"/>
      <c r="AA13" s="1322"/>
      <c r="AF13" s="124"/>
      <c r="AG13" s="125" t="str">
        <f>TEXT(S13*100,"0.00")</f>
        <v>0.00</v>
      </c>
      <c r="AK13" s="729"/>
      <c r="AL13" s="730"/>
      <c r="AM13" s="730"/>
      <c r="AN13" s="730"/>
      <c r="AO13" s="730"/>
      <c r="AP13" s="730"/>
      <c r="AQ13" s="730"/>
      <c r="AR13" s="730"/>
      <c r="AS13" s="731"/>
    </row>
    <row r="14" spans="10:45" ht="26.25">
      <c r="J14" s="1324"/>
      <c r="K14" s="1324"/>
      <c r="L14" s="1324"/>
      <c r="M14" s="1324"/>
      <c r="N14" s="1324"/>
      <c r="O14" s="1324"/>
      <c r="P14" s="1324"/>
      <c r="Q14" s="1324"/>
      <c r="R14" s="1324"/>
      <c r="S14" s="1322"/>
      <c r="T14" s="1322"/>
      <c r="U14" s="1322"/>
      <c r="V14" s="1322"/>
      <c r="W14" s="1322"/>
      <c r="X14" s="1322"/>
      <c r="Y14" s="1322"/>
      <c r="Z14" s="1322"/>
      <c r="AA14" s="1322"/>
      <c r="AF14" s="124"/>
      <c r="AG14" s="124"/>
      <c r="AK14" s="729"/>
      <c r="AL14" s="730"/>
      <c r="AM14" s="730"/>
      <c r="AN14" s="730"/>
      <c r="AO14" s="730"/>
      <c r="AP14" s="730"/>
      <c r="AQ14" s="730"/>
      <c r="AR14" s="730"/>
      <c r="AS14" s="731"/>
    </row>
    <row r="15" spans="10:45" ht="26.25">
      <c r="J15" s="1320" t="s">
        <v>539</v>
      </c>
      <c r="K15" s="1321"/>
      <c r="L15" s="1321"/>
      <c r="M15" s="1321"/>
      <c r="N15" s="1321"/>
      <c r="O15" s="1321"/>
      <c r="P15" s="1321"/>
      <c r="Q15" s="1321"/>
      <c r="R15" s="1321"/>
      <c r="S15" s="1322">
        <v>0</v>
      </c>
      <c r="T15" s="1322"/>
      <c r="U15" s="1322"/>
      <c r="V15" s="1322"/>
      <c r="W15" s="1322"/>
      <c r="X15" s="1322"/>
      <c r="Y15" s="1322"/>
      <c r="Z15" s="1322"/>
      <c r="AA15" s="1322"/>
      <c r="AF15" s="124"/>
      <c r="AG15" s="126" t="b">
        <v>0</v>
      </c>
      <c r="AK15" s="729"/>
      <c r="AL15" s="730"/>
      <c r="AM15" s="730"/>
      <c r="AN15" s="730"/>
      <c r="AO15" s="730"/>
      <c r="AP15" s="730"/>
      <c r="AQ15" s="730"/>
      <c r="AR15" s="730"/>
      <c r="AS15" s="731"/>
    </row>
    <row r="16" spans="10:45" ht="26.25">
      <c r="J16" s="1321"/>
      <c r="K16" s="1321"/>
      <c r="L16" s="1321"/>
      <c r="M16" s="1321"/>
      <c r="N16" s="1321"/>
      <c r="O16" s="1321"/>
      <c r="P16" s="1321"/>
      <c r="Q16" s="1321"/>
      <c r="R16" s="1321"/>
      <c r="S16" s="1322"/>
      <c r="T16" s="1322"/>
      <c r="U16" s="1322"/>
      <c r="V16" s="1322"/>
      <c r="W16" s="1322"/>
      <c r="X16" s="1322"/>
      <c r="Y16" s="1322"/>
      <c r="Z16" s="1322"/>
      <c r="AA16" s="1322"/>
      <c r="AF16" s="124"/>
      <c r="AG16" s="124"/>
      <c r="AK16" s="729"/>
      <c r="AL16" s="730"/>
      <c r="AM16" s="730"/>
      <c r="AN16" s="730"/>
      <c r="AO16" s="730"/>
      <c r="AP16" s="730"/>
      <c r="AQ16" s="730"/>
      <c r="AR16" s="730"/>
      <c r="AS16" s="731"/>
    </row>
    <row r="17" spans="35:45" ht="26.25">
      <c r="AK17" s="729"/>
      <c r="AL17" s="730"/>
      <c r="AM17" s="730"/>
      <c r="AN17" s="730"/>
      <c r="AO17" s="730"/>
      <c r="AP17" s="730"/>
      <c r="AQ17" s="730"/>
      <c r="AR17" s="730"/>
      <c r="AS17" s="731"/>
    </row>
    <row r="18" spans="35:45" ht="27" thickBot="1">
      <c r="AK18" s="732"/>
      <c r="AL18" s="733"/>
      <c r="AM18" s="733"/>
      <c r="AN18" s="733"/>
      <c r="AO18" s="733"/>
      <c r="AP18" s="733"/>
      <c r="AQ18" s="733"/>
      <c r="AR18" s="733"/>
      <c r="AS18" s="734"/>
    </row>
    <row r="19" spans="35:45"/>
    <row r="20" spans="35:45"/>
    <row r="21" spans="35:45"/>
    <row r="22" spans="35:45">
      <c r="AI22" s="29" t="s">
        <v>1016</v>
      </c>
    </row>
    <row r="23" spans="35:45"/>
    <row r="24" spans="35:45"/>
    <row r="25" spans="35:45"/>
    <row r="26" spans="35:45"/>
    <row r="27" spans="35:45"/>
    <row r="28" spans="35:45"/>
    <row r="29" spans="35:45"/>
    <row r="30" spans="35:45"/>
    <row r="31" spans="35:45"/>
    <row r="32" spans="35:45"/>
    <row r="33"/>
    <row r="34"/>
    <row r="35"/>
    <row r="36"/>
    <row r="37"/>
    <row r="38"/>
    <row r="39"/>
    <row r="40"/>
    <row r="41"/>
    <row r="42"/>
    <row r="43"/>
    <row r="44"/>
    <row r="45"/>
    <row r="46"/>
    <row r="47"/>
    <row r="48"/>
    <row r="49" spans="31:31"/>
    <row r="50" spans="31:31"/>
    <row r="51" spans="31:31">
      <c r="AE51" s="1037" t="str">
        <f>"Ver.241202"</f>
        <v>Ver.241202</v>
      </c>
    </row>
  </sheetData>
  <dataConsolidate/>
  <mergeCells count="12">
    <mergeCell ref="AK2:AS2"/>
    <mergeCell ref="J15:R16"/>
    <mergeCell ref="S15:AA16"/>
    <mergeCell ref="J13:R14"/>
    <mergeCell ref="S13:AA14"/>
    <mergeCell ref="J5:R6"/>
    <mergeCell ref="S5:AA6"/>
    <mergeCell ref="J7:R8"/>
    <mergeCell ref="S7:AA8"/>
    <mergeCell ref="J9:R10"/>
    <mergeCell ref="S9:AA10"/>
    <mergeCell ref="AK3:AS3"/>
  </mergeCells>
  <phoneticPr fontId="2" type="noConversion"/>
  <dataValidations count="3">
    <dataValidation type="list" allowBlank="1" showInputMessage="1" showErrorMessage="1" sqref="S5:AA6" xr:uid="{00000000-0002-0000-0000-000000000000}">
      <formula1>"수입,국산"</formula1>
    </dataValidation>
    <dataValidation type="list" allowBlank="1" showInputMessage="1" showErrorMessage="1" sqref="S9:AA10" xr:uid="{00000000-0002-0000-0000-000001000000}">
      <formula1>INDIRECT($AG$7)</formula1>
    </dataValidation>
    <dataValidation type="list" allowBlank="1" showInputMessage="1" showErrorMessage="1" sqref="S7:AA8" xr:uid="{00000000-0002-0000-0000-000002000000}">
      <formula1>INDIRECT(S5)</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1" r:id="rId4" name="Check Box 3">
              <controlPr defaultSize="0" autoFill="0" autoLine="0" autoPict="0">
                <anchor moveWithCells="1">
                  <from>
                    <xdr:col>18</xdr:col>
                    <xdr:colOff>47625</xdr:colOff>
                    <xdr:row>10</xdr:row>
                    <xdr:rowOff>9525</xdr:rowOff>
                  </from>
                  <to>
                    <xdr:col>25</xdr:col>
                    <xdr:colOff>19050</xdr:colOff>
                    <xdr:row>10</xdr:row>
                    <xdr:rowOff>266700</xdr:rowOff>
                  </to>
                </anchor>
              </controlPr>
            </control>
          </mc:Choice>
        </mc:AlternateContent>
        <mc:AlternateContent xmlns:mc="http://schemas.openxmlformats.org/markup-compatibility/2006">
          <mc:Choice Requires="x14">
            <control shapeId="7173" r:id="rId5" name="Button 5">
              <controlPr locked="0" defaultSize="0" print="0" autoFill="0" autoPict="0" macro="[0]!비교로이동">
                <anchor moveWithCells="1" sizeWithCells="1">
                  <from>
                    <xdr:col>29</xdr:col>
                    <xdr:colOff>47625</xdr:colOff>
                    <xdr:row>3</xdr:row>
                    <xdr:rowOff>133350</xdr:rowOff>
                  </from>
                  <to>
                    <xdr:col>34</xdr:col>
                    <xdr:colOff>485775</xdr:colOff>
                    <xdr:row>6</xdr:row>
                    <xdr:rowOff>266700</xdr:rowOff>
                  </to>
                </anchor>
              </controlPr>
            </control>
          </mc:Choice>
        </mc:AlternateContent>
        <mc:AlternateContent xmlns:mc="http://schemas.openxmlformats.org/markup-compatibility/2006">
          <mc:Choice Requires="x14">
            <control shapeId="7174" r:id="rId6" name="Button 6">
              <controlPr locked="0" defaultSize="0" print="0" autoFill="0" autoPict="0" macro="[0]!단일이동">
                <anchor moveWithCells="1" sizeWithCells="1">
                  <from>
                    <xdr:col>29</xdr:col>
                    <xdr:colOff>57150</xdr:colOff>
                    <xdr:row>7</xdr:row>
                    <xdr:rowOff>104775</xdr:rowOff>
                  </from>
                  <to>
                    <xdr:col>34</xdr:col>
                    <xdr:colOff>495300</xdr:colOff>
                    <xdr:row>10</xdr:row>
                    <xdr:rowOff>238125</xdr:rowOff>
                  </to>
                </anchor>
              </controlPr>
            </control>
          </mc:Choice>
        </mc:AlternateContent>
        <mc:AlternateContent xmlns:mc="http://schemas.openxmlformats.org/markup-compatibility/2006">
          <mc:Choice Requires="x14">
            <control shapeId="7176" r:id="rId7" name="Button 8">
              <controlPr locked="0" defaultSize="0" print="0" autoFill="0" autoPict="0" macro="[0]!오토론이동">
                <anchor moveWithCells="1" sizeWithCells="1">
                  <from>
                    <xdr:col>29</xdr:col>
                    <xdr:colOff>38100</xdr:colOff>
                    <xdr:row>11</xdr:row>
                    <xdr:rowOff>76200</xdr:rowOff>
                  </from>
                  <to>
                    <xdr:col>34</xdr:col>
                    <xdr:colOff>476250</xdr:colOff>
                    <xdr:row>14</xdr:row>
                    <xdr:rowOff>209550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theme="4" tint="0.39997558519241921"/>
    <pageSetUpPr fitToPage="1"/>
  </sheetPr>
  <dimension ref="A1:XFC100"/>
  <sheetViews>
    <sheetView showGridLines="0" tabSelected="1" topLeftCell="B1" zoomScale="70" zoomScaleNormal="70" zoomScaleSheetLayoutView="90" workbookViewId="0">
      <selection activeCell="AS15" sqref="AS15:BM15"/>
    </sheetView>
  </sheetViews>
  <sheetFormatPr defaultColWidth="13.25" defaultRowHeight="16.5" outlineLevelRow="1" outlineLevelCol="1"/>
  <cols>
    <col min="1" max="1" width="1.375" style="36" hidden="1" customWidth="1"/>
    <col min="2" max="30" width="3" style="36" customWidth="1"/>
    <col min="31" max="31" width="4.125" style="36" customWidth="1"/>
    <col min="32" max="32" width="6.125" style="36" customWidth="1"/>
    <col min="33" max="33" width="3" style="36" customWidth="1"/>
    <col min="34" max="34" width="3.625" style="36" customWidth="1"/>
    <col min="35" max="39" width="3" style="36" customWidth="1"/>
    <col min="40" max="43" width="2.5" style="36" customWidth="1"/>
    <col min="44" max="44" width="4.125" style="36" customWidth="1"/>
    <col min="45" max="65" width="2.5" style="36" customWidth="1"/>
    <col min="66" max="66" width="5.875" style="36" customWidth="1"/>
    <col min="67" max="67" width="10.125" style="36" customWidth="1"/>
    <col min="68" max="68" width="1.625" style="36" customWidth="1"/>
    <col min="69" max="69" width="8.875" style="36" hidden="1" customWidth="1"/>
    <col min="70" max="70" width="10.375" style="36" hidden="1" customWidth="1"/>
    <col min="71" max="71" width="17.125" style="36" hidden="1" customWidth="1"/>
    <col min="72" max="72" width="16.75" style="36" hidden="1" customWidth="1"/>
    <col min="73" max="73" width="66.375" style="36" hidden="1" customWidth="1"/>
    <col min="74" max="78" width="13.25" style="36" hidden="1" customWidth="1"/>
    <col min="79" max="82" width="1.5" style="36" customWidth="1"/>
    <col min="83" max="90" width="1.875" style="36" customWidth="1"/>
    <col min="91" max="91" width="1.375" style="36" customWidth="1"/>
    <col min="92" max="92" width="3.125" style="36" customWidth="1"/>
    <col min="93" max="98" width="1.875" style="36" customWidth="1"/>
    <col min="99" max="99" width="9.875" style="36" customWidth="1"/>
    <col min="100" max="100" width="2.125" style="36" customWidth="1"/>
    <col min="101" max="101" width="1.5" style="36" customWidth="1"/>
    <col min="102" max="108" width="2.125" style="36" customWidth="1"/>
    <col min="109" max="115" width="3.125" style="36" customWidth="1"/>
    <col min="116" max="116" width="9.125" style="36" customWidth="1"/>
    <col min="117" max="117" width="3.125" style="36" customWidth="1"/>
    <col min="118" max="118" width="9" style="36" customWidth="1"/>
    <col min="119" max="119" width="13.25" style="36" customWidth="1"/>
    <col min="120" max="128" width="13.25" style="798" hidden="1" customWidth="1" outlineLevel="1"/>
    <col min="129" max="129" width="17.25" style="798" hidden="1" customWidth="1" outlineLevel="1"/>
    <col min="130" max="145" width="13.25" style="798" hidden="1" customWidth="1" outlineLevel="1"/>
    <col min="146" max="146" width="13.25" style="798" customWidth="1" collapsed="1"/>
    <col min="147" max="148" width="13.25" style="798" customWidth="1"/>
    <col min="149" max="158" width="13.25" style="128" customWidth="1"/>
    <col min="159" max="16381" width="13.25" style="36" customWidth="1"/>
    <col min="16382" max="16382" width="4.25" style="36" hidden="1" customWidth="1"/>
    <col min="16383" max="16383" width="5.5" style="36" hidden="1" customWidth="1"/>
    <col min="16384" max="16384" width="4" style="36" customWidth="1"/>
  </cols>
  <sheetData>
    <row r="1" spans="2:158" ht="20.100000000000001" customHeight="1">
      <c r="AF1" s="119"/>
      <c r="AM1" s="1194"/>
      <c r="AN1" s="1517" t="s">
        <v>3053</v>
      </c>
      <c r="AO1" s="1517"/>
      <c r="AP1" s="1517"/>
      <c r="AQ1" s="1517"/>
      <c r="AR1" s="1517"/>
      <c r="AS1" s="1517"/>
      <c r="AT1" s="1517"/>
      <c r="AU1" s="1517"/>
      <c r="AV1" s="1517"/>
      <c r="AW1" s="1517"/>
      <c r="AX1" s="1517"/>
      <c r="AY1" s="1517"/>
      <c r="AZ1" s="1517"/>
      <c r="BA1" s="1517"/>
      <c r="BB1" s="1517"/>
      <c r="BC1" s="1517"/>
      <c r="BD1" s="1517"/>
      <c r="BE1" s="1517"/>
      <c r="BF1" s="1517"/>
      <c r="BG1" s="1517"/>
      <c r="BH1" s="1517"/>
      <c r="BI1" s="1517"/>
      <c r="BJ1" s="1517"/>
      <c r="BK1" s="1517"/>
      <c r="BL1" s="1517"/>
      <c r="BM1" s="1517"/>
      <c r="BN1" s="1195"/>
      <c r="DN1" s="36" t="s">
        <v>1258</v>
      </c>
    </row>
    <row r="2" spans="2:158" ht="20.100000000000001" customHeight="1" thickBot="1">
      <c r="AM2" s="1196"/>
      <c r="AN2" s="1518"/>
      <c r="AO2" s="1518"/>
      <c r="AP2" s="1518"/>
      <c r="AQ2" s="1518"/>
      <c r="AR2" s="1518"/>
      <c r="AS2" s="1518"/>
      <c r="AT2" s="1518"/>
      <c r="AU2" s="1518"/>
      <c r="AV2" s="1518"/>
      <c r="AW2" s="1518"/>
      <c r="AX2" s="1518"/>
      <c r="AY2" s="1518"/>
      <c r="AZ2" s="1518"/>
      <c r="BA2" s="1518"/>
      <c r="BB2" s="1518"/>
      <c r="BC2" s="1518"/>
      <c r="BD2" s="1518"/>
      <c r="BE2" s="1518"/>
      <c r="BF2" s="1518"/>
      <c r="BG2" s="1518"/>
      <c r="BH2" s="1518"/>
      <c r="BI2" s="1518"/>
      <c r="BJ2" s="1518"/>
      <c r="BK2" s="1518"/>
      <c r="BL2" s="1518"/>
      <c r="BM2" s="1518"/>
      <c r="BN2" s="1197"/>
    </row>
    <row r="3" spans="2:158" ht="20.100000000000001" customHeight="1">
      <c r="D3" s="1561" t="s">
        <v>317</v>
      </c>
      <c r="E3" s="1561"/>
      <c r="F3" s="1561"/>
      <c r="G3" s="1561"/>
      <c r="H3" s="1561"/>
      <c r="I3" s="1561"/>
      <c r="J3" s="1561"/>
      <c r="K3" s="1561"/>
      <c r="L3" s="1561"/>
      <c r="M3" s="1561"/>
      <c r="N3" s="1561"/>
      <c r="O3" s="1561"/>
      <c r="P3" s="1561"/>
      <c r="Q3" s="1561"/>
      <c r="R3" s="1561"/>
      <c r="S3" s="1561"/>
      <c r="T3" s="1561"/>
      <c r="U3" s="1561"/>
      <c r="V3" s="1561"/>
      <c r="W3" s="1561"/>
      <c r="X3" s="1561"/>
      <c r="Y3" s="1561"/>
      <c r="Z3" s="1561"/>
      <c r="AA3" s="1561"/>
      <c r="AB3" s="1561"/>
      <c r="AC3" s="1561"/>
      <c r="AD3" s="1561"/>
      <c r="AE3" s="1561"/>
      <c r="AF3" s="1561"/>
      <c r="AG3" s="1561"/>
      <c r="AH3" s="1561"/>
      <c r="AM3" s="1196"/>
      <c r="AN3" s="1190" t="s">
        <v>425</v>
      </c>
      <c r="AO3" s="1191"/>
      <c r="AP3" s="1191"/>
      <c r="AQ3" s="1191"/>
      <c r="AR3" s="1191"/>
      <c r="AS3" s="1191"/>
      <c r="AT3" s="1191"/>
      <c r="AU3" s="1191"/>
      <c r="AV3" s="1191"/>
      <c r="AW3" s="1191"/>
      <c r="AX3" s="1191"/>
      <c r="AY3" s="1191"/>
      <c r="AZ3" s="1191"/>
      <c r="BA3" s="1191"/>
      <c r="BB3" s="1191"/>
      <c r="BC3" s="1191"/>
      <c r="BD3" s="1191"/>
      <c r="BE3" s="1191"/>
      <c r="BF3" s="1191"/>
      <c r="BG3" s="1191"/>
      <c r="BH3" s="1191"/>
      <c r="BI3" s="1191"/>
      <c r="BJ3" s="1191"/>
      <c r="BK3" s="1191"/>
      <c r="BL3" s="1191"/>
      <c r="BM3" s="1191"/>
      <c r="BN3" s="1197"/>
      <c r="BO3" s="1528"/>
    </row>
    <row r="4" spans="2:158" ht="20.100000000000001" customHeight="1" thickBot="1">
      <c r="D4" s="1561"/>
      <c r="E4" s="1561"/>
      <c r="F4" s="1561"/>
      <c r="G4" s="1561"/>
      <c r="H4" s="1561"/>
      <c r="I4" s="1561"/>
      <c r="J4" s="1561"/>
      <c r="K4" s="1561"/>
      <c r="L4" s="1561"/>
      <c r="M4" s="1561"/>
      <c r="N4" s="1561"/>
      <c r="O4" s="1561"/>
      <c r="P4" s="1561"/>
      <c r="Q4" s="1561"/>
      <c r="R4" s="1561"/>
      <c r="S4" s="1561"/>
      <c r="T4" s="1561"/>
      <c r="U4" s="1561"/>
      <c r="V4" s="1561"/>
      <c r="W4" s="1561"/>
      <c r="X4" s="1561"/>
      <c r="Y4" s="1561"/>
      <c r="Z4" s="1561"/>
      <c r="AA4" s="1561"/>
      <c r="AB4" s="1561"/>
      <c r="AC4" s="1561"/>
      <c r="AD4" s="1561"/>
      <c r="AE4" s="1561"/>
      <c r="AF4" s="1561"/>
      <c r="AG4" s="1561"/>
      <c r="AH4" s="1561"/>
      <c r="AM4" s="1196"/>
      <c r="AN4" s="1562" t="s">
        <v>440</v>
      </c>
      <c r="AO4" s="1562"/>
      <c r="AP4" s="1562"/>
      <c r="AQ4" s="1562"/>
      <c r="AR4" s="1563"/>
      <c r="AS4" s="1564" t="s">
        <v>421</v>
      </c>
      <c r="AT4" s="1565"/>
      <c r="AU4" s="1565"/>
      <c r="AV4" s="1565"/>
      <c r="AW4" s="1565"/>
      <c r="AX4" s="1565"/>
      <c r="AY4" s="1565"/>
      <c r="AZ4" s="1565"/>
      <c r="BA4" s="1565"/>
      <c r="BB4" s="1565"/>
      <c r="BC4" s="1565"/>
      <c r="BD4" s="1565"/>
      <c r="BE4" s="1565"/>
      <c r="BF4" s="1565"/>
      <c r="BG4" s="1565"/>
      <c r="BH4" s="1565"/>
      <c r="BI4" s="1565"/>
      <c r="BJ4" s="1565"/>
      <c r="BK4" s="1565"/>
      <c r="BL4" s="1565"/>
      <c r="BM4" s="1566"/>
      <c r="BN4" s="1197"/>
      <c r="BO4" s="1528"/>
    </row>
    <row r="5" spans="2:158" ht="20.100000000000001" customHeight="1" thickBot="1">
      <c r="D5" s="1561"/>
      <c r="E5" s="1561"/>
      <c r="F5" s="1561"/>
      <c r="G5" s="1561"/>
      <c r="H5" s="1561"/>
      <c r="I5" s="1561"/>
      <c r="J5" s="1561"/>
      <c r="K5" s="1561"/>
      <c r="L5" s="1561"/>
      <c r="M5" s="1561"/>
      <c r="N5" s="1561"/>
      <c r="O5" s="1561"/>
      <c r="P5" s="1561"/>
      <c r="Q5" s="1561"/>
      <c r="R5" s="1561"/>
      <c r="S5" s="1561"/>
      <c r="T5" s="1561"/>
      <c r="U5" s="1561"/>
      <c r="V5" s="1561"/>
      <c r="W5" s="1561"/>
      <c r="X5" s="1561"/>
      <c r="Y5" s="1561"/>
      <c r="Z5" s="1561"/>
      <c r="AA5" s="1561"/>
      <c r="AB5" s="1561"/>
      <c r="AC5" s="1561"/>
      <c r="AD5" s="1561"/>
      <c r="AE5" s="1561"/>
      <c r="AF5" s="1561"/>
      <c r="AG5" s="1561"/>
      <c r="AH5" s="1561"/>
      <c r="AM5" s="1196"/>
      <c r="AN5" s="1406" t="s">
        <v>209</v>
      </c>
      <c r="AO5" s="1422"/>
      <c r="AP5" s="1422"/>
      <c r="AQ5" s="1422"/>
      <c r="AR5" s="1422"/>
      <c r="AS5" s="1530" t="str">
        <f>'AG 입력시트'!S5</f>
        <v>국산</v>
      </c>
      <c r="AT5" s="1531"/>
      <c r="AU5" s="1531"/>
      <c r="AV5" s="1531"/>
      <c r="AW5" s="1531"/>
      <c r="AX5" s="1531"/>
      <c r="AY5" s="1531"/>
      <c r="AZ5" s="1531"/>
      <c r="BA5" s="1531"/>
      <c r="BB5" s="1531"/>
      <c r="BC5" s="1531"/>
      <c r="BD5" s="1531"/>
      <c r="BE5" s="1531"/>
      <c r="BF5" s="1531"/>
      <c r="BG5" s="1531"/>
      <c r="BH5" s="1531"/>
      <c r="BI5" s="1531"/>
      <c r="BJ5" s="1531"/>
      <c r="BK5" s="1531"/>
      <c r="BL5" s="1531"/>
      <c r="BM5" s="1532"/>
      <c r="BN5" s="1197"/>
      <c r="BP5" s="1598" t="s">
        <v>1017</v>
      </c>
      <c r="BQ5" s="1598"/>
      <c r="BR5" s="1598"/>
      <c r="BS5" s="1598"/>
      <c r="BT5" s="1598"/>
      <c r="BU5" s="1598"/>
      <c r="BV5" s="1598"/>
      <c r="BW5" s="1598"/>
      <c r="BX5" s="1598"/>
      <c r="BY5" s="1598"/>
      <c r="BZ5" s="1598"/>
      <c r="CA5" s="1598"/>
      <c r="CB5" s="1598"/>
      <c r="CC5" s="1598"/>
      <c r="CD5" s="1598"/>
      <c r="CE5" s="1598"/>
      <c r="CF5" s="1598"/>
      <c r="CG5" s="1598"/>
      <c r="CH5" s="1529"/>
      <c r="CI5" s="1529"/>
      <c r="CJ5" s="1529"/>
      <c r="CK5" s="1529"/>
      <c r="CL5" s="1529"/>
      <c r="CM5" s="1529"/>
      <c r="CN5" s="1529"/>
    </row>
    <row r="6" spans="2:158" ht="20.100000000000001" customHeight="1" thickBot="1">
      <c r="Y6" s="1583" t="str">
        <f>운용리스_단일!AS4</f>
        <v>VVIP 고객님</v>
      </c>
      <c r="Z6" s="1583"/>
      <c r="AA6" s="1583"/>
      <c r="AB6" s="1583"/>
      <c r="AC6" s="1583"/>
      <c r="AD6" s="1583"/>
      <c r="AE6" s="1583"/>
      <c r="AF6" s="1583"/>
      <c r="AG6" s="1584" t="s">
        <v>273</v>
      </c>
      <c r="AH6" s="1584"/>
      <c r="AM6" s="1196"/>
      <c r="AN6" s="1406" t="s">
        <v>210</v>
      </c>
      <c r="AO6" s="1422"/>
      <c r="AP6" s="1422"/>
      <c r="AQ6" s="1422"/>
      <c r="AR6" s="1422"/>
      <c r="AS6" s="1530" t="str">
        <f>'AG 입력시트'!S7</f>
        <v>현대</v>
      </c>
      <c r="AT6" s="1531"/>
      <c r="AU6" s="1531"/>
      <c r="AV6" s="1531"/>
      <c r="AW6" s="1531"/>
      <c r="AX6" s="1531"/>
      <c r="AY6" s="1531"/>
      <c r="AZ6" s="1531"/>
      <c r="BA6" s="1531"/>
      <c r="BB6" s="1531"/>
      <c r="BC6" s="1531"/>
      <c r="BD6" s="1531"/>
      <c r="BE6" s="1531"/>
      <c r="BF6" s="1531"/>
      <c r="BG6" s="1531"/>
      <c r="BH6" s="1531"/>
      <c r="BI6" s="1531"/>
      <c r="BJ6" s="1531"/>
      <c r="BK6" s="1531"/>
      <c r="BL6" s="1531"/>
      <c r="BM6" s="1532"/>
      <c r="BN6" s="1197"/>
      <c r="CL6" s="737"/>
      <c r="CM6" s="737"/>
      <c r="CN6" s="737"/>
      <c r="CO6" s="737"/>
    </row>
    <row r="7" spans="2:158" ht="19.5" customHeight="1" thickBot="1">
      <c r="Y7" s="1584" t="s">
        <v>427</v>
      </c>
      <c r="Z7" s="1584"/>
      <c r="AA7" s="1584"/>
      <c r="AB7" s="1594">
        <f ca="1">TODAY()</f>
        <v>45646</v>
      </c>
      <c r="AC7" s="1594"/>
      <c r="AD7" s="1594"/>
      <c r="AE7" s="1594"/>
      <c r="AF7" s="1594"/>
      <c r="AG7" s="1594"/>
      <c r="AM7" s="1196"/>
      <c r="AN7" s="1595" t="s">
        <v>729</v>
      </c>
      <c r="AO7" s="1595"/>
      <c r="AP7" s="1595"/>
      <c r="AQ7" s="1595"/>
      <c r="AR7" s="1596"/>
      <c r="AS7" s="1620" t="s">
        <v>3280</v>
      </c>
      <c r="AT7" s="1621"/>
      <c r="AU7" s="1621"/>
      <c r="AV7" s="1621"/>
      <c r="AW7" s="1621"/>
      <c r="AX7" s="1621"/>
      <c r="AY7" s="1621"/>
      <c r="AZ7" s="1621"/>
      <c r="BA7" s="1621"/>
      <c r="BB7" s="1621"/>
      <c r="BC7" s="1621"/>
      <c r="BD7" s="1621"/>
      <c r="BE7" s="1621"/>
      <c r="BF7" s="1621"/>
      <c r="BG7" s="1621"/>
      <c r="BH7" s="1621"/>
      <c r="BI7" s="1621"/>
      <c r="BJ7" s="1621"/>
      <c r="BK7" s="1621"/>
      <c r="BL7" s="1621"/>
      <c r="BM7" s="1621"/>
      <c r="BN7" s="1315" t="s">
        <v>3059</v>
      </c>
      <c r="BO7" s="1533"/>
      <c r="BP7" s="1533"/>
      <c r="BQ7" s="1533"/>
      <c r="BR7" s="1533"/>
      <c r="BS7" s="1533"/>
      <c r="BT7" s="1533"/>
      <c r="BU7" s="1533"/>
      <c r="BV7" s="1533"/>
      <c r="BW7" s="1533"/>
      <c r="BX7" s="1533"/>
      <c r="BY7" s="1533"/>
      <c r="BZ7" s="1533"/>
      <c r="CA7" s="1533"/>
      <c r="CB7" s="1533"/>
      <c r="CC7" s="1533"/>
      <c r="CD7" s="1533"/>
      <c r="CE7" s="1533"/>
      <c r="CF7" s="1533"/>
      <c r="CG7" s="1533"/>
      <c r="CH7" s="1533"/>
      <c r="CI7" s="1533"/>
      <c r="CJ7" s="1533"/>
      <c r="CK7" s="1533"/>
      <c r="CL7" s="1534"/>
      <c r="CM7" s="737"/>
      <c r="CN7" s="737"/>
      <c r="CO7" s="737"/>
      <c r="CP7" s="1606" t="s">
        <v>3230</v>
      </c>
      <c r="CQ7" s="1606"/>
      <c r="CR7" s="1606"/>
      <c r="CS7" s="1606"/>
      <c r="CT7" s="1606"/>
      <c r="CU7" s="1606"/>
      <c r="CV7" s="1606"/>
      <c r="CW7" s="1606"/>
      <c r="CX7" s="1606"/>
      <c r="CY7" s="1606"/>
      <c r="CZ7" s="1606"/>
      <c r="DA7" s="1606"/>
      <c r="DB7" s="1606"/>
      <c r="DC7" s="1606"/>
      <c r="DD7" s="1606"/>
      <c r="DE7" s="1606"/>
      <c r="DF7" s="1606"/>
      <c r="DG7" s="1606"/>
      <c r="DH7" s="1606"/>
      <c r="DI7" s="1606"/>
      <c r="DJ7" s="1606"/>
      <c r="DK7" s="1606"/>
    </row>
    <row r="8" spans="2:158" ht="34.5" customHeight="1" thickBot="1">
      <c r="D8" s="53" t="s">
        <v>447</v>
      </c>
      <c r="E8" s="47" t="s">
        <v>448</v>
      </c>
      <c r="AB8" s="1121"/>
      <c r="AI8" s="1122" t="e">
        <f>계산_운용리스_단일!B1</f>
        <v>#DIV/0!</v>
      </c>
      <c r="AM8" s="1196"/>
      <c r="AN8" s="1597" t="s">
        <v>730</v>
      </c>
      <c r="AO8" s="1597"/>
      <c r="AP8" s="1597"/>
      <c r="AQ8" s="1597"/>
      <c r="AR8" s="1417"/>
      <c r="AS8" s="1632" t="s">
        <v>3235</v>
      </c>
      <c r="AT8" s="1632"/>
      <c r="AU8" s="1632"/>
      <c r="AV8" s="1632"/>
      <c r="AW8" s="1632"/>
      <c r="AX8" s="1632"/>
      <c r="AY8" s="1632"/>
      <c r="AZ8" s="1632"/>
      <c r="BA8" s="1632"/>
      <c r="BB8" s="1632"/>
      <c r="BC8" s="1632"/>
      <c r="BD8" s="1632"/>
      <c r="BE8" s="1632"/>
      <c r="BF8" s="1632"/>
      <c r="BG8" s="1632"/>
      <c r="BH8" s="1632"/>
      <c r="BI8" s="1632"/>
      <c r="BJ8" s="1632"/>
      <c r="BK8" s="1632"/>
      <c r="BL8" s="1632"/>
      <c r="BM8" s="1632"/>
      <c r="BN8" s="1229" t="s">
        <v>1230</v>
      </c>
      <c r="BO8" s="1533"/>
      <c r="BP8" s="1533"/>
      <c r="BQ8" s="1533"/>
      <c r="BR8" s="1533"/>
      <c r="BS8" s="1533"/>
      <c r="BT8" s="1533"/>
      <c r="BU8" s="1533"/>
      <c r="BV8" s="1533"/>
      <c r="BW8" s="1533"/>
      <c r="BX8" s="1533"/>
      <c r="BY8" s="1533"/>
      <c r="BZ8" s="1533"/>
      <c r="CA8" s="1533"/>
      <c r="CB8" s="1533"/>
      <c r="CC8" s="1533"/>
      <c r="CD8" s="1533"/>
      <c r="CE8" s="1533"/>
      <c r="CF8" s="1533"/>
      <c r="CG8" s="1533"/>
      <c r="CH8" s="1533"/>
      <c r="CI8" s="1533"/>
      <c r="CJ8" s="1533"/>
      <c r="CK8" s="1533"/>
      <c r="CL8" s="1534"/>
      <c r="CM8" s="737"/>
      <c r="CN8" s="737"/>
      <c r="CO8" s="737"/>
      <c r="CP8" s="1607"/>
      <c r="CQ8" s="1607"/>
      <c r="CR8" s="1607"/>
      <c r="CS8" s="1607"/>
      <c r="CT8" s="1607"/>
      <c r="CU8" s="1607"/>
      <c r="CV8" s="1607"/>
      <c r="CW8" s="1607"/>
      <c r="CX8" s="1607"/>
      <c r="CY8" s="1607"/>
      <c r="CZ8" s="1607"/>
      <c r="DA8" s="1607"/>
      <c r="DB8" s="1607"/>
      <c r="DC8" s="1607"/>
      <c r="DD8" s="1607"/>
      <c r="DE8" s="1607"/>
      <c r="DF8" s="1607"/>
      <c r="DG8" s="1607"/>
      <c r="DH8" s="1607"/>
      <c r="DI8" s="1607"/>
      <c r="DJ8" s="1607"/>
      <c r="DK8" s="1607"/>
    </row>
    <row r="9" spans="2:158" ht="19.5" customHeight="1" thickBot="1">
      <c r="D9" s="1500" t="s">
        <v>210</v>
      </c>
      <c r="E9" s="1501"/>
      <c r="F9" s="1501"/>
      <c r="G9" s="1501"/>
      <c r="H9" s="1501"/>
      <c r="I9" s="1501"/>
      <c r="J9" s="1501"/>
      <c r="K9" s="1585" t="str">
        <f>운용리스_단일!AS6</f>
        <v>현대</v>
      </c>
      <c r="L9" s="1585"/>
      <c r="M9" s="1585"/>
      <c r="N9" s="1585"/>
      <c r="O9" s="1585"/>
      <c r="P9" s="1585"/>
      <c r="Q9" s="1585"/>
      <c r="R9" s="1585"/>
      <c r="S9" s="1585"/>
      <c r="T9" s="1585"/>
      <c r="U9" s="1585"/>
      <c r="V9" s="1585"/>
      <c r="W9" s="1585"/>
      <c r="X9" s="1585"/>
      <c r="Y9" s="1585"/>
      <c r="Z9" s="1585"/>
      <c r="AA9" s="1585"/>
      <c r="AB9" s="1585"/>
      <c r="AC9" s="1585"/>
      <c r="AD9" s="1585"/>
      <c r="AE9" s="1585"/>
      <c r="AF9" s="1585"/>
      <c r="AG9" s="1585"/>
      <c r="AH9" s="1585"/>
      <c r="AI9" s="1585"/>
      <c r="AJ9" s="68"/>
      <c r="AM9" s="1196"/>
      <c r="AN9" s="1590" t="s">
        <v>28</v>
      </c>
      <c r="AO9" s="1591"/>
      <c r="AP9" s="1591"/>
      <c r="AQ9" s="1591"/>
      <c r="AR9" s="1591"/>
      <c r="AS9" s="1626">
        <f>VLOOKUP(AS7,차량정보!D:O,2,0)</f>
        <v>3470</v>
      </c>
      <c r="AT9" s="1627"/>
      <c r="AU9" s="1627"/>
      <c r="AV9" s="1627"/>
      <c r="AW9" s="1627"/>
      <c r="AX9" s="1627"/>
      <c r="AY9" s="1627"/>
      <c r="AZ9" s="1627"/>
      <c r="BA9" s="1627"/>
      <c r="BB9" s="1627"/>
      <c r="BC9" s="1627"/>
      <c r="BD9" s="1627"/>
      <c r="BE9" s="1627"/>
      <c r="BF9" s="1627"/>
      <c r="BG9" s="1627"/>
      <c r="BH9" s="1627"/>
      <c r="BI9" s="1627"/>
      <c r="BJ9" s="1627"/>
      <c r="BK9" s="1627"/>
      <c r="BL9" s="1627"/>
      <c r="BM9" s="1628"/>
      <c r="BN9" s="1197"/>
      <c r="BP9" s="737"/>
      <c r="BQ9" s="737"/>
      <c r="BR9" s="737"/>
      <c r="BS9" s="737"/>
      <c r="BT9" s="737"/>
      <c r="BU9" s="737"/>
      <c r="BV9" s="737"/>
      <c r="BW9" s="737"/>
      <c r="BX9" s="737"/>
      <c r="BY9" s="737"/>
      <c r="BZ9" s="737"/>
      <c r="CA9" s="737"/>
      <c r="CB9" s="737"/>
      <c r="CC9" s="737"/>
      <c r="CD9" s="737"/>
      <c r="CE9" s="737"/>
      <c r="CF9" s="737"/>
      <c r="CG9" s="737"/>
      <c r="CH9" s="737"/>
      <c r="CI9" s="737"/>
      <c r="CJ9" s="737"/>
      <c r="CK9" s="737"/>
      <c r="CL9" s="737"/>
      <c r="CM9" s="737"/>
      <c r="CN9" s="737"/>
      <c r="CO9" s="737"/>
      <c r="CP9" s="1608"/>
      <c r="CQ9" s="1608"/>
      <c r="CR9" s="1608"/>
      <c r="CS9" s="1608"/>
      <c r="CT9" s="1608"/>
      <c r="CU9" s="1608"/>
      <c r="CV9" s="1608"/>
      <c r="CW9" s="1608"/>
      <c r="CX9" s="1608"/>
      <c r="CY9" s="1608"/>
      <c r="CZ9" s="1608"/>
      <c r="DA9" s="1608"/>
      <c r="DB9" s="1608"/>
      <c r="DC9" s="1608"/>
      <c r="DD9" s="1608"/>
      <c r="DE9" s="1608"/>
      <c r="DF9" s="1608"/>
      <c r="DG9" s="1608"/>
      <c r="DH9" s="1608"/>
      <c r="DI9" s="1608"/>
      <c r="DJ9" s="1608"/>
      <c r="DK9" s="1608"/>
    </row>
    <row r="10" spans="2:158" ht="19.5" customHeight="1" thickBot="1">
      <c r="D10" s="1500" t="str">
        <f>+IF(AS5="국산","모델명","딜 러 사")</f>
        <v>모델명</v>
      </c>
      <c r="E10" s="1501"/>
      <c r="F10" s="1501"/>
      <c r="G10" s="1501"/>
      <c r="H10" s="1501"/>
      <c r="I10" s="1501"/>
      <c r="J10" s="1501"/>
      <c r="K10" s="1585" t="str">
        <f>IF(AS5="국산",AS7,IF(AND(AS5="수입",운용리스_단일!AS47="기타"),"",운용리스_단일!AS47))</f>
        <v>GV80 3.5T (가솔린)_Coupe</v>
      </c>
      <c r="L10" s="1585"/>
      <c r="M10" s="1585"/>
      <c r="N10" s="1585"/>
      <c r="O10" s="1585"/>
      <c r="P10" s="1585"/>
      <c r="Q10" s="1585"/>
      <c r="R10" s="1585"/>
      <c r="S10" s="1585"/>
      <c r="T10" s="1585"/>
      <c r="U10" s="1585"/>
      <c r="V10" s="1585"/>
      <c r="W10" s="1585"/>
      <c r="X10" s="1585"/>
      <c r="Y10" s="1585"/>
      <c r="Z10" s="1585"/>
      <c r="AA10" s="1585"/>
      <c r="AB10" s="1585"/>
      <c r="AC10" s="1585"/>
      <c r="AD10" s="1592">
        <f>운용리스_단일!AS9</f>
        <v>3470</v>
      </c>
      <c r="AE10" s="1592"/>
      <c r="AF10" s="1592"/>
      <c r="AG10" s="1592"/>
      <c r="AH10" s="1592"/>
      <c r="AI10" s="1592"/>
      <c r="AJ10" s="69"/>
      <c r="AM10" s="1196"/>
      <c r="AN10" s="1190" t="s">
        <v>426</v>
      </c>
      <c r="AO10" s="1191"/>
      <c r="AP10" s="1191"/>
      <c r="AQ10" s="1191"/>
      <c r="AR10" s="1191"/>
      <c r="AS10" s="1191"/>
      <c r="AT10" s="1191"/>
      <c r="AU10" s="1191"/>
      <c r="AV10" s="1191"/>
      <c r="AW10" s="1191"/>
      <c r="AX10" s="1191"/>
      <c r="AY10" s="1191"/>
      <c r="AZ10" s="1191"/>
      <c r="BA10" s="1191"/>
      <c r="BB10" s="1191"/>
      <c r="BC10" s="1191"/>
      <c r="BD10" s="1191"/>
      <c r="BE10" s="1191"/>
      <c r="BF10" s="1191"/>
      <c r="BG10" s="1191"/>
      <c r="BH10" s="1191"/>
      <c r="BI10" s="1191"/>
      <c r="BJ10" s="1191"/>
      <c r="BK10" s="1191"/>
      <c r="BL10" s="1191"/>
      <c r="BM10" s="1191"/>
      <c r="BN10" s="1197"/>
      <c r="BP10" s="737"/>
      <c r="BQ10" s="737"/>
      <c r="BR10" s="737"/>
      <c r="BS10" s="737"/>
      <c r="BT10" s="737"/>
      <c r="BU10" s="737"/>
      <c r="BV10" s="737"/>
      <c r="BW10" s="737"/>
      <c r="BX10" s="737"/>
      <c r="BY10" s="737"/>
      <c r="BZ10" s="737"/>
      <c r="CA10" s="737"/>
      <c r="CB10" s="737"/>
      <c r="CC10" s="737"/>
      <c r="CD10" s="737"/>
      <c r="CE10" s="737"/>
      <c r="CF10" s="737"/>
      <c r="CG10" s="737"/>
      <c r="CH10" s="737"/>
      <c r="CI10" s="737"/>
      <c r="CJ10" s="737"/>
      <c r="CK10" s="737"/>
      <c r="CL10" s="737"/>
      <c r="CM10" s="737"/>
      <c r="CN10" s="737"/>
      <c r="CO10" s="737"/>
    </row>
    <row r="11" spans="2:158" ht="30.75" customHeight="1" thickBot="1">
      <c r="C11" s="1293"/>
      <c r="D11" s="1500" t="str">
        <f>IF(AS5="국산","옵션","모델명")</f>
        <v>옵션</v>
      </c>
      <c r="E11" s="1501"/>
      <c r="F11" s="1501"/>
      <c r="G11" s="1501"/>
      <c r="H11" s="1501"/>
      <c r="I11" s="1501"/>
      <c r="J11" s="1501"/>
      <c r="K11" s="1593" t="str">
        <f>IF(AS5="수입",운용리스_단일!AS7,AS8)</f>
        <v>-</v>
      </c>
      <c r="L11" s="1593"/>
      <c r="M11" s="1593"/>
      <c r="N11" s="1593"/>
      <c r="O11" s="1593"/>
      <c r="P11" s="1593"/>
      <c r="Q11" s="1593"/>
      <c r="R11" s="1593"/>
      <c r="S11" s="1593"/>
      <c r="T11" s="1593"/>
      <c r="U11" s="1593"/>
      <c r="V11" s="1593"/>
      <c r="W11" s="1593"/>
      <c r="X11" s="1593"/>
      <c r="Y11" s="1593"/>
      <c r="Z11" s="1593"/>
      <c r="AA11" s="1593"/>
      <c r="AB11" s="1593"/>
      <c r="AC11" s="1593"/>
      <c r="AD11" s="1593"/>
      <c r="AE11" s="1593"/>
      <c r="AF11" s="1593"/>
      <c r="AG11" s="1593"/>
      <c r="AH11" s="1593"/>
      <c r="AI11" s="1593"/>
      <c r="AJ11" s="70"/>
      <c r="AM11" s="1196"/>
      <c r="AN11" s="1587" t="s">
        <v>430</v>
      </c>
      <c r="AO11" s="1588"/>
      <c r="AP11" s="1588"/>
      <c r="AQ11" s="1588"/>
      <c r="AR11" s="1589"/>
      <c r="AS11" s="1629"/>
      <c r="AT11" s="1630"/>
      <c r="AU11" s="1630"/>
      <c r="AV11" s="1630"/>
      <c r="AW11" s="1630"/>
      <c r="AX11" s="1630"/>
      <c r="AY11" s="1630"/>
      <c r="AZ11" s="1630"/>
      <c r="BA11" s="1630"/>
      <c r="BB11" s="1630"/>
      <c r="BC11" s="1630"/>
      <c r="BD11" s="1630"/>
      <c r="BE11" s="1630"/>
      <c r="BF11" s="1630"/>
      <c r="BG11" s="1630"/>
      <c r="BH11" s="1630"/>
      <c r="BI11" s="1630"/>
      <c r="BJ11" s="1630"/>
      <c r="BK11" s="1630"/>
      <c r="BL11" s="1630"/>
      <c r="BM11" s="1631"/>
      <c r="BN11" s="1191"/>
      <c r="BO11" s="1614" t="s">
        <v>3231</v>
      </c>
      <c r="BP11" s="1615"/>
      <c r="BQ11" s="1615"/>
      <c r="BR11" s="1615"/>
      <c r="BS11" s="1615"/>
      <c r="BT11" s="1615"/>
      <c r="BU11" s="1615"/>
      <c r="BV11" s="1615"/>
      <c r="BW11" s="1615"/>
      <c r="BX11" s="1615"/>
      <c r="BY11" s="1615"/>
      <c r="BZ11" s="1615"/>
      <c r="CA11" s="1615"/>
      <c r="CB11" s="1615"/>
      <c r="CC11" s="1616"/>
      <c r="CD11" s="737"/>
      <c r="CE11" s="737"/>
      <c r="CF11" s="737"/>
      <c r="CG11" s="737"/>
      <c r="CH11" s="737"/>
      <c r="CI11" s="737"/>
      <c r="CJ11" s="737"/>
      <c r="CK11" s="737"/>
      <c r="CL11" s="737"/>
      <c r="CM11" s="737"/>
      <c r="CN11" s="737"/>
      <c r="CP11" s="1727" t="s">
        <v>1249</v>
      </c>
      <c r="CQ11" s="1727"/>
      <c r="CR11" s="1727"/>
      <c r="CS11" s="1727"/>
      <c r="CT11" s="1727"/>
      <c r="CU11" s="1727"/>
      <c r="CV11" s="1727"/>
      <c r="CW11" s="1727"/>
      <c r="CX11" s="1727"/>
      <c r="CY11" s="1727"/>
      <c r="CZ11" s="1727"/>
      <c r="DA11" s="1727"/>
      <c r="DB11" s="1727"/>
      <c r="DC11" s="1727"/>
      <c r="DD11" s="1727"/>
      <c r="DE11" s="1727"/>
      <c r="DF11" s="1727"/>
      <c r="DG11" s="1727"/>
      <c r="DH11" s="1727"/>
      <c r="DI11" s="1727"/>
      <c r="DJ11" s="1727"/>
      <c r="DK11" s="1727"/>
      <c r="DL11" s="1727"/>
    </row>
    <row r="12" spans="2:158" ht="20.100000000000001" customHeight="1" thickBot="1">
      <c r="D12" s="1581" t="str">
        <f>IF(AS5="국산","차량색상(내장, 외장)",IF(AS5="수입","차량기본가"))</f>
        <v>차량색상(내장, 외장)</v>
      </c>
      <c r="E12" s="1582"/>
      <c r="F12" s="1582"/>
      <c r="G12" s="1582"/>
      <c r="H12" s="1582"/>
      <c r="I12" s="1582"/>
      <c r="J12" s="1582"/>
      <c r="K12" s="1586" t="str">
        <f>IF(AS5="국산","외장: "&amp;BO7&amp;" _ "&amp;" 내장: "&amp;BO8,IF(AS5="수입",AS11))</f>
        <v xml:space="preserve">외장:  _  내장: </v>
      </c>
      <c r="L12" s="1586"/>
      <c r="M12" s="1586"/>
      <c r="N12" s="1586"/>
      <c r="O12" s="1586"/>
      <c r="P12" s="1586"/>
      <c r="Q12" s="1586"/>
      <c r="R12" s="1586"/>
      <c r="S12" s="1586"/>
      <c r="T12" s="1586"/>
      <c r="U12" s="1586"/>
      <c r="V12" s="1586"/>
      <c r="W12" s="1586"/>
      <c r="X12" s="1586"/>
      <c r="Y12" s="1586"/>
      <c r="Z12" s="1586"/>
      <c r="AA12" s="1586"/>
      <c r="AB12" s="1586"/>
      <c r="AC12" s="1586"/>
      <c r="AD12" s="1586"/>
      <c r="AE12" s="1586"/>
      <c r="AF12" s="1586"/>
      <c r="AG12" s="1586"/>
      <c r="AH12" s="1586"/>
      <c r="AI12" s="1586"/>
      <c r="AJ12" s="71"/>
      <c r="AM12" s="1196"/>
      <c r="AN12" s="1406" t="s">
        <v>428</v>
      </c>
      <c r="AO12" s="1422"/>
      <c r="AP12" s="1422"/>
      <c r="AQ12" s="1422"/>
      <c r="AR12" s="1422"/>
      <c r="AS12" s="1599">
        <f>IFERROR(IF(VLOOKUP(운용리스_단일!AS47,제휴조건!D5:P27,4,0)="MSRP",SUM(운용리스_단일!AS11+운용리스_단일!BF12)*VLOOKUP(운용리스_단일!AS47,제휴조건!D5:H27,5,0),0),0)+IF(AS6="현대특판",계산_운용리스_단일!C72)+IF(AS6="KG모빌리티_특판",계산_운용리스_단일!C72)+IF(AS6="르노_특판",계산_운용리스_단일!C72)</f>
        <v>0</v>
      </c>
      <c r="AT12" s="1600"/>
      <c r="AU12" s="1600"/>
      <c r="AV12" s="1600"/>
      <c r="AW12" s="1600"/>
      <c r="AX12" s="1600"/>
      <c r="AY12" s="1192"/>
      <c r="AZ12" s="1192"/>
      <c r="BA12" s="1622" t="s">
        <v>431</v>
      </c>
      <c r="BB12" s="1623"/>
      <c r="BC12" s="1623"/>
      <c r="BD12" s="1623"/>
      <c r="BE12" s="1623"/>
      <c r="BF12" s="1624">
        <v>0</v>
      </c>
      <c r="BG12" s="1624"/>
      <c r="BH12" s="1624"/>
      <c r="BI12" s="1624"/>
      <c r="BJ12" s="1624"/>
      <c r="BK12" s="1624"/>
      <c r="BL12" s="1624"/>
      <c r="BM12" s="1625"/>
      <c r="BN12" s="1298" t="s">
        <v>3224</v>
      </c>
      <c r="BO12" s="1702">
        <v>0</v>
      </c>
      <c r="BP12" s="1702"/>
      <c r="BQ12" s="1702"/>
      <c r="BR12" s="1702"/>
      <c r="BS12" s="1702"/>
      <c r="BT12" s="1702"/>
      <c r="BU12" s="1702"/>
      <c r="BV12" s="1702"/>
      <c r="BW12" s="1702"/>
      <c r="BX12" s="1702"/>
      <c r="BY12" s="1702"/>
      <c r="BZ12" s="1702"/>
      <c r="CA12" s="1702"/>
      <c r="CB12" s="1702"/>
      <c r="CC12" s="1702"/>
      <c r="CD12" s="1296"/>
      <c r="CE12" s="1296"/>
      <c r="CF12" s="1297"/>
      <c r="CG12" s="1297"/>
      <c r="CH12" s="1297"/>
      <c r="CI12" s="1297"/>
      <c r="CJ12" s="1297"/>
      <c r="CK12" s="1297"/>
      <c r="CL12" s="1297"/>
      <c r="CM12" s="1294" t="b">
        <f>IF(BN12="커스터마이징 적용",TRUE,FALSE)</f>
        <v>0</v>
      </c>
      <c r="CN12" s="737"/>
      <c r="CP12" s="1728"/>
      <c r="CQ12" s="1728"/>
      <c r="CR12" s="1728"/>
      <c r="CS12" s="1728"/>
      <c r="CT12" s="1728"/>
      <c r="CU12" s="1728"/>
      <c r="CV12" s="1728"/>
      <c r="CW12" s="1728"/>
      <c r="CX12" s="1728"/>
      <c r="CY12" s="1728"/>
      <c r="CZ12" s="1728"/>
      <c r="DA12" s="1728"/>
      <c r="DB12" s="1728"/>
      <c r="DC12" s="1728"/>
      <c r="DD12" s="1728"/>
      <c r="DE12" s="1728"/>
      <c r="DF12" s="1728"/>
      <c r="DG12" s="1728"/>
      <c r="DH12" s="1728"/>
      <c r="DI12" s="1728"/>
      <c r="DJ12" s="1728"/>
      <c r="DK12" s="1728"/>
      <c r="DL12" s="1728"/>
    </row>
    <row r="13" spans="2:158" ht="20.100000000000001" customHeight="1" thickBot="1">
      <c r="D13" s="1536" t="str">
        <f>IF(AS5="국산","차량기본가",IF(AS5="수입","옵션가격"))</f>
        <v>차량기본가</v>
      </c>
      <c r="E13" s="1537"/>
      <c r="F13" s="1537"/>
      <c r="G13" s="1537"/>
      <c r="H13" s="1537"/>
      <c r="I13" s="1537"/>
      <c r="J13" s="1537"/>
      <c r="K13" s="1574">
        <f>IF(AS5="국산",AS11,IF(AS5="수입",BF12))</f>
        <v>0</v>
      </c>
      <c r="L13" s="1574"/>
      <c r="M13" s="1574"/>
      <c r="N13" s="1574"/>
      <c r="O13" s="1574"/>
      <c r="P13" s="1574"/>
      <c r="Q13" s="1574"/>
      <c r="R13" s="1574"/>
      <c r="S13" s="1574"/>
      <c r="T13" s="1574"/>
      <c r="U13" s="1574"/>
      <c r="V13" s="1574"/>
      <c r="W13" s="1574"/>
      <c r="X13" s="1574"/>
      <c r="Y13" s="1574"/>
      <c r="Z13" s="1574"/>
      <c r="AA13" s="1574"/>
      <c r="AB13" s="1574"/>
      <c r="AC13" s="1574"/>
      <c r="AD13" s="1574"/>
      <c r="AE13" s="1574"/>
      <c r="AF13" s="1574"/>
      <c r="AG13" s="1574"/>
      <c r="AH13" s="1574"/>
      <c r="AI13" s="1574"/>
      <c r="AJ13" s="71"/>
      <c r="AM13" s="1196"/>
      <c r="AN13" s="1417" t="s">
        <v>261</v>
      </c>
      <c r="AO13" s="1418"/>
      <c r="AP13" s="1418"/>
      <c r="AQ13" s="1418"/>
      <c r="AR13" s="1418"/>
      <c r="AS13" s="1618">
        <v>0</v>
      </c>
      <c r="AT13" s="1619"/>
      <c r="AU13" s="1619"/>
      <c r="AV13" s="1619"/>
      <c r="AW13" s="1619"/>
      <c r="AX13" s="1619"/>
      <c r="AY13" s="1193"/>
      <c r="AZ13" s="1193"/>
      <c r="BA13" s="1579" t="s">
        <v>432</v>
      </c>
      <c r="BB13" s="1580"/>
      <c r="BC13" s="1580"/>
      <c r="BD13" s="1580"/>
      <c r="BE13" s="1580"/>
      <c r="BF13" s="1526">
        <f>운용리스_단일!AS12+운용리스_단일!AS13-CH5</f>
        <v>0</v>
      </c>
      <c r="BG13" s="1526"/>
      <c r="BH13" s="1526"/>
      <c r="BI13" s="1526"/>
      <c r="BJ13" s="1526"/>
      <c r="BK13" s="1526"/>
      <c r="BL13" s="1526"/>
      <c r="BM13" s="1527"/>
      <c r="BN13" s="1295" t="s">
        <v>3225</v>
      </c>
      <c r="BO13" s="1703"/>
      <c r="BP13" s="1703"/>
      <c r="BQ13" s="1703"/>
      <c r="BR13" s="1703"/>
      <c r="BS13" s="1703"/>
      <c r="BT13" s="1703"/>
      <c r="BU13" s="1703"/>
      <c r="BV13" s="1703"/>
      <c r="BW13" s="1703"/>
      <c r="BX13" s="1703"/>
      <c r="BY13" s="1703"/>
      <c r="BZ13" s="1703"/>
      <c r="CA13" s="1703"/>
      <c r="CB13" s="1703"/>
      <c r="CC13" s="1703"/>
      <c r="CD13" s="1296"/>
      <c r="CE13" s="1296"/>
      <c r="CF13" s="1297"/>
      <c r="CG13" s="1297"/>
      <c r="CH13" s="1297"/>
      <c r="CI13" s="1297"/>
      <c r="CJ13" s="1297"/>
      <c r="CK13" s="1297"/>
      <c r="CL13" s="1297"/>
      <c r="CM13" s="737"/>
      <c r="CN13" s="737"/>
      <c r="CP13" s="1728"/>
      <c r="CQ13" s="1728"/>
      <c r="CR13" s="1728"/>
      <c r="CS13" s="1728"/>
      <c r="CT13" s="1728"/>
      <c r="CU13" s="1728"/>
      <c r="CV13" s="1728"/>
      <c r="CW13" s="1728"/>
      <c r="CX13" s="1728"/>
      <c r="CY13" s="1728"/>
      <c r="CZ13" s="1728"/>
      <c r="DA13" s="1728"/>
      <c r="DB13" s="1728"/>
      <c r="DC13" s="1728"/>
      <c r="DD13" s="1728"/>
      <c r="DE13" s="1728"/>
      <c r="DF13" s="1728"/>
      <c r="DG13" s="1728"/>
      <c r="DH13" s="1728"/>
      <c r="DI13" s="1728"/>
      <c r="DJ13" s="1728"/>
      <c r="DK13" s="1728"/>
      <c r="DL13" s="1728"/>
    </row>
    <row r="14" spans="2:158" s="40" customFormat="1" ht="20.100000000000001" customHeight="1" thickBot="1">
      <c r="B14" s="36"/>
      <c r="C14" s="36"/>
      <c r="D14" s="1536" t="str">
        <f>IF(AS5="국산","옵션가격",IF(AS5="수입","할인금액"))</f>
        <v>옵션가격</v>
      </c>
      <c r="E14" s="1537"/>
      <c r="F14" s="1537"/>
      <c r="G14" s="1537"/>
      <c r="H14" s="1537"/>
      <c r="I14" s="1537"/>
      <c r="J14" s="1537"/>
      <c r="K14" s="1573">
        <f>IF(AS5="국산",BF12,IF(AS5="수입",BF13))</f>
        <v>0</v>
      </c>
      <c r="L14" s="1574"/>
      <c r="M14" s="1574"/>
      <c r="N14" s="1574"/>
      <c r="O14" s="1574"/>
      <c r="P14" s="1574"/>
      <c r="Q14" s="1574"/>
      <c r="R14" s="1574"/>
      <c r="S14" s="1574"/>
      <c r="T14" s="1574"/>
      <c r="U14" s="1574"/>
      <c r="V14" s="1574"/>
      <c r="W14" s="1574"/>
      <c r="X14" s="1574"/>
      <c r="Y14" s="1574"/>
      <c r="Z14" s="1574"/>
      <c r="AA14" s="1574"/>
      <c r="AB14" s="1574"/>
      <c r="AC14" s="1574"/>
      <c r="AD14" s="1574"/>
      <c r="AE14" s="1574"/>
      <c r="AF14" s="1574"/>
      <c r="AG14" s="1574"/>
      <c r="AH14" s="1574"/>
      <c r="AI14" s="1574"/>
      <c r="AJ14" s="71"/>
      <c r="AK14" s="38"/>
      <c r="AL14" s="36"/>
      <c r="AM14" s="1196"/>
      <c r="AN14" s="1406" t="s">
        <v>429</v>
      </c>
      <c r="AO14" s="1422"/>
      <c r="AP14" s="1422"/>
      <c r="AQ14" s="1422"/>
      <c r="AR14" s="1422"/>
      <c r="AS14" s="1650">
        <f>IF(AS6="현대특판",계산_운용리스_단일!C71-계산_운용리스_단일!C72,IF(OR(운용리스_단일!AS6="현대",운용리스_단일!AS6="기아"),(운용리스_단일!AS11+운용리스_단일!BF12)-계산_운용리스_단일!C70-AS13,IF(AS6="KG모빌리티_특판",IF(BO11="커스터마이징 적용",(AS11+BF12+BO12),(AS11+BF12))-계산_운용리스_단일!C72,SUM(AS11,BF12)-BF13)))+CH5</f>
        <v>0</v>
      </c>
      <c r="AT14" s="1651"/>
      <c r="AU14" s="1651"/>
      <c r="AV14" s="1651"/>
      <c r="AW14" s="1651"/>
      <c r="AX14" s="1651"/>
      <c r="AY14" s="1651"/>
      <c r="AZ14" s="1651"/>
      <c r="BA14" s="1651"/>
      <c r="BB14" s="1651"/>
      <c r="BC14" s="1651"/>
      <c r="BD14" s="1651"/>
      <c r="BE14" s="1651"/>
      <c r="BF14" s="1651"/>
      <c r="BG14" s="1651"/>
      <c r="BH14" s="1651"/>
      <c r="BI14" s="1651"/>
      <c r="BJ14" s="1651"/>
      <c r="BK14" s="1651"/>
      <c r="BL14" s="1651"/>
      <c r="BM14" s="1652"/>
      <c r="BN14" s="1197"/>
      <c r="BO14" s="37"/>
      <c r="BP14" s="36"/>
      <c r="BQ14" s="36"/>
      <c r="BR14" s="36"/>
      <c r="BS14" s="36"/>
      <c r="BT14" s="36"/>
      <c r="BU14" s="36"/>
      <c r="BV14" s="36"/>
      <c r="BW14" s="36"/>
      <c r="BX14" s="36"/>
      <c r="BY14" s="36"/>
      <c r="BZ14" s="36"/>
      <c r="CA14" s="36"/>
      <c r="CB14" s="36"/>
      <c r="CC14" s="36"/>
      <c r="CD14" s="36"/>
      <c r="CE14" s="36"/>
      <c r="CF14" s="36"/>
      <c r="CG14" s="36"/>
      <c r="CH14" s="36"/>
      <c r="CI14" s="36"/>
      <c r="CJ14" s="36"/>
      <c r="CK14" s="36"/>
      <c r="CL14" s="36"/>
      <c r="CM14" s="36"/>
      <c r="CN14" s="36"/>
      <c r="CO14" s="36"/>
      <c r="CP14" s="1728"/>
      <c r="CQ14" s="1728"/>
      <c r="CR14" s="1728"/>
      <c r="CS14" s="1728"/>
      <c r="CT14" s="1728"/>
      <c r="CU14" s="1728"/>
      <c r="CV14" s="1728"/>
      <c r="CW14" s="1728"/>
      <c r="CX14" s="1728"/>
      <c r="CY14" s="1728"/>
      <c r="CZ14" s="1728"/>
      <c r="DA14" s="1728"/>
      <c r="DB14" s="1728"/>
      <c r="DC14" s="1728"/>
      <c r="DD14" s="1728"/>
      <c r="DE14" s="1728"/>
      <c r="DF14" s="1728"/>
      <c r="DG14" s="1728"/>
      <c r="DH14" s="1728"/>
      <c r="DI14" s="1728"/>
      <c r="DJ14" s="1728"/>
      <c r="DK14" s="1728"/>
      <c r="DL14" s="1728"/>
      <c r="DM14" s="36"/>
      <c r="DN14" s="36"/>
      <c r="DO14" s="36"/>
      <c r="DP14" s="798"/>
      <c r="DQ14" s="798"/>
      <c r="DR14" s="798"/>
      <c r="DS14" s="798"/>
      <c r="DT14" s="798"/>
      <c r="DU14" s="798"/>
      <c r="DV14" s="798"/>
      <c r="DW14" s="798"/>
      <c r="DX14" s="799"/>
      <c r="DY14" s="799"/>
      <c r="DZ14" s="799"/>
      <c r="EA14" s="799"/>
      <c r="EB14" s="799"/>
      <c r="EC14" s="799"/>
      <c r="ED14" s="799"/>
      <c r="EE14" s="799"/>
      <c r="EF14" s="799"/>
      <c r="EG14" s="799"/>
      <c r="EH14" s="799"/>
      <c r="EI14" s="799"/>
      <c r="EJ14" s="799"/>
      <c r="EK14" s="799"/>
      <c r="EL14" s="798"/>
      <c r="EM14" s="799"/>
      <c r="EN14" s="799"/>
      <c r="EO14" s="799"/>
      <c r="EP14" s="799"/>
      <c r="EQ14" s="799"/>
      <c r="ER14" s="799"/>
      <c r="ES14" s="130"/>
      <c r="ET14" s="130"/>
      <c r="EU14" s="130"/>
      <c r="EV14" s="130"/>
      <c r="EW14" s="130"/>
      <c r="EX14" s="130"/>
      <c r="EY14" s="130"/>
      <c r="EZ14" s="130"/>
      <c r="FA14" s="130"/>
      <c r="FB14" s="130"/>
    </row>
    <row r="15" spans="2:158" s="40" customFormat="1" ht="20.100000000000001" customHeight="1" thickBot="1">
      <c r="B15" s="36"/>
      <c r="C15" s="36"/>
      <c r="D15" s="1575" t="str">
        <f>IF(AS5="국산","할인금액",IF(AS5="수입",""))</f>
        <v>할인금액</v>
      </c>
      <c r="E15" s="1576"/>
      <c r="F15" s="1576"/>
      <c r="G15" s="1576"/>
      <c r="H15" s="1576"/>
      <c r="I15" s="1576"/>
      <c r="J15" s="1576"/>
      <c r="K15" s="1573">
        <f>+IF(AS5="국산",운용리스_단일!BF13,"")</f>
        <v>0</v>
      </c>
      <c r="L15" s="1574"/>
      <c r="M15" s="1574"/>
      <c r="N15" s="1574"/>
      <c r="O15" s="1574"/>
      <c r="P15" s="1574"/>
      <c r="Q15" s="1574"/>
      <c r="R15" s="1574"/>
      <c r="S15" s="1574"/>
      <c r="T15" s="1574"/>
      <c r="U15" s="1574"/>
      <c r="V15" s="1574"/>
      <c r="W15" s="1574"/>
      <c r="X15" s="1574"/>
      <c r="Y15" s="1574"/>
      <c r="Z15" s="1574"/>
      <c r="AA15" s="1574"/>
      <c r="AB15" s="1574"/>
      <c r="AC15" s="1574"/>
      <c r="AD15" s="1574"/>
      <c r="AE15" s="1574"/>
      <c r="AF15" s="1574"/>
      <c r="AG15" s="1574"/>
      <c r="AH15" s="1574"/>
      <c r="AI15" s="1574"/>
      <c r="AJ15" s="36"/>
      <c r="AK15" s="38"/>
      <c r="AL15" s="36"/>
      <c r="AM15" s="1196"/>
      <c r="AN15" s="1555" t="s">
        <v>253</v>
      </c>
      <c r="AO15" s="1556"/>
      <c r="AP15" s="1556"/>
      <c r="AQ15" s="1556"/>
      <c r="AR15" s="1556"/>
      <c r="AS15" s="1609">
        <f>AS14+IF(BR20=TRUE,IF(AS5="국산",운용리스_단일!BD23,0))+IF(AND($AS$5="국산",$AS$6="현대특판",$BD$23&lt;=0),$DK$21,0)</f>
        <v>0</v>
      </c>
      <c r="AT15" s="1610"/>
      <c r="AU15" s="1610"/>
      <c r="AV15" s="1610"/>
      <c r="AW15" s="1610"/>
      <c r="AX15" s="1610"/>
      <c r="AY15" s="1610"/>
      <c r="AZ15" s="1610"/>
      <c r="BA15" s="1610"/>
      <c r="BB15" s="1610"/>
      <c r="BC15" s="1610"/>
      <c r="BD15" s="1610"/>
      <c r="BE15" s="1610"/>
      <c r="BF15" s="1610"/>
      <c r="BG15" s="1610"/>
      <c r="BH15" s="1610"/>
      <c r="BI15" s="1610"/>
      <c r="BJ15" s="1610"/>
      <c r="BK15" s="1610"/>
      <c r="BL15" s="1610"/>
      <c r="BM15" s="1611"/>
      <c r="BN15" s="1197"/>
      <c r="BO15" s="37"/>
      <c r="BP15" s="1612" t="s">
        <v>1133</v>
      </c>
      <c r="BQ15" s="1612"/>
      <c r="BR15" s="1612"/>
      <c r="BS15" s="1612"/>
      <c r="BT15" s="1612"/>
      <c r="BU15" s="1612"/>
      <c r="BV15" s="1612"/>
      <c r="BW15" s="1612"/>
      <c r="BX15" s="1612"/>
      <c r="BY15" s="1612"/>
      <c r="BZ15" s="1612"/>
      <c r="CA15" s="1612"/>
      <c r="CB15" s="1612"/>
      <c r="CC15" s="1612"/>
      <c r="CD15" s="1612"/>
      <c r="CE15" s="1612"/>
      <c r="CF15" s="1612"/>
      <c r="CG15" s="1612"/>
      <c r="CH15" s="1612"/>
      <c r="CI15" s="1612"/>
      <c r="CJ15" s="1612"/>
      <c r="CK15" s="1612"/>
      <c r="CL15" s="1612"/>
      <c r="CM15" s="1612"/>
      <c r="CN15" s="1612"/>
      <c r="CO15" s="36"/>
      <c r="CP15" s="1729"/>
      <c r="CQ15" s="1729"/>
      <c r="CR15" s="1729"/>
      <c r="CS15" s="1729"/>
      <c r="CT15" s="1729"/>
      <c r="CU15" s="1729"/>
      <c r="CV15" s="1729"/>
      <c r="CW15" s="1729"/>
      <c r="CX15" s="1729"/>
      <c r="CY15" s="1729"/>
      <c r="CZ15" s="1729"/>
      <c r="DA15" s="1729"/>
      <c r="DB15" s="1729"/>
      <c r="DC15" s="1729"/>
      <c r="DD15" s="1729"/>
      <c r="DE15" s="1729"/>
      <c r="DF15" s="1729"/>
      <c r="DG15" s="1729"/>
      <c r="DH15" s="1729"/>
      <c r="DI15" s="1729"/>
      <c r="DJ15" s="1729"/>
      <c r="DK15" s="1729"/>
      <c r="DL15" s="1729"/>
      <c r="DM15" s="36"/>
      <c r="DN15" s="36"/>
      <c r="DO15" s="36"/>
      <c r="DP15" s="798"/>
      <c r="DQ15" s="798"/>
      <c r="DR15" s="798"/>
      <c r="DS15" s="798"/>
      <c r="DT15" s="798"/>
      <c r="DU15" s="798"/>
      <c r="DV15" s="798"/>
      <c r="DW15" s="798"/>
      <c r="DX15" s="799"/>
      <c r="DY15" s="799"/>
      <c r="DZ15" s="799"/>
      <c r="EA15" s="799"/>
      <c r="EB15" s="799"/>
      <c r="EC15" s="799"/>
      <c r="ED15" s="799"/>
      <c r="EE15" s="799"/>
      <c r="EF15" s="799"/>
      <c r="EG15" s="799"/>
      <c r="EH15" s="799"/>
      <c r="EI15" s="799"/>
      <c r="EJ15" s="799"/>
      <c r="EK15" s="799"/>
      <c r="EL15" s="798"/>
      <c r="EM15" s="799"/>
      <c r="EN15" s="799"/>
      <c r="EO15" s="799"/>
      <c r="EP15" s="799"/>
      <c r="EQ15" s="799"/>
      <c r="ER15" s="799"/>
      <c r="ES15" s="130"/>
      <c r="ET15" s="130"/>
      <c r="EU15" s="130"/>
      <c r="EV15" s="130"/>
      <c r="EW15" s="130"/>
      <c r="EX15" s="130"/>
      <c r="EY15" s="130"/>
      <c r="EZ15" s="130"/>
      <c r="FA15" s="130"/>
      <c r="FB15" s="130"/>
    </row>
    <row r="16" spans="2:158" ht="20.100000000000001" customHeight="1" thickBot="1">
      <c r="D16" s="53" t="s">
        <v>449</v>
      </c>
      <c r="E16" s="51" t="s">
        <v>450</v>
      </c>
      <c r="AI16" s="42"/>
      <c r="AJ16" s="42"/>
      <c r="AL16" s="38"/>
      <c r="AM16" s="1196"/>
      <c r="AN16" s="1190" t="s">
        <v>254</v>
      </c>
      <c r="AO16" s="1191"/>
      <c r="AP16" s="1191"/>
      <c r="AQ16" s="1191"/>
      <c r="AR16" s="1191"/>
      <c r="AS16" s="1191"/>
      <c r="AT16" s="1191"/>
      <c r="AU16" s="1191"/>
      <c r="AV16" s="1191"/>
      <c r="AW16" s="1191"/>
      <c r="AX16" s="1191"/>
      <c r="AY16" s="1191"/>
      <c r="AZ16" s="1191"/>
      <c r="BA16" s="1191"/>
      <c r="BB16" s="1191"/>
      <c r="BC16" s="1191"/>
      <c r="BD16" s="1191"/>
      <c r="BE16" s="1191"/>
      <c r="BF16" s="1191"/>
      <c r="BG16" s="1191"/>
      <c r="BH16" s="1191"/>
      <c r="BI16" s="1191"/>
      <c r="BJ16" s="1191"/>
      <c r="BK16" s="1191"/>
      <c r="BL16" s="1191"/>
      <c r="BM16" s="1191"/>
      <c r="BN16" s="1197"/>
      <c r="BP16" s="1613"/>
      <c r="BQ16" s="1613"/>
      <c r="BR16" s="1613"/>
      <c r="BS16" s="1613"/>
      <c r="BT16" s="1613"/>
      <c r="BU16" s="1613"/>
      <c r="BV16" s="1613"/>
      <c r="BW16" s="1613"/>
      <c r="BX16" s="1613"/>
      <c r="BY16" s="1613"/>
      <c r="BZ16" s="1613"/>
      <c r="CA16" s="1613"/>
      <c r="CB16" s="1613"/>
      <c r="CC16" s="1613"/>
      <c r="CD16" s="1613"/>
      <c r="CE16" s="1613"/>
      <c r="CF16" s="1613"/>
      <c r="CG16" s="1613"/>
      <c r="CH16" s="1613"/>
      <c r="CI16" s="1613"/>
      <c r="CJ16" s="1613"/>
      <c r="CK16" s="1613"/>
      <c r="CL16" s="1613"/>
      <c r="CM16" s="1613"/>
      <c r="CN16" s="1613"/>
      <c r="EJ16" s="925" t="s">
        <v>1671</v>
      </c>
      <c r="EK16" s="928">
        <f ca="1">TODAY()</f>
        <v>45646</v>
      </c>
    </row>
    <row r="17" spans="4:142" ht="20.100000000000001" customHeight="1">
      <c r="D17" s="1500" t="s">
        <v>278</v>
      </c>
      <c r="E17" s="1501"/>
      <c r="F17" s="1501"/>
      <c r="G17" s="1501"/>
      <c r="H17" s="1501"/>
      <c r="I17" s="1501"/>
      <c r="J17" s="1501"/>
      <c r="K17" s="1644">
        <f>운용리스_단일!AS15</f>
        <v>0</v>
      </c>
      <c r="L17" s="1644"/>
      <c r="M17" s="1644"/>
      <c r="N17" s="1644"/>
      <c r="O17" s="1644"/>
      <c r="P17" s="1644"/>
      <c r="Q17" s="49"/>
      <c r="R17" s="49"/>
      <c r="T17" s="1500" t="s">
        <v>284</v>
      </c>
      <c r="U17" s="1501"/>
      <c r="V17" s="1501"/>
      <c r="W17" s="1501"/>
      <c r="X17" s="1501"/>
      <c r="Y17" s="1501"/>
      <c r="Z17" s="1501"/>
      <c r="AA17" s="1577">
        <f>운용리스_단일!AS28</f>
        <v>60</v>
      </c>
      <c r="AB17" s="1577"/>
      <c r="AC17" s="1577"/>
      <c r="AD17" s="1577"/>
      <c r="AE17" s="1577"/>
      <c r="AF17" s="1577"/>
      <c r="AG17" s="1577"/>
      <c r="AH17" s="1577"/>
      <c r="AI17" s="1577"/>
      <c r="AJ17" s="72"/>
      <c r="AL17" s="38"/>
      <c r="AM17" s="1196"/>
      <c r="AN17" s="1522" t="s">
        <v>45</v>
      </c>
      <c r="AO17" s="1522"/>
      <c r="AP17" s="1522"/>
      <c r="AQ17" s="1522"/>
      <c r="AR17" s="1523"/>
      <c r="AS17" s="1634">
        <f>IF($BR$18=FALSE,계산_운용리스_단일!C8,BD18)</f>
        <v>0</v>
      </c>
      <c r="AT17" s="1635"/>
      <c r="AU17" s="1635"/>
      <c r="AV17" s="1635"/>
      <c r="AW17" s="1635"/>
      <c r="AX17" s="1635"/>
      <c r="AY17" s="1635"/>
      <c r="AZ17" s="1635"/>
      <c r="BA17" s="1635"/>
      <c r="BB17" s="1635"/>
      <c r="BC17" s="1635"/>
      <c r="BD17" s="1635"/>
      <c r="BE17" s="1635"/>
      <c r="BF17" s="1635"/>
      <c r="BG17" s="1635"/>
      <c r="BH17" s="1635"/>
      <c r="BI17" s="1635"/>
      <c r="BJ17" s="1635"/>
      <c r="BK17" s="1635"/>
      <c r="BL17" s="1635"/>
      <c r="BM17" s="1636"/>
      <c r="BN17" s="1197"/>
      <c r="BP17" s="128"/>
      <c r="BQ17" s="128"/>
      <c r="BR17" s="131" t="b">
        <v>1</v>
      </c>
      <c r="BS17" s="128"/>
      <c r="BT17" s="128"/>
      <c r="BU17" s="128"/>
      <c r="BV17" s="128"/>
      <c r="BW17" s="128"/>
      <c r="BX17" s="128"/>
      <c r="BY17" s="128"/>
      <c r="BZ17" s="128"/>
      <c r="EJ17" s="926" t="s">
        <v>1670</v>
      </c>
      <c r="EK17" s="930">
        <v>45687</v>
      </c>
    </row>
    <row r="18" spans="4:142" ht="20.100000000000001" customHeight="1" thickBot="1">
      <c r="D18" s="1536" t="s">
        <v>499</v>
      </c>
      <c r="E18" s="1537"/>
      <c r="F18" s="1537"/>
      <c r="G18" s="1537"/>
      <c r="H18" s="1537"/>
      <c r="I18" s="1537"/>
      <c r="J18" s="1537"/>
      <c r="K18" s="1544">
        <f>운용리스_단일!AS17</f>
        <v>0</v>
      </c>
      <c r="L18" s="1544"/>
      <c r="M18" s="1544"/>
      <c r="N18" s="1544"/>
      <c r="O18" s="1544"/>
      <c r="P18" s="1544"/>
      <c r="Q18" s="1643"/>
      <c r="R18" s="1643"/>
      <c r="T18" s="1500" t="s">
        <v>285</v>
      </c>
      <c r="U18" s="1501"/>
      <c r="V18" s="1501"/>
      <c r="W18" s="1501"/>
      <c r="X18" s="1501"/>
      <c r="Y18" s="1501"/>
      <c r="Z18" s="1501"/>
      <c r="AA18" s="1578">
        <f>운용리스_단일!AS40</f>
        <v>20000</v>
      </c>
      <c r="AB18" s="1578"/>
      <c r="AC18" s="1578"/>
      <c r="AD18" s="1578"/>
      <c r="AE18" s="1578"/>
      <c r="AF18" s="1578"/>
      <c r="AG18" s="1578"/>
      <c r="AH18" s="1578"/>
      <c r="AI18" s="1578"/>
      <c r="AJ18" s="73"/>
      <c r="AM18" s="1196"/>
      <c r="AN18" s="1524"/>
      <c r="AO18" s="1524"/>
      <c r="AP18" s="1524"/>
      <c r="AQ18" s="1524"/>
      <c r="AR18" s="1525"/>
      <c r="AS18" s="1637"/>
      <c r="AT18" s="1638"/>
      <c r="AU18" s="1638"/>
      <c r="AV18" s="1638"/>
      <c r="AW18" s="1638"/>
      <c r="AX18" s="1638"/>
      <c r="AY18" s="1638"/>
      <c r="AZ18" s="1638"/>
      <c r="BA18" s="1638"/>
      <c r="BB18" s="1638"/>
      <c r="BC18" s="1638"/>
      <c r="BD18" s="1640">
        <v>0</v>
      </c>
      <c r="BE18" s="1640"/>
      <c r="BF18" s="1640"/>
      <c r="BG18" s="1640"/>
      <c r="BH18" s="1640"/>
      <c r="BI18" s="1640"/>
      <c r="BJ18" s="1640"/>
      <c r="BK18" s="1640"/>
      <c r="BL18" s="1640"/>
      <c r="BM18" s="1641"/>
      <c r="BN18" s="1198"/>
      <c r="BO18" s="39"/>
      <c r="BP18" s="128"/>
      <c r="BQ18" s="132" t="s">
        <v>96</v>
      </c>
      <c r="BR18" s="133" t="b">
        <v>0</v>
      </c>
      <c r="BS18" s="128"/>
      <c r="BT18" s="128"/>
      <c r="BU18" s="128"/>
      <c r="BV18" s="128"/>
      <c r="BW18" s="128"/>
      <c r="BX18" s="128"/>
      <c r="BY18" s="128"/>
      <c r="BZ18" s="128"/>
      <c r="DT18" s="798" t="s">
        <v>1276</v>
      </c>
      <c r="EJ18" s="927"/>
      <c r="EK18" s="929">
        <f ca="1">EK16-EK17</f>
        <v>-41</v>
      </c>
    </row>
    <row r="19" spans="4:142" ht="19.5" customHeight="1">
      <c r="D19" s="1536" t="s">
        <v>52</v>
      </c>
      <c r="E19" s="1537"/>
      <c r="F19" s="1537"/>
      <c r="G19" s="1537"/>
      <c r="H19" s="1537"/>
      <c r="I19" s="1537"/>
      <c r="J19" s="1537"/>
      <c r="K19" s="1544">
        <f>운용리스_단일!AS22</f>
        <v>0</v>
      </c>
      <c r="L19" s="1544"/>
      <c r="M19" s="1544"/>
      <c r="N19" s="1544"/>
      <c r="O19" s="1544"/>
      <c r="P19" s="1544"/>
      <c r="Q19" s="1504" t="str">
        <f>IF(운용리스_단일!BR19=TRUE,"(포함)","(불포함)")</f>
        <v>(포함)</v>
      </c>
      <c r="R19" s="1504"/>
      <c r="T19" s="1500" t="s">
        <v>7</v>
      </c>
      <c r="U19" s="1501"/>
      <c r="V19" s="1501"/>
      <c r="W19" s="1501"/>
      <c r="X19" s="1501"/>
      <c r="Y19" s="1501"/>
      <c r="Z19" s="1501"/>
      <c r="AA19" s="1505" t="e">
        <f>IF(AS29="취득원가대비",운용리스_단일!BD30/운용리스_단일!$AS$26,운용리스_단일!BD30/운용리스_단일!$AS$14)</f>
        <v>#DIV/0!</v>
      </c>
      <c r="AB19" s="1506"/>
      <c r="AC19" s="1507"/>
      <c r="AD19" s="1551">
        <f>운용리스_단일!BD30</f>
        <v>0</v>
      </c>
      <c r="AE19" s="1551"/>
      <c r="AF19" s="1551"/>
      <c r="AG19" s="1551"/>
      <c r="AH19" s="1551"/>
      <c r="AI19" s="1551"/>
      <c r="AJ19" s="74"/>
      <c r="AM19" s="1196"/>
      <c r="AN19" s="1567" t="s">
        <v>8</v>
      </c>
      <c r="AO19" s="1568"/>
      <c r="AP19" s="1568"/>
      <c r="AQ19" s="1568"/>
      <c r="AR19" s="1568"/>
      <c r="AS19" s="1569" t="s">
        <v>255</v>
      </c>
      <c r="AT19" s="1570"/>
      <c r="AU19" s="1570"/>
      <c r="AV19" s="1570"/>
      <c r="AW19" s="1570"/>
      <c r="AX19" s="1570"/>
      <c r="AY19" s="1570"/>
      <c r="AZ19" s="1570"/>
      <c r="BA19" s="1570"/>
      <c r="BB19" s="1570"/>
      <c r="BC19" s="1570"/>
      <c r="BD19" s="1570"/>
      <c r="BE19" s="1570"/>
      <c r="BF19" s="1570"/>
      <c r="BG19" s="1570"/>
      <c r="BH19" s="1570"/>
      <c r="BI19" s="1570"/>
      <c r="BJ19" s="1570"/>
      <c r="BK19" s="1570"/>
      <c r="BL19" s="1570"/>
      <c r="BM19" s="1571"/>
      <c r="BN19" s="1197"/>
      <c r="BP19" s="128"/>
      <c r="BQ19" s="132" t="s">
        <v>463</v>
      </c>
      <c r="BR19" s="133" t="b">
        <v>1</v>
      </c>
      <c r="BS19" s="128"/>
      <c r="BT19" s="128"/>
      <c r="BU19" s="128"/>
      <c r="BV19" s="128"/>
      <c r="BW19" s="128"/>
      <c r="BX19" s="128"/>
      <c r="BY19" s="128"/>
      <c r="BZ19" s="128"/>
      <c r="DT19" s="798" t="str">
        <f>+IF(RIGHT(AS7,4)="(EV)","Y","N")</f>
        <v>N</v>
      </c>
    </row>
    <row r="20" spans="4:142" ht="20.100000000000001" customHeight="1">
      <c r="D20" s="1536" t="s">
        <v>56</v>
      </c>
      <c r="E20" s="1537"/>
      <c r="F20" s="1537"/>
      <c r="G20" s="1537"/>
      <c r="H20" s="1537"/>
      <c r="I20" s="1537"/>
      <c r="J20" s="1537"/>
      <c r="K20" s="1544">
        <f>IF(AS5="수입",IF(BR20=TRUE,운용리스_단일!BD23,BD23),0)</f>
        <v>0</v>
      </c>
      <c r="L20" s="1544"/>
      <c r="M20" s="1544"/>
      <c r="N20" s="1544"/>
      <c r="O20" s="1544"/>
      <c r="P20" s="1544"/>
      <c r="Q20" s="1504" t="str">
        <f>IF(운용리스_단일!BR20=TRUE,"(포함)","(불포함)")</f>
        <v>(포함)</v>
      </c>
      <c r="R20" s="1504"/>
      <c r="T20" s="1500"/>
      <c r="U20" s="1501"/>
      <c r="V20" s="1501"/>
      <c r="W20" s="1501"/>
      <c r="X20" s="1501"/>
      <c r="Y20" s="1501"/>
      <c r="Z20" s="1501"/>
      <c r="AA20" s="1508"/>
      <c r="AB20" s="1509"/>
      <c r="AC20" s="1510"/>
      <c r="AD20" s="1572"/>
      <c r="AE20" s="1572"/>
      <c r="AF20" s="1572"/>
      <c r="AG20" s="1572"/>
      <c r="AH20" s="1572"/>
      <c r="AI20" s="1572"/>
      <c r="AJ20" s="74"/>
      <c r="AM20" s="1196"/>
      <c r="AN20" s="874"/>
      <c r="AO20" s="874"/>
      <c r="AP20" s="874"/>
      <c r="AQ20" s="874"/>
      <c r="AR20" s="875"/>
      <c r="AS20" s="1418" t="s">
        <v>1599</v>
      </c>
      <c r="AT20" s="1418"/>
      <c r="AU20" s="1418"/>
      <c r="AV20" s="1617">
        <v>7000000</v>
      </c>
      <c r="AW20" s="1617"/>
      <c r="AX20" s="1617"/>
      <c r="AY20" s="1617"/>
      <c r="AZ20" s="1617"/>
      <c r="BA20" s="1418" t="s">
        <v>1600</v>
      </c>
      <c r="BB20" s="1418"/>
      <c r="BC20" s="1418"/>
      <c r="BD20" s="1617">
        <v>4000000</v>
      </c>
      <c r="BE20" s="1617"/>
      <c r="BF20" s="1617"/>
      <c r="BG20" s="1617"/>
      <c r="BH20" s="1617"/>
      <c r="BI20" s="1642">
        <f>+AV20+(BD20/2)</f>
        <v>9000000</v>
      </c>
      <c r="BJ20" s="1642"/>
      <c r="BK20" s="1642"/>
      <c r="BL20" s="1642"/>
      <c r="BM20" s="1642"/>
      <c r="BN20" s="1197"/>
      <c r="BO20" s="66" t="str">
        <f>+IF(AND(LEFT(AS7,3)="캐스퍼",AS6="현대특판"),"캐스퍼 기본탁송료 128,000원/ 파츠장착의 경우 탁송료 입력",IF(RIGHT(AS7,4)="(EV)","※ 전기차 보조금 적용 지자체 = 대구광역시",""))</f>
        <v/>
      </c>
      <c r="BP20" s="776"/>
      <c r="BQ20" s="776" t="s">
        <v>1236</v>
      </c>
      <c r="BR20" s="776" t="b">
        <v>1</v>
      </c>
      <c r="BS20" s="776"/>
      <c r="BT20" s="776"/>
      <c r="BU20" s="776"/>
      <c r="BV20" s="776"/>
      <c r="BW20" s="776"/>
      <c r="BX20" s="776"/>
      <c r="BY20" s="776"/>
      <c r="BZ20" s="776"/>
      <c r="CA20" s="66"/>
      <c r="CB20" s="66"/>
      <c r="CC20" s="66"/>
      <c r="CD20" s="66"/>
      <c r="CE20" s="66"/>
      <c r="CF20" s="66"/>
      <c r="CG20" s="66"/>
      <c r="CH20" s="66"/>
      <c r="CI20" s="66"/>
      <c r="CJ20" s="66"/>
      <c r="CK20" s="66"/>
      <c r="CL20" s="66"/>
      <c r="CM20" s="66"/>
      <c r="CN20" s="66"/>
      <c r="CO20" s="66"/>
      <c r="CP20" s="66"/>
      <c r="CQ20" s="66"/>
      <c r="CR20" s="66"/>
      <c r="CS20" s="66"/>
      <c r="CT20" s="66"/>
      <c r="CU20" s="66"/>
      <c r="EH20" s="800" t="str">
        <f>+IF(OR(DO21="서산",DO21="화성",DO21="광주"),"선","유")</f>
        <v>유</v>
      </c>
    </row>
    <row r="21" spans="4:142" ht="20.100000000000001" customHeight="1" thickBot="1">
      <c r="D21" s="1536" t="s">
        <v>61</v>
      </c>
      <c r="E21" s="1537"/>
      <c r="F21" s="1537"/>
      <c r="G21" s="1537"/>
      <c r="H21" s="1537"/>
      <c r="I21" s="1537"/>
      <c r="J21" s="1537"/>
      <c r="K21" s="1544">
        <f>운용리스_단일!BD24++IF(AND(계산_운용리스_단일!D4="국산",운용리스_단일!CN22="제휴탁송사"),운용리스_단일!DZ22,IF(AND(계산_운용리스_단일!D4="국산",운용리스_단일!CN22="딜러사1차+제휴2차"),운용리스_단일!DZ22,IF(AND(계산_운용리스_단일!D4="국산",운용리스_단일!CN22="딜러/Agent"),0)))</f>
        <v>0</v>
      </c>
      <c r="L21" s="1544"/>
      <c r="M21" s="1544"/>
      <c r="N21" s="1544"/>
      <c r="O21" s="1544"/>
      <c r="P21" s="1544"/>
      <c r="Q21" s="1504" t="str">
        <f>IF(운용리스_단일!BR21=TRUE,"(포함)","(불포함)")</f>
        <v>(포함)</v>
      </c>
      <c r="R21" s="1504"/>
      <c r="T21" s="1500" t="s">
        <v>258</v>
      </c>
      <c r="U21" s="1501"/>
      <c r="V21" s="1501"/>
      <c r="W21" s="1501"/>
      <c r="X21" s="1501"/>
      <c r="Y21" s="1501"/>
      <c r="Z21" s="1501"/>
      <c r="AA21" s="1505" t="e">
        <f>IF(AA22="취득원가대비",운용리스_단일!BD33/운용리스_단일!$AS$26,운용리스_단일!BD33/운용리스_단일!$AS$14)</f>
        <v>#DIV/0!</v>
      </c>
      <c r="AB21" s="1506"/>
      <c r="AC21" s="1507"/>
      <c r="AD21" s="1551">
        <f>운용리스_단일!BD33</f>
        <v>0</v>
      </c>
      <c r="AE21" s="1551"/>
      <c r="AF21" s="1551"/>
      <c r="AG21" s="1551"/>
      <c r="AH21" s="1551"/>
      <c r="AI21" s="1551"/>
      <c r="AJ21" s="74"/>
      <c r="AM21" s="1196"/>
      <c r="AN21" s="1525" t="s">
        <v>52</v>
      </c>
      <c r="AO21" s="1552"/>
      <c r="AP21" s="1552"/>
      <c r="AQ21" s="1552"/>
      <c r="AR21" s="1552"/>
      <c r="AS21" s="1553"/>
      <c r="AT21" s="1554"/>
      <c r="AU21" s="1554"/>
      <c r="AV21" s="1554"/>
      <c r="AW21" s="1554"/>
      <c r="AX21" s="1554"/>
      <c r="AY21" s="1554"/>
      <c r="AZ21" s="1554"/>
      <c r="BA21" s="1554"/>
      <c r="BB21" s="1554"/>
      <c r="BC21" s="1554"/>
      <c r="BD21" s="1601">
        <v>0</v>
      </c>
      <c r="BE21" s="1601"/>
      <c r="BF21" s="1601"/>
      <c r="BG21" s="1601"/>
      <c r="BH21" s="1601"/>
      <c r="BI21" s="1601"/>
      <c r="BJ21" s="1601"/>
      <c r="BK21" s="1601"/>
      <c r="BL21" s="1601"/>
      <c r="BM21" s="1602"/>
      <c r="BN21" s="1198"/>
      <c r="BO21" s="36" t="s">
        <v>1379</v>
      </c>
      <c r="BP21" s="128"/>
      <c r="BQ21" s="132" t="s">
        <v>1237</v>
      </c>
      <c r="BR21" s="133" t="b">
        <v>1</v>
      </c>
      <c r="BS21" s="128"/>
      <c r="BT21" s="128"/>
      <c r="BU21" s="128"/>
      <c r="BV21" s="128"/>
      <c r="BW21" s="128"/>
      <c r="BX21" s="128"/>
      <c r="BY21" s="128"/>
      <c r="BZ21" s="128"/>
      <c r="CA21" s="1645" t="s">
        <v>926</v>
      </c>
      <c r="CB21" s="1645"/>
      <c r="CC21" s="1645"/>
      <c r="CD21" s="1645"/>
      <c r="CE21" s="1479" t="s">
        <v>927</v>
      </c>
      <c r="CF21" s="1479"/>
      <c r="CG21" s="1479"/>
      <c r="CH21" s="1479"/>
      <c r="CI21" s="1479"/>
      <c r="CJ21" s="1479"/>
      <c r="CK21" s="1479"/>
      <c r="CL21" s="1479"/>
      <c r="CM21" s="1479"/>
      <c r="CN21" s="1480">
        <f>BD23+DK21</f>
        <v>0</v>
      </c>
      <c r="CO21" s="1480"/>
      <c r="CP21" s="1480"/>
      <c r="CQ21" s="1480"/>
      <c r="CR21" s="1480"/>
      <c r="CS21" s="1480"/>
      <c r="CT21" s="1480"/>
      <c r="CU21" s="1480"/>
      <c r="CV21" s="1639" t="s">
        <v>3241</v>
      </c>
      <c r="CW21" s="1639"/>
      <c r="CX21" s="1639"/>
      <c r="CY21" s="1639"/>
      <c r="CZ21" s="1639"/>
      <c r="DA21" s="1639"/>
      <c r="DB21" s="1639"/>
      <c r="DC21" s="1639"/>
      <c r="DD21" s="1639"/>
      <c r="DE21" s="1633" t="s">
        <v>2978</v>
      </c>
      <c r="DF21" s="1633"/>
      <c r="DG21" s="1633"/>
      <c r="DH21" s="1633"/>
      <c r="DI21" s="1633"/>
      <c r="DJ21" s="1633"/>
      <c r="DK21" s="1633">
        <f>IF(AND($AS$5="국산",$AS$6="현대특판",$BD$23&lt;=0),VLOOKUP(AS7,차량정보!$D$857:$AM$1047,35,0),0)</f>
        <v>0</v>
      </c>
      <c r="DL21" s="1633"/>
      <c r="DM21" s="1633"/>
      <c r="DN21" s="1633"/>
      <c r="DO21" s="1218" t="str">
        <f>+VLOOKUP(AS7,차량정보!$D$758:$T$12749,16,0)</f>
        <v>울산</v>
      </c>
      <c r="DP21" s="801"/>
      <c r="DQ21" s="801"/>
      <c r="DR21" s="801"/>
      <c r="DS21" s="801"/>
      <c r="DT21" s="715" t="s">
        <v>1227</v>
      </c>
      <c r="DU21" s="802"/>
      <c r="DV21" s="801"/>
      <c r="DW21" s="715" t="s">
        <v>938</v>
      </c>
      <c r="DX21" s="715"/>
      <c r="DY21" s="715"/>
      <c r="DZ21" s="715"/>
      <c r="EA21" s="715"/>
      <c r="EB21" s="715"/>
      <c r="EC21" s="715"/>
      <c r="ED21" s="715" t="s">
        <v>939</v>
      </c>
      <c r="EE21" s="715"/>
      <c r="EG21" s="798" t="s">
        <v>1012</v>
      </c>
    </row>
    <row r="22" spans="4:142" ht="20.100000000000001" customHeight="1" thickBot="1">
      <c r="D22" s="1536" t="s">
        <v>439</v>
      </c>
      <c r="E22" s="1537"/>
      <c r="F22" s="1537"/>
      <c r="G22" s="1537"/>
      <c r="H22" s="1537"/>
      <c r="I22" s="1537"/>
      <c r="J22" s="1537"/>
      <c r="K22" s="1544">
        <f>IF(AS5="국산",IF(BR20=TRUE,운용리스_단일!BD23+DK21,0),0)</f>
        <v>0</v>
      </c>
      <c r="L22" s="1544"/>
      <c r="M22" s="1544"/>
      <c r="N22" s="1544"/>
      <c r="O22" s="1544"/>
      <c r="P22" s="1544"/>
      <c r="Q22" s="1543"/>
      <c r="R22" s="1543"/>
      <c r="T22" s="1500"/>
      <c r="U22" s="1501"/>
      <c r="V22" s="1501"/>
      <c r="W22" s="1501"/>
      <c r="X22" s="1501"/>
      <c r="Y22" s="1501"/>
      <c r="Z22" s="1501"/>
      <c r="AA22" s="1508"/>
      <c r="AB22" s="1509"/>
      <c r="AC22" s="1510"/>
      <c r="AD22" s="1572"/>
      <c r="AE22" s="1572"/>
      <c r="AF22" s="1572"/>
      <c r="AG22" s="1572"/>
      <c r="AH22" s="1572"/>
      <c r="AI22" s="1572"/>
      <c r="AJ22" s="74"/>
      <c r="AM22" s="1196"/>
      <c r="AN22" s="1406"/>
      <c r="AO22" s="1422"/>
      <c r="AP22" s="1422"/>
      <c r="AQ22" s="1422"/>
      <c r="AR22" s="1422"/>
      <c r="AS22" s="1603">
        <f>계산_운용리스_단일!C10</f>
        <v>0</v>
      </c>
      <c r="AT22" s="1604"/>
      <c r="AU22" s="1604"/>
      <c r="AV22" s="1604"/>
      <c r="AW22" s="1604"/>
      <c r="AX22" s="1604"/>
      <c r="AY22" s="1604"/>
      <c r="AZ22" s="1604"/>
      <c r="BA22" s="1604"/>
      <c r="BB22" s="1604"/>
      <c r="BC22" s="1604"/>
      <c r="BD22" s="1604"/>
      <c r="BE22" s="1604"/>
      <c r="BF22" s="1604"/>
      <c r="BG22" s="1604"/>
      <c r="BH22" s="1604"/>
      <c r="BI22" s="1604"/>
      <c r="BJ22" s="1604"/>
      <c r="BK22" s="1604"/>
      <c r="BL22" s="1604"/>
      <c r="BM22" s="1605"/>
      <c r="BN22" s="1197"/>
      <c r="BP22" s="128"/>
      <c r="BQ22" s="145" t="s">
        <v>466</v>
      </c>
      <c r="BR22" s="133" t="b">
        <v>0</v>
      </c>
      <c r="BS22" s="128"/>
      <c r="BT22" s="128"/>
      <c r="BU22" s="128"/>
      <c r="BV22" s="128"/>
      <c r="BW22" s="128"/>
      <c r="BX22" s="128"/>
      <c r="BY22" s="128"/>
      <c r="BZ22" s="128"/>
      <c r="CA22" s="1645"/>
      <c r="CB22" s="1645"/>
      <c r="CC22" s="1645"/>
      <c r="CD22" s="1645"/>
      <c r="CE22" s="1478" t="s">
        <v>928</v>
      </c>
      <c r="CF22" s="1479"/>
      <c r="CG22" s="1479"/>
      <c r="CH22" s="1479"/>
      <c r="CI22" s="1479"/>
      <c r="CJ22" s="1479"/>
      <c r="CK22" s="1479"/>
      <c r="CL22" s="1479"/>
      <c r="CM22" s="1479"/>
      <c r="CN22" s="1387" t="s">
        <v>3279</v>
      </c>
      <c r="CO22" s="1387"/>
      <c r="CP22" s="1387"/>
      <c r="CQ22" s="1387"/>
      <c r="CR22" s="1387"/>
      <c r="CS22" s="1387"/>
      <c r="CT22" s="1387"/>
      <c r="CU22" s="1387"/>
      <c r="CV22" s="1480" t="str">
        <f>IF(OR(CN22="제휴탁송사",CN22="딜러사1차+제휴2차"),SUM(CV23:DD27),"")</f>
        <v/>
      </c>
      <c r="CW22" s="1480"/>
      <c r="CX22" s="1480"/>
      <c r="CY22" s="1480"/>
      <c r="CZ22" s="1480"/>
      <c r="DA22" s="1480"/>
      <c r="DB22" s="1480"/>
      <c r="DC22" s="1480"/>
      <c r="DD22" s="1480"/>
      <c r="DE22" s="1481" t="str">
        <f>IF(OR(CN22="제휴탁송사",CN22="딜러사1차+제휴2차"),"← "&amp;VLOOKUP(AS7,차량정보!$D$778:$T$12758,15,0),"← 직접등록")</f>
        <v>← 직접등록</v>
      </c>
      <c r="DF22" s="1481"/>
      <c r="DG22" s="1481"/>
      <c r="DH22" s="1481"/>
      <c r="DI22" s="1481"/>
      <c r="DJ22" s="1481"/>
      <c r="DK22" s="1481"/>
      <c r="DL22" s="1481"/>
      <c r="DM22" s="1481"/>
      <c r="DN22" s="1481"/>
      <c r="DO22" s="120"/>
      <c r="DP22" s="801"/>
      <c r="DQ22" s="801"/>
      <c r="DR22" s="801"/>
      <c r="DS22" s="801"/>
      <c r="DT22" s="803" t="s">
        <v>930</v>
      </c>
      <c r="DU22" s="804">
        <f>IF(OR(DO21="서산",DO21="화성",DO21="광주"),110000,100000)</f>
        <v>100000</v>
      </c>
      <c r="DV22" s="801"/>
      <c r="DW22" s="1482" t="s">
        <v>940</v>
      </c>
      <c r="DX22" s="1483"/>
      <c r="DY22" s="1483"/>
      <c r="DZ22" s="1471">
        <f>SUM(DZ24:EA25,DZ26,DZ27,DZ28,DZ29,DZ30,DZ31,DZ33,DZ34)</f>
        <v>0</v>
      </c>
      <c r="EA22" s="1472"/>
      <c r="EB22" s="715"/>
      <c r="EC22" s="715"/>
      <c r="ED22" s="715"/>
      <c r="EE22" s="715">
        <f>EB22+EE25+EE26</f>
        <v>44000</v>
      </c>
      <c r="EG22" s="901" t="s">
        <v>762</v>
      </c>
      <c r="EH22" s="901"/>
      <c r="EI22" s="902"/>
      <c r="EJ22" s="901" t="s">
        <v>1547</v>
      </c>
      <c r="EK22" s="901"/>
      <c r="EL22" s="902"/>
    </row>
    <row r="23" spans="4:142" ht="20.100000000000001" customHeight="1">
      <c r="D23" s="1536" t="s">
        <v>502</v>
      </c>
      <c r="E23" s="1537"/>
      <c r="F23" s="1537"/>
      <c r="G23" s="1537"/>
      <c r="H23" s="1537"/>
      <c r="I23" s="1537"/>
      <c r="J23" s="1537"/>
      <c r="K23" s="1544">
        <f>SUM(K18:P22)</f>
        <v>0</v>
      </c>
      <c r="L23" s="1544"/>
      <c r="M23" s="1544"/>
      <c r="N23" s="1544"/>
      <c r="O23" s="1544"/>
      <c r="P23" s="1544"/>
      <c r="Q23" s="1543"/>
      <c r="R23" s="1543"/>
      <c r="T23" s="1500" t="s">
        <v>20</v>
      </c>
      <c r="U23" s="1501"/>
      <c r="V23" s="1501"/>
      <c r="W23" s="1501"/>
      <c r="X23" s="1501"/>
      <c r="Y23" s="1501"/>
      <c r="Z23" s="1501"/>
      <c r="AA23" s="1505" t="e">
        <f>IF(AA24="취득원가대비",운용리스_단일!BD36/운용리스_단일!$AS$26,IF(AND(계산_운용리스_단일!I81=TRUE,계산_운용리스_단일!F3="현대특판"),운용리스_단일!BD36/운용리스_단일!$AS$15,운용리스_단일!BD36/운용리스_단일!$AS$14))</f>
        <v>#DIV/0!</v>
      </c>
      <c r="AB23" s="1506"/>
      <c r="AC23" s="1507"/>
      <c r="AD23" s="1551">
        <f>운용리스_단일!BD36</f>
        <v>0</v>
      </c>
      <c r="AE23" s="1551"/>
      <c r="AF23" s="1551"/>
      <c r="AG23" s="1551"/>
      <c r="AH23" s="1551"/>
      <c r="AI23" s="1551"/>
      <c r="AJ23" s="74"/>
      <c r="AM23" s="1196"/>
      <c r="AN23" s="1406" t="str">
        <f>+IF(AS5="수입","탁 송 료","1차탁송료")</f>
        <v>1차탁송료</v>
      </c>
      <c r="AO23" s="1422"/>
      <c r="AP23" s="1422"/>
      <c r="AQ23" s="1422"/>
      <c r="AR23" s="1422"/>
      <c r="AS23" s="1557"/>
      <c r="AT23" s="1558"/>
      <c r="AU23" s="1558"/>
      <c r="AV23" s="1558"/>
      <c r="AW23" s="1558"/>
      <c r="AX23" s="1558"/>
      <c r="AY23" s="1558"/>
      <c r="AZ23" s="1558"/>
      <c r="BA23" s="1558"/>
      <c r="BB23" s="1558"/>
      <c r="BC23" s="1558"/>
      <c r="BD23" s="1559">
        <v>0</v>
      </c>
      <c r="BE23" s="1559"/>
      <c r="BF23" s="1559"/>
      <c r="BG23" s="1559"/>
      <c r="BH23" s="1559"/>
      <c r="BI23" s="1559"/>
      <c r="BJ23" s="1559"/>
      <c r="BK23" s="1559"/>
      <c r="BL23" s="1559"/>
      <c r="BM23" s="1560"/>
      <c r="BN23" s="1197"/>
      <c r="BO23" s="36" t="s">
        <v>727</v>
      </c>
      <c r="BP23" s="128"/>
      <c r="BQ23" s="132" t="s">
        <v>683</v>
      </c>
      <c r="BR23" s="133" t="b">
        <v>0</v>
      </c>
      <c r="BS23" s="128"/>
      <c r="BT23" s="128"/>
      <c r="BU23" s="128"/>
      <c r="BV23" s="128"/>
      <c r="BW23" s="128"/>
      <c r="BX23" s="128"/>
      <c r="BY23" s="128"/>
      <c r="BZ23" s="128"/>
      <c r="CA23" s="1645"/>
      <c r="CB23" s="1645"/>
      <c r="CC23" s="1645"/>
      <c r="CD23" s="1645"/>
      <c r="CE23" s="1219"/>
      <c r="CF23" s="1386" t="s">
        <v>731</v>
      </c>
      <c r="CG23" s="1386"/>
      <c r="CH23" s="1386"/>
      <c r="CI23" s="1386"/>
      <c r="CJ23" s="1386"/>
      <c r="CK23" s="1386"/>
      <c r="CL23" s="1386"/>
      <c r="CM23" s="1386"/>
      <c r="CN23" s="1473" t="s">
        <v>1601</v>
      </c>
      <c r="CO23" s="1473"/>
      <c r="CP23" s="1473"/>
      <c r="CQ23" s="1473"/>
      <c r="CR23" s="1473"/>
      <c r="CS23" s="1473"/>
      <c r="CT23" s="1473"/>
      <c r="CU23" s="1473"/>
      <c r="CV23" s="1388">
        <f>IF(CN22="제휴탁송사",INDEX(탁송!$C$3:$L$14,MATCH($DO$21,탁송!$B$3:$B$14,0),MATCH(CN23,탁송!$C$2:$L$2,0)),0)+IF(CN22="딜러사1차+제휴2차",VLOOKUP($CN$23,$EG$23:$EH$32,2,0))</f>
        <v>0</v>
      </c>
      <c r="CW23" s="1388"/>
      <c r="CX23" s="1388"/>
      <c r="CY23" s="1388"/>
      <c r="CZ23" s="1388"/>
      <c r="DA23" s="1388"/>
      <c r="DB23" s="1388"/>
      <c r="DC23" s="1388"/>
      <c r="DD23" s="1388"/>
      <c r="DE23" s="1474" t="s">
        <v>1650</v>
      </c>
      <c r="DF23" s="1474"/>
      <c r="DG23" s="1474"/>
      <c r="DH23" s="1474"/>
      <c r="DI23" s="1474"/>
      <c r="DJ23" s="1474"/>
      <c r="DK23" s="1474"/>
      <c r="DL23" s="1474"/>
      <c r="DM23" s="1474"/>
      <c r="DN23" s="1474"/>
      <c r="DO23" s="120"/>
      <c r="DP23" s="801"/>
      <c r="DQ23" s="801"/>
      <c r="DR23" s="801"/>
      <c r="DS23" s="801"/>
      <c r="DT23" s="805" t="s">
        <v>931</v>
      </c>
      <c r="DU23" s="806">
        <v>110000</v>
      </c>
      <c r="DV23" s="801"/>
      <c r="DW23" s="1484"/>
      <c r="DX23" s="807" t="s">
        <v>941</v>
      </c>
      <c r="DY23" s="808"/>
      <c r="DZ23" s="1382">
        <f>SUM(DZ24:EA25)</f>
        <v>0</v>
      </c>
      <c r="EA23" s="1383"/>
      <c r="EB23" s="715"/>
      <c r="EC23" s="715"/>
      <c r="ED23" s="715"/>
      <c r="EE23" s="715"/>
      <c r="EG23" s="916" t="s">
        <v>903</v>
      </c>
      <c r="EH23" s="917">
        <f>IF($EH$20="유",EK23,IF($EH$20="선",EL23))</f>
        <v>115500</v>
      </c>
      <c r="EI23" s="918">
        <f>+EL23</f>
        <v>115500</v>
      </c>
      <c r="EJ23" s="919" t="s">
        <v>903</v>
      </c>
      <c r="EK23" s="918">
        <v>115500</v>
      </c>
      <c r="EL23" s="920">
        <v>115500</v>
      </c>
    </row>
    <row r="24" spans="4:142" ht="20.100000000000001" customHeight="1" thickBot="1">
      <c r="D24" s="1663" t="s">
        <v>42</v>
      </c>
      <c r="E24" s="1663"/>
      <c r="F24" s="1663"/>
      <c r="G24" s="1663"/>
      <c r="H24" s="1663"/>
      <c r="I24" s="1663"/>
      <c r="J24" s="1664"/>
      <c r="K24" s="1498">
        <f>운용리스_단일!AS26</f>
        <v>0</v>
      </c>
      <c r="L24" s="1498"/>
      <c r="M24" s="1498"/>
      <c r="N24" s="1498"/>
      <c r="O24" s="1498"/>
      <c r="P24" s="1498"/>
      <c r="Q24" s="1502"/>
      <c r="R24" s="1502"/>
      <c r="T24" s="1500"/>
      <c r="U24" s="1501"/>
      <c r="V24" s="1501"/>
      <c r="W24" s="1501"/>
      <c r="X24" s="1501"/>
      <c r="Y24" s="1501"/>
      <c r="Z24" s="1501"/>
      <c r="AA24" s="1508"/>
      <c r="AB24" s="1509"/>
      <c r="AC24" s="1510"/>
      <c r="AD24" s="1572"/>
      <c r="AE24" s="1572"/>
      <c r="AF24" s="1572"/>
      <c r="AG24" s="1572"/>
      <c r="AH24" s="1572"/>
      <c r="AI24" s="1572"/>
      <c r="AJ24" s="74"/>
      <c r="AM24" s="1196"/>
      <c r="AN24" s="1406" t="s">
        <v>61</v>
      </c>
      <c r="AO24" s="1422"/>
      <c r="AP24" s="1422"/>
      <c r="AQ24" s="1422"/>
      <c r="AR24" s="1422"/>
      <c r="AS24" s="1557"/>
      <c r="AT24" s="1558"/>
      <c r="AU24" s="1558"/>
      <c r="AV24" s="1558"/>
      <c r="AW24" s="1558"/>
      <c r="AX24" s="1558"/>
      <c r="AY24" s="1558"/>
      <c r="AZ24" s="1558"/>
      <c r="BA24" s="1558"/>
      <c r="BB24" s="1558"/>
      <c r="BC24" s="1558"/>
      <c r="BD24" s="1559">
        <v>0</v>
      </c>
      <c r="BE24" s="1559"/>
      <c r="BF24" s="1559"/>
      <c r="BG24" s="1559"/>
      <c r="BH24" s="1559"/>
      <c r="BI24" s="1559"/>
      <c r="BJ24" s="1559"/>
      <c r="BK24" s="1559"/>
      <c r="BL24" s="1559"/>
      <c r="BM24" s="1560"/>
      <c r="BN24" s="1197"/>
      <c r="BP24" s="128"/>
      <c r="BQ24" s="128"/>
      <c r="BR24" s="152" t="e">
        <f ca="1">운용리스_단일!AA27</f>
        <v>#DIV/0!</v>
      </c>
      <c r="BS24" s="134"/>
      <c r="BT24" s="134"/>
      <c r="BU24" s="128"/>
      <c r="BV24" s="128"/>
      <c r="BW24" s="128"/>
      <c r="BX24" s="128"/>
      <c r="BY24" s="128"/>
      <c r="BZ24" s="128"/>
      <c r="CA24" s="1645"/>
      <c r="CB24" s="1645"/>
      <c r="CC24" s="1645"/>
      <c r="CD24" s="1645"/>
      <c r="CE24" s="1219"/>
      <c r="CF24" s="1386" t="s">
        <v>931</v>
      </c>
      <c r="CG24" s="1386"/>
      <c r="CH24" s="1386"/>
      <c r="CI24" s="1386"/>
      <c r="CJ24" s="1386"/>
      <c r="CK24" s="1386"/>
      <c r="CL24" s="1386"/>
      <c r="CM24" s="1386"/>
      <c r="CN24" s="1387" t="s">
        <v>3275</v>
      </c>
      <c r="CO24" s="1387"/>
      <c r="CP24" s="1387"/>
      <c r="CQ24" s="1387"/>
      <c r="CR24" s="1387"/>
      <c r="CS24" s="1387"/>
      <c r="CT24" s="1387"/>
      <c r="CU24" s="1387"/>
      <c r="CV24" s="1388">
        <f>IF(CN22="딜러/Agent",0,IFERROR(VLOOKUP(CN24,$EG$41:$EL$46,4,0),220000))</f>
        <v>0</v>
      </c>
      <c r="CW24" s="1388"/>
      <c r="CX24" s="1388"/>
      <c r="CY24" s="1388"/>
      <c r="CZ24" s="1388"/>
      <c r="DA24" s="1388"/>
      <c r="DB24" s="1388"/>
      <c r="DC24" s="1388"/>
      <c r="DD24" s="1388"/>
      <c r="DE24" s="1384" t="s">
        <v>1676</v>
      </c>
      <c r="DF24" s="1384"/>
      <c r="DG24" s="1384"/>
      <c r="DH24" s="1384"/>
      <c r="DI24" s="1384"/>
      <c r="DJ24" s="1384"/>
      <c r="DK24" s="1384"/>
      <c r="DL24" s="1384"/>
      <c r="DM24" s="1384"/>
      <c r="DN24" s="1384"/>
      <c r="DO24" s="120"/>
      <c r="DP24" s="801"/>
      <c r="DQ24" s="801"/>
      <c r="DR24" s="801"/>
      <c r="DS24" s="801"/>
      <c r="DT24" s="810" t="s">
        <v>932</v>
      </c>
      <c r="DU24" s="811">
        <v>0</v>
      </c>
      <c r="DV24" s="801"/>
      <c r="DW24" s="1484"/>
      <c r="DX24" s="1535"/>
      <c r="DY24" s="808" t="s">
        <v>942</v>
      </c>
      <c r="DZ24" s="1382">
        <f>CV23/1.1</f>
        <v>0</v>
      </c>
      <c r="EA24" s="1383"/>
      <c r="EB24" s="715"/>
      <c r="EC24" s="715"/>
      <c r="ED24" s="715"/>
      <c r="EE24" s="715"/>
      <c r="EG24" s="891" t="s">
        <v>1549</v>
      </c>
      <c r="EH24" s="899">
        <f t="shared" ref="EH24:EH32" si="0">IF($EH$20="유",EK24,IF($EH$20="선",EL24))</f>
        <v>184600</v>
      </c>
      <c r="EI24" s="900">
        <f t="shared" ref="EI24:EI32" si="1">+EL24</f>
        <v>213000</v>
      </c>
      <c r="EJ24" s="893" t="s">
        <v>1549</v>
      </c>
      <c r="EK24" s="892">
        <v>184600</v>
      </c>
      <c r="EL24" s="894">
        <v>213000</v>
      </c>
    </row>
    <row r="25" spans="4:142" ht="20.100000000000001" customHeight="1" thickBot="1">
      <c r="D25" s="1665"/>
      <c r="E25" s="1665"/>
      <c r="F25" s="1665"/>
      <c r="G25" s="1665"/>
      <c r="H25" s="1665"/>
      <c r="I25" s="1665"/>
      <c r="J25" s="1666"/>
      <c r="K25" s="1499"/>
      <c r="L25" s="1499"/>
      <c r="M25" s="1499"/>
      <c r="N25" s="1499"/>
      <c r="O25" s="1499"/>
      <c r="P25" s="1499"/>
      <c r="Q25" s="1503"/>
      <c r="R25" s="1503"/>
      <c r="T25" s="1545" t="s">
        <v>536</v>
      </c>
      <c r="U25" s="1546"/>
      <c r="V25" s="1546"/>
      <c r="W25" s="1546"/>
      <c r="X25" s="1546"/>
      <c r="Y25" s="1546"/>
      <c r="Z25" s="1546"/>
      <c r="AA25" s="1551" t="e">
        <f>IF(계산_운용리스_단일!N11=FALSE,FALSE,IF(계산_운용리스_단일!N12=FALSE,FALSE,IF(계산_운용리스_단일!N13=FALSE,FALSE,IF(계산_운용리스_단일!N14=FALSE,FALSE,(계산_운용리스_단일!N17)))))</f>
        <v>#DIV/0!</v>
      </c>
      <c r="AB25" s="1551"/>
      <c r="AC25" s="1551"/>
      <c r="AD25" s="1551"/>
      <c r="AE25" s="1551"/>
      <c r="AF25" s="1551"/>
      <c r="AG25" s="1551"/>
      <c r="AH25" s="1551"/>
      <c r="AI25" s="1551"/>
      <c r="AJ25" s="75"/>
      <c r="AM25" s="1196"/>
      <c r="AN25" s="1646" t="s">
        <v>443</v>
      </c>
      <c r="AO25" s="1647"/>
      <c r="AP25" s="1647"/>
      <c r="AQ25" s="1647"/>
      <c r="AR25" s="1647"/>
      <c r="AS25" s="1648"/>
      <c r="AT25" s="1649"/>
      <c r="AU25" s="1649"/>
      <c r="AV25" s="1649"/>
      <c r="AW25" s="1649"/>
      <c r="AX25" s="1649"/>
      <c r="AY25" s="1649"/>
      <c r="AZ25" s="1649"/>
      <c r="BA25" s="1649"/>
      <c r="BB25" s="1649"/>
      <c r="BC25" s="1649"/>
      <c r="BD25" s="1653">
        <f>IF(BR22=TRUE,ROUNDUP(계산_운용리스_단일!C18/12,-1),0)</f>
        <v>0</v>
      </c>
      <c r="BE25" s="1653"/>
      <c r="BF25" s="1653"/>
      <c r="BG25" s="1653"/>
      <c r="BH25" s="1653"/>
      <c r="BI25" s="1653"/>
      <c r="BJ25" s="1653"/>
      <c r="BK25" s="1653"/>
      <c r="BL25" s="1653"/>
      <c r="BM25" s="1654"/>
      <c r="BN25" s="1197"/>
      <c r="BP25" s="128"/>
      <c r="BQ25" s="128" t="s">
        <v>544</v>
      </c>
      <c r="BR25" s="136" t="b">
        <f>IF(AS5="수입",IF(BD24&lt;=100000,TRUE,FALSE),TRUE)</f>
        <v>1</v>
      </c>
      <c r="BS25" s="128"/>
      <c r="BT25" s="128"/>
      <c r="BU25" s="128"/>
      <c r="BV25" s="128"/>
      <c r="BW25" s="128"/>
      <c r="BX25" s="128"/>
      <c r="BY25" s="128"/>
      <c r="BZ25" s="128"/>
      <c r="CA25" s="1645"/>
      <c r="CB25" s="1645"/>
      <c r="CC25" s="1645"/>
      <c r="CD25" s="1645"/>
      <c r="CE25" s="1219"/>
      <c r="CF25" s="1386" t="s">
        <v>1246</v>
      </c>
      <c r="CG25" s="1386"/>
      <c r="CH25" s="1386"/>
      <c r="CI25" s="1386"/>
      <c r="CJ25" s="1386"/>
      <c r="CK25" s="1386"/>
      <c r="CL25" s="1386"/>
      <c r="CM25" s="1386"/>
      <c r="CN25" s="1387" t="s">
        <v>3276</v>
      </c>
      <c r="CO25" s="1387"/>
      <c r="CP25" s="1387"/>
      <c r="CQ25" s="1387"/>
      <c r="CR25" s="1387"/>
      <c r="CS25" s="1387"/>
      <c r="CT25" s="1387"/>
      <c r="CU25" s="1387"/>
      <c r="CV25" s="1388">
        <f>IF(CN22="딜러/Agent",0,IFERROR(VLOOKUP(CN25,$EH$41:$EL$46,4,0),220000))</f>
        <v>0</v>
      </c>
      <c r="CW25" s="1388"/>
      <c r="CX25" s="1388"/>
      <c r="CY25" s="1388"/>
      <c r="CZ25" s="1388"/>
      <c r="DA25" s="1388"/>
      <c r="DB25" s="1388"/>
      <c r="DC25" s="1388"/>
      <c r="DD25" s="1388"/>
      <c r="DE25" s="1384"/>
      <c r="DF25" s="1384"/>
      <c r="DG25" s="1384"/>
      <c r="DH25" s="1384"/>
      <c r="DI25" s="1384"/>
      <c r="DJ25" s="1384"/>
      <c r="DK25" s="1384"/>
      <c r="DL25" s="1384"/>
      <c r="DM25" s="1384"/>
      <c r="DN25" s="1384"/>
      <c r="DO25" s="120"/>
      <c r="DP25" s="801"/>
      <c r="DQ25" s="801"/>
      <c r="DR25" s="801"/>
      <c r="DS25" s="801"/>
      <c r="DT25" s="801"/>
      <c r="DU25" s="801"/>
      <c r="DV25" s="801"/>
      <c r="DW25" s="1484"/>
      <c r="DX25" s="1476"/>
      <c r="DY25" s="807" t="s">
        <v>943</v>
      </c>
      <c r="DZ25" s="1476">
        <f>DZ24*10%</f>
        <v>0</v>
      </c>
      <c r="EA25" s="1477"/>
      <c r="EB25" s="715"/>
      <c r="EC25" s="715"/>
      <c r="ED25" s="715"/>
      <c r="EE25" s="715">
        <v>33000</v>
      </c>
      <c r="EG25" s="891" t="s">
        <v>1550</v>
      </c>
      <c r="EH25" s="899">
        <f t="shared" si="0"/>
        <v>243100</v>
      </c>
      <c r="EI25" s="900">
        <f t="shared" si="1"/>
        <v>280500</v>
      </c>
      <c r="EJ25" s="893" t="s">
        <v>1550</v>
      </c>
      <c r="EK25" s="892">
        <v>243100</v>
      </c>
      <c r="EL25" s="894">
        <v>280500</v>
      </c>
    </row>
    <row r="26" spans="4:142" ht="20.100000000000001" customHeight="1" thickBot="1">
      <c r="T26" s="1545" t="s">
        <v>308</v>
      </c>
      <c r="U26" s="1546"/>
      <c r="V26" s="1546"/>
      <c r="W26" s="1546"/>
      <c r="X26" s="1546"/>
      <c r="Y26" s="1546"/>
      <c r="Z26" s="1546"/>
      <c r="AA26" s="1542">
        <f>운용리스_단일!$BD$25</f>
        <v>0</v>
      </c>
      <c r="AB26" s="1542"/>
      <c r="AC26" s="1542"/>
      <c r="AD26" s="1542"/>
      <c r="AE26" s="1542"/>
      <c r="AF26" s="1542"/>
      <c r="AG26" s="1542"/>
      <c r="AH26" s="1542"/>
      <c r="AI26" s="1542"/>
      <c r="AJ26" s="79"/>
      <c r="AM26" s="1196"/>
      <c r="AN26" s="1425" t="s">
        <v>42</v>
      </c>
      <c r="AO26" s="1426"/>
      <c r="AP26" s="1426"/>
      <c r="AQ26" s="1426"/>
      <c r="AR26" s="1426"/>
      <c r="AS26" s="1519">
        <f>계산_운용리스_단일!C29</f>
        <v>0</v>
      </c>
      <c r="AT26" s="1520"/>
      <c r="AU26" s="1520"/>
      <c r="AV26" s="1520"/>
      <c r="AW26" s="1520"/>
      <c r="AX26" s="1520"/>
      <c r="AY26" s="1520"/>
      <c r="AZ26" s="1520"/>
      <c r="BA26" s="1520"/>
      <c r="BB26" s="1520"/>
      <c r="BC26" s="1520"/>
      <c r="BD26" s="1520"/>
      <c r="BE26" s="1520"/>
      <c r="BF26" s="1520"/>
      <c r="BG26" s="1520"/>
      <c r="BH26" s="1520"/>
      <c r="BI26" s="1520"/>
      <c r="BJ26" s="1520"/>
      <c r="BK26" s="1520"/>
      <c r="BL26" s="1520"/>
      <c r="BM26" s="1521"/>
      <c r="BN26" s="1197"/>
      <c r="BP26" s="128"/>
      <c r="BQ26" s="128"/>
      <c r="BR26" s="136"/>
      <c r="BS26" s="137"/>
      <c r="BT26" s="128"/>
      <c r="BU26" s="128"/>
      <c r="BV26" s="128"/>
      <c r="BW26" s="128"/>
      <c r="BX26" s="128"/>
      <c r="BY26" s="128"/>
      <c r="BZ26" s="128"/>
      <c r="CA26" s="1645"/>
      <c r="CB26" s="1645"/>
      <c r="CC26" s="1645"/>
      <c r="CD26" s="1645"/>
      <c r="CE26" s="1219"/>
      <c r="CF26" s="1386" t="s">
        <v>1060</v>
      </c>
      <c r="CG26" s="1386"/>
      <c r="CH26" s="1386"/>
      <c r="CI26" s="1386"/>
      <c r="CJ26" s="1386"/>
      <c r="CK26" s="1386"/>
      <c r="CL26" s="1386"/>
      <c r="CM26" s="1386"/>
      <c r="CN26" s="1387" t="s">
        <v>3277</v>
      </c>
      <c r="CO26" s="1387"/>
      <c r="CP26" s="1387"/>
      <c r="CQ26" s="1387"/>
      <c r="CR26" s="1387"/>
      <c r="CS26" s="1387"/>
      <c r="CT26" s="1387"/>
      <c r="CU26" s="1387"/>
      <c r="CV26" s="1388">
        <f>IF(CN22="딜러/Agent",0,IFERROR(VLOOKUP(CN26,$EI$41:$EL$46,4,0),220000))</f>
        <v>0</v>
      </c>
      <c r="CW26" s="1388"/>
      <c r="CX26" s="1388"/>
      <c r="CY26" s="1388"/>
      <c r="CZ26" s="1388"/>
      <c r="DA26" s="1388"/>
      <c r="DB26" s="1388"/>
      <c r="DC26" s="1388"/>
      <c r="DD26" s="1388"/>
      <c r="DE26" s="1384"/>
      <c r="DF26" s="1384"/>
      <c r="DG26" s="1384"/>
      <c r="DH26" s="1384"/>
      <c r="DI26" s="1384"/>
      <c r="DJ26" s="1384"/>
      <c r="DK26" s="1384"/>
      <c r="DL26" s="1384"/>
      <c r="DM26" s="1384"/>
      <c r="DN26" s="1384"/>
      <c r="DO26" s="120"/>
      <c r="DP26" s="801"/>
      <c r="DQ26" s="801"/>
      <c r="DR26" s="801"/>
      <c r="DS26" s="801"/>
      <c r="DT26" s="715" t="s">
        <v>933</v>
      </c>
      <c r="DU26" s="801"/>
      <c r="DV26" s="801"/>
      <c r="DW26" s="1485"/>
      <c r="DX26" s="1393" t="s">
        <v>980</v>
      </c>
      <c r="DY26" s="1394"/>
      <c r="DZ26" s="1395">
        <f>IF(OR(CN22="제휴탁송사",CN22="딜러사1차+제휴2차"),38500,0)</f>
        <v>0</v>
      </c>
      <c r="EA26" s="1396"/>
      <c r="EB26" s="812"/>
      <c r="EC26" s="715">
        <f>EB26*10%</f>
        <v>0</v>
      </c>
      <c r="ED26" s="715"/>
      <c r="EE26" s="715">
        <v>11000</v>
      </c>
      <c r="EG26" s="891" t="s">
        <v>765</v>
      </c>
      <c r="EH26" s="899">
        <f t="shared" si="0"/>
        <v>129600</v>
      </c>
      <c r="EI26" s="900">
        <f t="shared" si="1"/>
        <v>132000</v>
      </c>
      <c r="EJ26" s="893" t="s">
        <v>765</v>
      </c>
      <c r="EK26" s="892">
        <v>129600</v>
      </c>
      <c r="EL26" s="894">
        <v>132000</v>
      </c>
    </row>
    <row r="27" spans="4:142" ht="20.100000000000001" customHeight="1" thickBot="1">
      <c r="T27" s="1547" t="s">
        <v>287</v>
      </c>
      <c r="U27" s="1548"/>
      <c r="V27" s="1548"/>
      <c r="W27" s="1548"/>
      <c r="X27" s="1548"/>
      <c r="Y27" s="1548"/>
      <c r="Z27" s="1548"/>
      <c r="AA27" s="1511" t="e">
        <f ca="1">IF(AND(RIGHT(AS7,4)="(EV)",AS28=60),"전기차60개월불가",IF(계산_운용리스_단일!I87="취급불가","48/60 3만 취급불가",IF(EK18&gt;=0,"시효경과",IF(BD39=FALSE,FALSE,IF(BT35=TRUE,FALSE,IF(BT30=TRUE,FALSE,IF(계산_운용리스_단일!N11=FALSE,FALSE,IF(계산_운용리스_단일!N12=FALSE,FALSE,IF(계산_운용리스_단일!N13=FALSE,FALSE,IF(계산_운용리스_단일!N14=FALSE,FALSE,(계산_운용리스_단일!N15+AA26)))))))))))</f>
        <v>#DIV/0!</v>
      </c>
      <c r="AB27" s="1512"/>
      <c r="AC27" s="1512"/>
      <c r="AD27" s="1512"/>
      <c r="AE27" s="1512"/>
      <c r="AF27" s="1512"/>
      <c r="AG27" s="1512"/>
      <c r="AH27" s="1512"/>
      <c r="AI27" s="1512"/>
      <c r="AJ27" s="79"/>
      <c r="AM27" s="1196"/>
      <c r="AN27" s="1190" t="s">
        <v>256</v>
      </c>
      <c r="AO27" s="1191"/>
      <c r="AP27" s="1191"/>
      <c r="AQ27" s="1191"/>
      <c r="AR27" s="1191"/>
      <c r="AS27" s="1191"/>
      <c r="AT27" s="1191"/>
      <c r="AU27" s="1191"/>
      <c r="AV27" s="1191"/>
      <c r="AW27" s="1191"/>
      <c r="AX27" s="1191"/>
      <c r="AY27" s="1191"/>
      <c r="AZ27" s="1191"/>
      <c r="BA27" s="1191"/>
      <c r="BB27" s="1191"/>
      <c r="BC27" s="1191"/>
      <c r="BD27" s="1191"/>
      <c r="BE27" s="1191"/>
      <c r="BF27" s="1191"/>
      <c r="BG27" s="1191"/>
      <c r="BH27" s="1191"/>
      <c r="BI27" s="1191"/>
      <c r="BJ27" s="1191"/>
      <c r="BK27" s="1191"/>
      <c r="BL27" s="1191"/>
      <c r="BM27" s="1191"/>
      <c r="BN27" s="1197"/>
      <c r="BP27" s="128"/>
      <c r="BQ27" s="153" t="e">
        <f>ROUNDUP(AS31/AS15,5)</f>
        <v>#DIV/0!</v>
      </c>
      <c r="BR27" s="154" t="e">
        <f>ROUNDUP(AS34/AS15,5)</f>
        <v>#DIV/0!</v>
      </c>
      <c r="BS27" s="128"/>
      <c r="BT27" s="128"/>
      <c r="BU27" s="128"/>
      <c r="BV27" s="128"/>
      <c r="BW27" s="128"/>
      <c r="BX27" s="128"/>
      <c r="BY27" s="128"/>
      <c r="BZ27" s="128"/>
      <c r="CA27" s="1645"/>
      <c r="CB27" s="1645"/>
      <c r="CC27" s="1645"/>
      <c r="CD27" s="1645"/>
      <c r="CE27" s="1220"/>
      <c r="CF27" s="1475" t="s">
        <v>732</v>
      </c>
      <c r="CG27" s="1475"/>
      <c r="CH27" s="1475"/>
      <c r="CI27" s="1475"/>
      <c r="CJ27" s="1475"/>
      <c r="CK27" s="1475"/>
      <c r="CL27" s="1475"/>
      <c r="CM27" s="1475"/>
      <c r="CN27" s="1389" t="s">
        <v>1668</v>
      </c>
      <c r="CO27" s="1389"/>
      <c r="CP27" s="1389"/>
      <c r="CQ27" s="1389"/>
      <c r="CR27" s="1389"/>
      <c r="CS27" s="1389"/>
      <c r="CT27" s="1389"/>
      <c r="CU27" s="1389"/>
      <c r="CV27" s="1390">
        <v>0</v>
      </c>
      <c r="CW27" s="1390"/>
      <c r="CX27" s="1390"/>
      <c r="CY27" s="1390"/>
      <c r="CZ27" s="1390"/>
      <c r="DA27" s="1390"/>
      <c r="DB27" s="1390"/>
      <c r="DC27" s="1390"/>
      <c r="DD27" s="1390"/>
      <c r="DE27" s="1474" t="s">
        <v>1672</v>
      </c>
      <c r="DF27" s="1474"/>
      <c r="DG27" s="1474"/>
      <c r="DH27" s="1474"/>
      <c r="DI27" s="1474"/>
      <c r="DJ27" s="1474"/>
      <c r="DK27" s="1474"/>
      <c r="DL27" s="1474"/>
      <c r="DM27" s="1474"/>
      <c r="DN27" s="1474"/>
      <c r="DO27" s="120"/>
      <c r="DP27" s="801"/>
      <c r="DQ27" s="801"/>
      <c r="DR27" s="801"/>
      <c r="DS27" s="801"/>
      <c r="DT27" s="813" t="s">
        <v>1521</v>
      </c>
      <c r="DU27" s="801" t="str">
        <f>+IF(AS6="현대특판","특판출고진행","지점대리점출고")</f>
        <v>지점대리점출고</v>
      </c>
      <c r="DV27" s="801"/>
      <c r="DW27" s="1485"/>
      <c r="DX27" s="1398" t="s">
        <v>983</v>
      </c>
      <c r="DY27" s="1399"/>
      <c r="DZ27" s="1400">
        <f>+INDEX($DZ$41:$EA$42,MATCH(DX41,$DZ$40:$EA$40,0),MATCH($DX$42,$DY$41:$DY$42,0))</f>
        <v>0</v>
      </c>
      <c r="EA27" s="1401"/>
      <c r="EB27" s="814"/>
      <c r="EC27" s="715">
        <f>EB27*10%</f>
        <v>0</v>
      </c>
      <c r="ED27" s="715"/>
      <c r="EE27" s="715"/>
      <c r="EG27" s="891" t="s">
        <v>1548</v>
      </c>
      <c r="EH27" s="899">
        <f t="shared" si="0"/>
        <v>130900</v>
      </c>
      <c r="EI27" s="900">
        <f t="shared" si="1"/>
        <v>132000</v>
      </c>
      <c r="EJ27" s="893" t="s">
        <v>1548</v>
      </c>
      <c r="EK27" s="892">
        <v>130900</v>
      </c>
      <c r="EL27" s="894">
        <v>132000</v>
      </c>
    </row>
    <row r="28" spans="4:142" ht="20.100000000000001" customHeight="1" thickBot="1">
      <c r="D28" s="1673" t="s">
        <v>445</v>
      </c>
      <c r="E28" s="1674"/>
      <c r="F28" s="1674"/>
      <c r="G28" s="1674"/>
      <c r="H28" s="1674"/>
      <c r="I28" s="1674"/>
      <c r="J28" s="1675"/>
      <c r="K28" s="1679">
        <f>운용리스_단일!AD19+운용리스_단일!AD21+IF(운용리스_단일!$Q$19="(불포함)",운용리스_단일!$K$19,0)+IF(운용리스_단일!$Q$20="(불포함)",운용리스_단일!$K$20,0)+IF(운용리스_단일!$Q$21="(불포함)",운용리스_단일!$K$21,0)</f>
        <v>0</v>
      </c>
      <c r="L28" s="1679"/>
      <c r="M28" s="1679"/>
      <c r="N28" s="1679"/>
      <c r="O28" s="1679"/>
      <c r="P28" s="1679"/>
      <c r="Q28" s="1679"/>
      <c r="R28" s="1680"/>
      <c r="T28" s="1549"/>
      <c r="U28" s="1550"/>
      <c r="V28" s="1550"/>
      <c r="W28" s="1550"/>
      <c r="X28" s="1550"/>
      <c r="Y28" s="1550"/>
      <c r="Z28" s="1550"/>
      <c r="AA28" s="1513"/>
      <c r="AB28" s="1514"/>
      <c r="AC28" s="1514"/>
      <c r="AD28" s="1514"/>
      <c r="AE28" s="1514"/>
      <c r="AF28" s="1514"/>
      <c r="AG28" s="1514"/>
      <c r="AH28" s="1514"/>
      <c r="AI28" s="1514"/>
      <c r="AJ28" s="76"/>
      <c r="AM28" s="1196"/>
      <c r="AN28" s="1431" t="s">
        <v>9</v>
      </c>
      <c r="AO28" s="1432"/>
      <c r="AP28" s="1432"/>
      <c r="AQ28" s="1432"/>
      <c r="AR28" s="1432"/>
      <c r="AS28" s="1496">
        <v>60</v>
      </c>
      <c r="AT28" s="1497"/>
      <c r="AU28" s="1497"/>
      <c r="AV28" s="1497"/>
      <c r="AW28" s="1497"/>
      <c r="AX28" s="1497"/>
      <c r="AY28" s="1497"/>
      <c r="AZ28" s="1497"/>
      <c r="BA28" s="1497"/>
      <c r="BB28" s="1497"/>
      <c r="BC28" s="1497"/>
      <c r="BD28" s="1497"/>
      <c r="BE28" s="1497"/>
      <c r="BF28" s="1497"/>
      <c r="BG28" s="1497"/>
      <c r="BH28" s="1497"/>
      <c r="BI28" s="1497"/>
      <c r="BJ28" s="1497"/>
      <c r="BK28" s="1497"/>
      <c r="BL28" s="1497"/>
      <c r="BM28" s="1497"/>
      <c r="BN28" s="1197"/>
      <c r="BP28" s="128"/>
      <c r="BQ28" s="128" t="s">
        <v>475</v>
      </c>
      <c r="BR28" s="138">
        <v>0.65</v>
      </c>
      <c r="BS28" s="128" t="s">
        <v>551</v>
      </c>
      <c r="BT28" s="135">
        <f>ROUNDDOWN(AS14*65%,-3)</f>
        <v>0</v>
      </c>
      <c r="BU28" s="128"/>
      <c r="BV28" s="128"/>
      <c r="BW28" s="128"/>
      <c r="BX28" s="128"/>
      <c r="BY28" s="128"/>
      <c r="BZ28" s="128"/>
      <c r="CA28" s="1470" t="s">
        <v>733</v>
      </c>
      <c r="CB28" s="1470"/>
      <c r="CC28" s="1470"/>
      <c r="CD28" s="1470"/>
      <c r="CE28" s="1391" t="s">
        <v>734</v>
      </c>
      <c r="CF28" s="1391"/>
      <c r="CG28" s="1391"/>
      <c r="CH28" s="1391"/>
      <c r="CI28" s="1391"/>
      <c r="CJ28" s="1391"/>
      <c r="CK28" s="1391"/>
      <c r="CL28" s="1391"/>
      <c r="CM28" s="1391"/>
      <c r="CN28" s="1391"/>
      <c r="CO28" s="1391"/>
      <c r="CP28" s="1391"/>
      <c r="CQ28" s="1391"/>
      <c r="CR28" s="1391"/>
      <c r="CS28" s="1391"/>
      <c r="CT28" s="1391"/>
      <c r="CU28" s="1391"/>
      <c r="CV28" s="1385" t="s">
        <v>1253</v>
      </c>
      <c r="CW28" s="1385"/>
      <c r="CX28" s="1385"/>
      <c r="CY28" s="1385"/>
      <c r="CZ28" s="1385"/>
      <c r="DA28" s="1385"/>
      <c r="DB28" s="1385"/>
      <c r="DC28" s="1385"/>
      <c r="DD28" s="1385"/>
      <c r="DE28" s="1385"/>
      <c r="DF28" s="1385"/>
      <c r="DG28" s="1385"/>
      <c r="DH28" s="1385"/>
      <c r="DI28" s="1385"/>
      <c r="DJ28" s="1385"/>
      <c r="DK28" s="1385"/>
      <c r="DL28" s="1385"/>
      <c r="DM28" s="1385"/>
      <c r="DN28" s="1385"/>
      <c r="DO28" s="120"/>
      <c r="DP28" s="801"/>
      <c r="DQ28" s="801"/>
      <c r="DR28" s="801"/>
      <c r="DS28" s="801"/>
      <c r="DT28" s="801" t="s">
        <v>1011</v>
      </c>
      <c r="DU28" s="801"/>
      <c r="DV28" s="801"/>
      <c r="DW28" s="1485"/>
      <c r="DX28" s="1398" t="s">
        <v>945</v>
      </c>
      <c r="DY28" s="1399"/>
      <c r="DZ28" s="1400">
        <f>+IF(OR(CN22="제휴탁송사",CN22="딜러사1차+제휴2차"),2000,0)</f>
        <v>0</v>
      </c>
      <c r="EA28" s="1401"/>
      <c r="EB28" s="815"/>
      <c r="EC28" s="715"/>
      <c r="ED28" s="715"/>
      <c r="EE28" s="715"/>
      <c r="EG28" s="891" t="s">
        <v>905</v>
      </c>
      <c r="EH28" s="899">
        <f t="shared" si="0"/>
        <v>181500</v>
      </c>
      <c r="EI28" s="900">
        <f t="shared" si="1"/>
        <v>181500</v>
      </c>
      <c r="EJ28" s="893" t="s">
        <v>905</v>
      </c>
      <c r="EK28" s="892">
        <v>181500</v>
      </c>
      <c r="EL28" s="894">
        <v>181500</v>
      </c>
    </row>
    <row r="29" spans="4:142" ht="20.100000000000001" customHeight="1" thickBot="1">
      <c r="D29" s="1676"/>
      <c r="E29" s="1677"/>
      <c r="F29" s="1677"/>
      <c r="G29" s="1677"/>
      <c r="H29" s="1677"/>
      <c r="I29" s="1677"/>
      <c r="J29" s="1678"/>
      <c r="K29" s="1681"/>
      <c r="L29" s="1681"/>
      <c r="M29" s="1681"/>
      <c r="N29" s="1681"/>
      <c r="O29" s="1681"/>
      <c r="P29" s="1681"/>
      <c r="Q29" s="1681"/>
      <c r="R29" s="1682"/>
      <c r="T29" s="1684" t="s">
        <v>288</v>
      </c>
      <c r="U29" s="1684"/>
      <c r="V29" s="1684"/>
      <c r="W29" s="1684"/>
      <c r="X29" s="1684"/>
      <c r="Y29" s="1684"/>
      <c r="Z29" s="1685"/>
      <c r="AA29" s="1698" t="e">
        <f>계산_운용리스_단일!L30</f>
        <v>#DIV/0!</v>
      </c>
      <c r="AB29" s="1699"/>
      <c r="AC29" s="1700"/>
      <c r="AD29" s="1689" t="e">
        <f>계산_운용리스_단일!N30</f>
        <v>#DIV/0!</v>
      </c>
      <c r="AE29" s="1690"/>
      <c r="AF29" s="1690"/>
      <c r="AG29" s="1690"/>
      <c r="AH29" s="1690"/>
      <c r="AI29" s="1690"/>
      <c r="AJ29" s="76"/>
      <c r="AM29" s="1196"/>
      <c r="AN29" s="1405" t="s">
        <v>7</v>
      </c>
      <c r="AO29" s="1405"/>
      <c r="AP29" s="1405"/>
      <c r="AQ29" s="1405"/>
      <c r="AR29" s="1405"/>
      <c r="AS29" s="1538" t="s">
        <v>257</v>
      </c>
      <c r="AT29" s="1538"/>
      <c r="AU29" s="1538"/>
      <c r="AV29" s="1538"/>
      <c r="AW29" s="1538"/>
      <c r="AX29" s="1538"/>
      <c r="AY29" s="1538"/>
      <c r="AZ29" s="1538"/>
      <c r="BA29" s="1538"/>
      <c r="BB29" s="1538"/>
      <c r="BC29" s="1538"/>
      <c r="BD29" s="1538"/>
      <c r="BE29" s="1538"/>
      <c r="BF29" s="1538"/>
      <c r="BG29" s="1538"/>
      <c r="BH29" s="1538"/>
      <c r="BI29" s="1538"/>
      <c r="BJ29" s="1538"/>
      <c r="BK29" s="1538"/>
      <c r="BL29" s="1538"/>
      <c r="BM29" s="1538"/>
      <c r="BN29" s="1197"/>
      <c r="BP29" s="128"/>
      <c r="BQ29" s="132" t="s">
        <v>471</v>
      </c>
      <c r="BR29" s="132" t="b">
        <v>1</v>
      </c>
      <c r="BS29" s="128" t="s">
        <v>474</v>
      </c>
      <c r="BT29" s="142">
        <f>BD30+BD33</f>
        <v>0</v>
      </c>
      <c r="BU29" s="135">
        <f>BT28-BT29</f>
        <v>0</v>
      </c>
      <c r="BV29" s="128"/>
      <c r="BW29" s="128"/>
      <c r="BX29" s="128"/>
      <c r="BY29" s="128"/>
      <c r="BZ29" s="128"/>
      <c r="CA29" s="1470"/>
      <c r="CB29" s="1470"/>
      <c r="CC29" s="1470"/>
      <c r="CD29" s="1470"/>
      <c r="CE29" s="1392"/>
      <c r="CF29" s="1392"/>
      <c r="CG29" s="1392"/>
      <c r="CH29" s="1392"/>
      <c r="CI29" s="1392"/>
      <c r="CJ29" s="1392"/>
      <c r="CK29" s="1392"/>
      <c r="CL29" s="1392"/>
      <c r="CM29" s="1392"/>
      <c r="CN29" s="1392"/>
      <c r="CO29" s="1392"/>
      <c r="CP29" s="1392"/>
      <c r="CQ29" s="1392"/>
      <c r="CR29" s="1392"/>
      <c r="CS29" s="1392"/>
      <c r="CT29" s="1392"/>
      <c r="CU29" s="1392"/>
      <c r="CV29" s="1397" t="str">
        <f>IF(OR(DO21="서산",DO21="화성",DO21="광주"),"ㆍ1. TNR_TA 300(165,000원), 2. 아이나비 Z900(210,000원)","ㆍ블랙박스1. 지넷시스템 M3(170,000원), 2. 아이나비 A700(210,000원)")</f>
        <v>ㆍ블랙박스1. 지넷시스템 M3(170,000원), 2. 아이나비 A700(210,000원)</v>
      </c>
      <c r="CW29" s="1397"/>
      <c r="CX29" s="1397"/>
      <c r="CY29" s="1397"/>
      <c r="CZ29" s="1397"/>
      <c r="DA29" s="1397"/>
      <c r="DB29" s="1397"/>
      <c r="DC29" s="1397"/>
      <c r="DD29" s="1397"/>
      <c r="DE29" s="1397"/>
      <c r="DF29" s="1397"/>
      <c r="DG29" s="1397"/>
      <c r="DH29" s="1397"/>
      <c r="DI29" s="1397"/>
      <c r="DJ29" s="1397"/>
      <c r="DK29" s="1397"/>
      <c r="DL29" s="1397"/>
      <c r="DM29" s="1397"/>
      <c r="DN29" s="1397"/>
      <c r="DO29" s="120"/>
      <c r="DP29" s="801"/>
      <c r="DQ29" s="801"/>
      <c r="DR29" s="801"/>
      <c r="DS29" s="801"/>
      <c r="DT29" s="816" t="s">
        <v>935</v>
      </c>
      <c r="DU29" s="801"/>
      <c r="DV29" s="801"/>
      <c r="DW29" s="1485"/>
      <c r="DX29" s="1398" t="s">
        <v>981</v>
      </c>
      <c r="DY29" s="1399"/>
      <c r="DZ29" s="1400" t="str">
        <f>+IF(OR(CN22="제휴탁송사",CN22="딜러사1차+제휴2차"),0,"")</f>
        <v/>
      </c>
      <c r="EA29" s="1401"/>
      <c r="EB29" s="814"/>
      <c r="EC29" s="715"/>
      <c r="ED29" s="715"/>
      <c r="EE29" s="715"/>
      <c r="EG29" s="891" t="s">
        <v>1551</v>
      </c>
      <c r="EH29" s="899">
        <f t="shared" si="0"/>
        <v>243100</v>
      </c>
      <c r="EI29" s="900">
        <f t="shared" si="1"/>
        <v>280500</v>
      </c>
      <c r="EJ29" s="893" t="s">
        <v>1551</v>
      </c>
      <c r="EK29" s="892">
        <v>243100</v>
      </c>
      <c r="EL29" s="894">
        <v>280500</v>
      </c>
    </row>
    <row r="30" spans="4:142" ht="20.100000000000001" customHeight="1" thickTop="1" thickBot="1">
      <c r="D30" s="1670" t="s">
        <v>446</v>
      </c>
      <c r="E30" s="1671"/>
      <c r="F30" s="1671"/>
      <c r="G30" s="1671"/>
      <c r="H30" s="1671"/>
      <c r="I30" s="1671"/>
      <c r="J30" s="1671"/>
      <c r="K30" s="1671"/>
      <c r="L30" s="1671"/>
      <c r="M30" s="1671"/>
      <c r="N30" s="1671"/>
      <c r="O30" s="1671"/>
      <c r="P30" s="1671"/>
      <c r="Q30" s="1671"/>
      <c r="R30" s="1672"/>
      <c r="T30" s="1683" t="s">
        <v>289</v>
      </c>
      <c r="U30" s="1683"/>
      <c r="V30" s="1683"/>
      <c r="W30" s="1683"/>
      <c r="X30" s="1683"/>
      <c r="Y30" s="1683"/>
      <c r="Z30" s="1500"/>
      <c r="AA30" s="1686" t="e">
        <f>계산_운용리스_단일!L29</f>
        <v>#DIV/0!</v>
      </c>
      <c r="AB30" s="1687"/>
      <c r="AC30" s="1688"/>
      <c r="AD30" s="1694" t="e">
        <f>계산_운용리스_단일!N29</f>
        <v>#DIV/0!</v>
      </c>
      <c r="AE30" s="1695"/>
      <c r="AF30" s="1695"/>
      <c r="AG30" s="1695"/>
      <c r="AH30" s="1695"/>
      <c r="AI30" s="1695"/>
      <c r="AJ30" s="76"/>
      <c r="AM30" s="1196"/>
      <c r="AN30" s="1405"/>
      <c r="AO30" s="1405"/>
      <c r="AP30" s="1405"/>
      <c r="AQ30" s="1405"/>
      <c r="AR30" s="1405"/>
      <c r="AS30" s="1457">
        <v>0</v>
      </c>
      <c r="AT30" s="1457"/>
      <c r="AU30" s="1457"/>
      <c r="AV30" s="1457"/>
      <c r="AW30" s="1457"/>
      <c r="AX30" s="1457"/>
      <c r="AY30" s="1457"/>
      <c r="AZ30" s="1457"/>
      <c r="BA30" s="1457"/>
      <c r="BB30" s="1457"/>
      <c r="BC30" s="1458"/>
      <c r="BD30" s="1539">
        <f>IF(AS29="직접입력",AS31,ROUNDDOWN(IF(AND(계산_운용리스_단일!I81=TRUE,AS6="현대특판",AS29="차량가기준"),AS15*AS30,IF(AS29="차량가기준",AS30*운용리스_단일!$AS$14,운용리스_단일!$AS$26*AS30)),-3))</f>
        <v>0</v>
      </c>
      <c r="BE30" s="1540"/>
      <c r="BF30" s="1540"/>
      <c r="BG30" s="1540"/>
      <c r="BH30" s="1540"/>
      <c r="BI30" s="1540"/>
      <c r="BJ30" s="1540"/>
      <c r="BK30" s="1540"/>
      <c r="BL30" s="1540"/>
      <c r="BM30" s="1541"/>
      <c r="BN30" s="1197"/>
      <c r="BP30" s="128"/>
      <c r="BQ30" s="132" t="s">
        <v>472</v>
      </c>
      <c r="BR30" s="132" t="b">
        <v>1</v>
      </c>
      <c r="BS30" s="128" t="s">
        <v>474</v>
      </c>
      <c r="BT30" s="134" t="b">
        <f>BT29&gt;BT28</f>
        <v>0</v>
      </c>
      <c r="BU30" s="128"/>
      <c r="BV30" s="128"/>
      <c r="BW30" s="128"/>
      <c r="BX30" s="128"/>
      <c r="BY30" s="128"/>
      <c r="BZ30" s="128"/>
      <c r="CF30" s="120"/>
      <c r="CG30" s="120"/>
      <c r="CH30" s="120"/>
      <c r="CI30" s="120"/>
      <c r="CJ30" s="120"/>
      <c r="CK30" s="120"/>
      <c r="CL30" s="120"/>
      <c r="CM30" s="120"/>
      <c r="CN30" s="120"/>
      <c r="CO30" s="120"/>
      <c r="CP30" s="120"/>
      <c r="CQ30" s="120"/>
      <c r="CR30" s="120"/>
      <c r="CS30" s="120"/>
      <c r="CT30" s="120"/>
      <c r="CU30" s="120"/>
      <c r="CV30" s="120"/>
      <c r="CW30" s="120"/>
      <c r="CX30" s="120"/>
      <c r="CY30" s="120"/>
      <c r="CZ30" s="120"/>
      <c r="DA30" s="120"/>
      <c r="DB30" s="120"/>
      <c r="DC30" s="120"/>
      <c r="DD30" s="120"/>
      <c r="DE30" s="120"/>
      <c r="DF30" s="120"/>
      <c r="DG30" s="120"/>
      <c r="DH30" s="120"/>
      <c r="DI30" s="120"/>
      <c r="DJ30" s="120"/>
      <c r="DK30" s="120"/>
      <c r="DL30" s="120"/>
      <c r="DM30" s="120"/>
      <c r="DN30" s="120"/>
      <c r="DO30" s="120"/>
      <c r="DP30" s="801">
        <f>+DZ23+DZ32+DZ35</f>
        <v>0</v>
      </c>
      <c r="DQ30" s="801"/>
      <c r="DR30" s="801"/>
      <c r="DS30" s="801"/>
      <c r="DT30" s="906" t="s">
        <v>949</v>
      </c>
      <c r="DU30" s="801"/>
      <c r="DV30" s="801"/>
      <c r="DW30" s="1485"/>
      <c r="DX30" s="1398" t="s">
        <v>982</v>
      </c>
      <c r="DY30" s="1399"/>
      <c r="DZ30" s="1400">
        <f>+IF(OR(CN22="제휴탁송사",CN22="딜러사1차+제휴2차"),9900,0)</f>
        <v>0</v>
      </c>
      <c r="EA30" s="1401"/>
      <c r="EB30" s="817"/>
      <c r="EC30" s="715"/>
      <c r="ED30" s="715"/>
      <c r="EE30" s="715"/>
      <c r="EG30" s="891" t="s">
        <v>906</v>
      </c>
      <c r="EH30" s="899">
        <f t="shared" si="0"/>
        <v>220000</v>
      </c>
      <c r="EI30" s="900">
        <f t="shared" si="1"/>
        <v>213000</v>
      </c>
      <c r="EJ30" s="893" t="s">
        <v>906</v>
      </c>
      <c r="EK30" s="892">
        <v>220000</v>
      </c>
      <c r="EL30" s="894">
        <v>213000</v>
      </c>
    </row>
    <row r="31" spans="4:142" ht="20.100000000000001" customHeight="1">
      <c r="T31" s="1188" t="s">
        <v>444</v>
      </c>
      <c r="U31" s="48"/>
      <c r="V31" s="48"/>
      <c r="W31" s="48"/>
      <c r="X31" s="48"/>
      <c r="Y31" s="48"/>
      <c r="Z31" s="48"/>
      <c r="AA31" s="48"/>
      <c r="AB31" s="50"/>
      <c r="AC31" s="50"/>
      <c r="AD31" s="50"/>
      <c r="AE31" s="50"/>
      <c r="AF31" s="50"/>
      <c r="AG31" s="50"/>
      <c r="AH31" s="50"/>
      <c r="AM31" s="1196"/>
      <c r="AN31" s="1405"/>
      <c r="AO31" s="1405"/>
      <c r="AP31" s="1405"/>
      <c r="AQ31" s="1405"/>
      <c r="AR31" s="1405"/>
      <c r="AS31" s="1491">
        <v>0</v>
      </c>
      <c r="AT31" s="1491"/>
      <c r="AU31" s="1491"/>
      <c r="AV31" s="1491"/>
      <c r="AW31" s="1491"/>
      <c r="AX31" s="1491"/>
      <c r="AY31" s="1491"/>
      <c r="AZ31" s="1491"/>
      <c r="BA31" s="1491"/>
      <c r="BB31" s="1491"/>
      <c r="BC31" s="1493"/>
      <c r="BD31" s="1494" t="e">
        <f>ROUNDUP(AS31/AS14,5)</f>
        <v>#DIV/0!</v>
      </c>
      <c r="BE31" s="1494"/>
      <c r="BF31" s="1494"/>
      <c r="BG31" s="1494"/>
      <c r="BH31" s="1494"/>
      <c r="BI31" s="1494"/>
      <c r="BJ31" s="1494"/>
      <c r="BK31" s="1494"/>
      <c r="BL31" s="1494"/>
      <c r="BM31" s="1495"/>
      <c r="BN31" s="1197"/>
      <c r="BP31" s="128"/>
      <c r="BQ31" s="132" t="s">
        <v>473</v>
      </c>
      <c r="BR31" s="132" t="b">
        <v>1</v>
      </c>
      <c r="BS31" s="128" t="s">
        <v>474</v>
      </c>
      <c r="BT31" s="134"/>
      <c r="BU31" s="128"/>
      <c r="BV31" s="128"/>
      <c r="BW31" s="128"/>
      <c r="BX31" s="128"/>
      <c r="BY31" s="128"/>
      <c r="BZ31" s="128"/>
      <c r="CA31" s="1118"/>
      <c r="CB31" s="1118"/>
      <c r="CC31" s="1118"/>
      <c r="CD31" s="1118"/>
      <c r="CE31" s="1118"/>
      <c r="CF31" s="1299"/>
      <c r="CG31" s="1299"/>
      <c r="CH31" s="1299"/>
      <c r="CI31" s="1299"/>
      <c r="CJ31" s="1299"/>
      <c r="CK31" s="1299"/>
      <c r="CL31" s="1299"/>
      <c r="CM31" s="1299"/>
      <c r="CN31" s="1300"/>
      <c r="CO31" s="1300"/>
      <c r="CP31" s="1300"/>
      <c r="CQ31" s="1300"/>
      <c r="CR31" s="1300"/>
      <c r="CS31" s="1300"/>
      <c r="CT31" s="1300"/>
      <c r="CU31" s="1300"/>
      <c r="CV31" s="1301"/>
      <c r="CW31" s="1301"/>
      <c r="CX31" s="1301"/>
      <c r="CY31" s="1301"/>
      <c r="CZ31" s="1301"/>
      <c r="DA31" s="1301"/>
      <c r="DB31" s="1301"/>
      <c r="DC31" s="1301"/>
      <c r="DD31" s="1301"/>
      <c r="DF31" s="120"/>
      <c r="DG31" s="120"/>
      <c r="DH31" s="120"/>
      <c r="DI31" s="120"/>
      <c r="DJ31" s="120"/>
      <c r="DK31" s="120"/>
      <c r="DL31" s="120"/>
      <c r="DM31" s="120"/>
      <c r="DN31" s="120"/>
      <c r="DO31" s="120"/>
      <c r="DP31" s="801"/>
      <c r="DQ31" s="801"/>
      <c r="DR31" s="801"/>
      <c r="DS31" s="801"/>
      <c r="DT31" s="903" t="s">
        <v>763</v>
      </c>
      <c r="DU31" s="801"/>
      <c r="DV31" s="801"/>
      <c r="DW31" s="1485"/>
      <c r="DX31" s="1487" t="s">
        <v>758</v>
      </c>
      <c r="DY31" s="1398"/>
      <c r="DZ31" s="1515">
        <v>0</v>
      </c>
      <c r="EA31" s="1516"/>
      <c r="EB31" s="819"/>
      <c r="EC31" s="715"/>
      <c r="ED31" s="715"/>
      <c r="EE31" s="715"/>
      <c r="EG31" s="891" t="s">
        <v>879</v>
      </c>
      <c r="EH31" s="899">
        <f t="shared" si="0"/>
        <v>243100</v>
      </c>
      <c r="EI31" s="900">
        <f t="shared" si="1"/>
        <v>280500</v>
      </c>
      <c r="EJ31" s="893" t="s">
        <v>879</v>
      </c>
      <c r="EK31" s="892">
        <v>243100</v>
      </c>
      <c r="EL31" s="894">
        <v>280500</v>
      </c>
    </row>
    <row r="32" spans="4:142" ht="20.100000000000001" customHeight="1" thickBot="1">
      <c r="U32" s="48"/>
      <c r="V32" s="48"/>
      <c r="W32" s="48"/>
      <c r="X32" s="48"/>
      <c r="Y32" s="48"/>
      <c r="Z32" s="48"/>
      <c r="AA32" s="48"/>
      <c r="AB32" s="50"/>
      <c r="AC32" s="50"/>
      <c r="AD32" s="50"/>
      <c r="AE32" s="50"/>
      <c r="AF32" s="50"/>
      <c r="AG32" s="50"/>
      <c r="AH32" s="50"/>
      <c r="AM32" s="1196"/>
      <c r="AN32" s="1405" t="s">
        <v>258</v>
      </c>
      <c r="AO32" s="1405"/>
      <c r="AP32" s="1405"/>
      <c r="AQ32" s="1405"/>
      <c r="AR32" s="1406"/>
      <c r="AS32" s="1407" t="s">
        <v>3278</v>
      </c>
      <c r="AT32" s="1408"/>
      <c r="AU32" s="1408"/>
      <c r="AV32" s="1408"/>
      <c r="AW32" s="1408"/>
      <c r="AX32" s="1408"/>
      <c r="AY32" s="1408"/>
      <c r="AZ32" s="1408"/>
      <c r="BA32" s="1408"/>
      <c r="BB32" s="1408"/>
      <c r="BC32" s="1408"/>
      <c r="BD32" s="1408"/>
      <c r="BE32" s="1408"/>
      <c r="BF32" s="1408"/>
      <c r="BG32" s="1408"/>
      <c r="BH32" s="1408"/>
      <c r="BI32" s="1408"/>
      <c r="BJ32" s="1408"/>
      <c r="BK32" s="1408"/>
      <c r="BL32" s="1408"/>
      <c r="BM32" s="1408"/>
      <c r="BN32" s="1197"/>
      <c r="BP32" s="128"/>
      <c r="BQ32" s="155" t="e">
        <f>BD31+BD34+BD37</f>
        <v>#DIV/0!</v>
      </c>
      <c r="BR32" s="138">
        <v>1</v>
      </c>
      <c r="BS32" s="128"/>
      <c r="BT32" s="128"/>
      <c r="BU32" s="128"/>
      <c r="BV32" s="128"/>
      <c r="BW32" s="128"/>
      <c r="BX32" s="128"/>
      <c r="BY32" s="128"/>
      <c r="BZ32" s="128"/>
      <c r="DE32" s="120"/>
      <c r="DF32" s="120"/>
      <c r="DG32" s="120"/>
      <c r="DH32" s="120"/>
      <c r="DI32" s="120"/>
      <c r="DJ32" s="120"/>
      <c r="DK32" s="120"/>
      <c r="DL32" s="120"/>
      <c r="DM32" s="120"/>
      <c r="DN32" s="120"/>
      <c r="DO32" s="120"/>
      <c r="DP32" s="801"/>
      <c r="DQ32" s="801"/>
      <c r="DR32" s="801"/>
      <c r="DS32" s="801"/>
      <c r="DT32" s="904" t="s">
        <v>1549</v>
      </c>
      <c r="DU32" s="801"/>
      <c r="DV32" s="801"/>
      <c r="DW32" s="1485"/>
      <c r="DX32" s="1488" t="s">
        <v>984</v>
      </c>
      <c r="DY32" s="1489"/>
      <c r="DZ32" s="1454">
        <f>+SUM(DZ26:EA31)</f>
        <v>0</v>
      </c>
      <c r="EA32" s="1455"/>
      <c r="EB32" s="822"/>
      <c r="EC32" s="715"/>
      <c r="ED32" s="715"/>
      <c r="EE32" s="715"/>
      <c r="EG32" s="895" t="s">
        <v>1643</v>
      </c>
      <c r="EH32" s="921">
        <f t="shared" si="0"/>
        <v>440000</v>
      </c>
      <c r="EI32" s="922">
        <f t="shared" si="1"/>
        <v>440000</v>
      </c>
      <c r="EJ32" s="897" t="s">
        <v>1643</v>
      </c>
      <c r="EK32" s="896">
        <v>440000</v>
      </c>
      <c r="EL32" s="898">
        <v>440000</v>
      </c>
    </row>
    <row r="33" spans="4:142" ht="20.100000000000001" customHeight="1">
      <c r="D33" s="1463" t="s">
        <v>494</v>
      </c>
      <c r="E33" s="1464"/>
      <c r="F33" s="1464"/>
      <c r="G33" s="1464"/>
      <c r="H33" s="1464"/>
      <c r="I33" s="1464"/>
      <c r="J33" s="1463" t="s">
        <v>463</v>
      </c>
      <c r="K33" s="1464"/>
      <c r="L33" s="1464"/>
      <c r="M33" s="1464"/>
      <c r="N33" s="1464"/>
      <c r="O33" s="1463" t="s">
        <v>56</v>
      </c>
      <c r="P33" s="1464"/>
      <c r="Q33" s="1464"/>
      <c r="R33" s="1464"/>
      <c r="S33" s="1464"/>
      <c r="T33" s="1696" t="s">
        <v>61</v>
      </c>
      <c r="U33" s="1697"/>
      <c r="V33" s="1697"/>
      <c r="W33" s="1697"/>
      <c r="X33" s="1697"/>
      <c r="Y33" s="1697"/>
      <c r="Z33" s="88"/>
      <c r="AA33" s="1467" t="s">
        <v>497</v>
      </c>
      <c r="AB33" s="1467"/>
      <c r="AC33" s="1467"/>
      <c r="AD33" s="1467"/>
      <c r="AE33" s="1467"/>
      <c r="AF33" s="1467"/>
      <c r="AG33" s="1467"/>
      <c r="AH33" s="1467"/>
      <c r="AI33" s="1467"/>
      <c r="AM33" s="1196"/>
      <c r="AN33" s="1405"/>
      <c r="AO33" s="1405"/>
      <c r="AP33" s="1405"/>
      <c r="AQ33" s="1405"/>
      <c r="AR33" s="1406"/>
      <c r="AS33" s="1456">
        <v>0</v>
      </c>
      <c r="AT33" s="1457"/>
      <c r="AU33" s="1457"/>
      <c r="AV33" s="1457"/>
      <c r="AW33" s="1457"/>
      <c r="AX33" s="1457"/>
      <c r="AY33" s="1457"/>
      <c r="AZ33" s="1457"/>
      <c r="BA33" s="1457"/>
      <c r="BB33" s="1457"/>
      <c r="BC33" s="1458"/>
      <c r="BD33" s="1459">
        <f>IF(AS32="직접입력",AS34,ROUNDDOWN(IF(AND(계산_운용리스_단일!I81=TRUE,AS6="현대특판",AS32="차량가기준"),AS15*AS33,IF(AS32="차량가기준",AS33*운용리스_단일!$AS$14,운용리스_단일!$AS$26*AS33)),-3))</f>
        <v>0</v>
      </c>
      <c r="BE33" s="1460"/>
      <c r="BF33" s="1460"/>
      <c r="BG33" s="1460"/>
      <c r="BH33" s="1460"/>
      <c r="BI33" s="1460"/>
      <c r="BJ33" s="1460"/>
      <c r="BK33" s="1460"/>
      <c r="BL33" s="1460"/>
      <c r="BM33" s="1460"/>
      <c r="BN33" s="1197"/>
      <c r="BP33" s="128"/>
      <c r="BQ33" s="128"/>
      <c r="BR33" s="128"/>
      <c r="BS33" s="128" t="s">
        <v>552</v>
      </c>
      <c r="BT33" s="136">
        <f>ROUNDDOWN(IF(AND(계산_운용리스_단일!I81=TRUE,AS6="현대특판"),AS15*AS38,AS14*AS38),-3)</f>
        <v>0</v>
      </c>
      <c r="BU33" s="128"/>
      <c r="BV33" s="128"/>
      <c r="BW33" s="128"/>
      <c r="BX33" s="128"/>
      <c r="BY33" s="128"/>
      <c r="BZ33" s="128"/>
      <c r="DE33" s="120"/>
      <c r="DF33" s="120"/>
      <c r="DG33" s="120"/>
      <c r="DH33" s="120"/>
      <c r="DI33" s="120"/>
      <c r="DJ33" s="120"/>
      <c r="DK33" s="120"/>
      <c r="DL33" s="120"/>
      <c r="DM33" s="120"/>
      <c r="DN33" s="120"/>
      <c r="DO33" s="120"/>
      <c r="DP33" s="801"/>
      <c r="DQ33" s="801"/>
      <c r="DR33" s="801"/>
      <c r="DS33" s="801"/>
      <c r="DT33" s="904" t="s">
        <v>1550</v>
      </c>
      <c r="DU33" s="801"/>
      <c r="DV33" s="801"/>
      <c r="DW33" s="1484"/>
      <c r="DX33" s="823" t="s">
        <v>946</v>
      </c>
      <c r="DY33" s="808" t="s">
        <v>1247</v>
      </c>
      <c r="DZ33" s="1400">
        <f>CV24+CV25</f>
        <v>0</v>
      </c>
      <c r="EA33" s="1401"/>
      <c r="EB33" s="824"/>
      <c r="EC33" s="825">
        <f>EB33*10%</f>
        <v>0</v>
      </c>
      <c r="ED33" s="825"/>
      <c r="EE33" s="825"/>
    </row>
    <row r="34" spans="4:142" ht="20.100000000000001" customHeight="1" thickBot="1">
      <c r="D34" s="1667">
        <v>0</v>
      </c>
      <c r="E34" s="1668"/>
      <c r="F34" s="1668"/>
      <c r="G34" s="1668"/>
      <c r="H34" s="1668"/>
      <c r="I34" s="1668"/>
      <c r="J34" s="1668">
        <f>IF(BR19=FALSE,AS22,0)</f>
        <v>0</v>
      </c>
      <c r="K34" s="1668"/>
      <c r="L34" s="1668"/>
      <c r="M34" s="1668"/>
      <c r="N34" s="1668"/>
      <c r="O34" s="1668">
        <f>IF(BR20=FALSE,BD23,0)</f>
        <v>0</v>
      </c>
      <c r="P34" s="1668"/>
      <c r="Q34" s="1668"/>
      <c r="R34" s="1668"/>
      <c r="S34" s="1668"/>
      <c r="T34" s="1668">
        <f>IF(BR21=FALSE,BD24,0)</f>
        <v>0</v>
      </c>
      <c r="U34" s="1668"/>
      <c r="V34" s="1668"/>
      <c r="W34" s="1668"/>
      <c r="X34" s="1668"/>
      <c r="Y34" s="1669"/>
      <c r="AA34" s="1693">
        <f>D34+J34+O34+T34</f>
        <v>0</v>
      </c>
      <c r="AB34" s="1693"/>
      <c r="AC34" s="1693"/>
      <c r="AD34" s="1693"/>
      <c r="AE34" s="1693"/>
      <c r="AF34" s="1693"/>
      <c r="AG34" s="1693"/>
      <c r="AH34" s="1693"/>
      <c r="AI34" s="1693"/>
      <c r="AM34" s="1196"/>
      <c r="AN34" s="1405"/>
      <c r="AO34" s="1405"/>
      <c r="AP34" s="1405"/>
      <c r="AQ34" s="1405"/>
      <c r="AR34" s="1406"/>
      <c r="AS34" s="1490">
        <v>0</v>
      </c>
      <c r="AT34" s="1491"/>
      <c r="AU34" s="1491"/>
      <c r="AV34" s="1491"/>
      <c r="AW34" s="1491"/>
      <c r="AX34" s="1491"/>
      <c r="AY34" s="1491"/>
      <c r="AZ34" s="1491"/>
      <c r="BA34" s="1491"/>
      <c r="BB34" s="1491"/>
      <c r="BC34" s="1491"/>
      <c r="BD34" s="1492" t="e">
        <f>ROUNDUP(AS34/AS14,5)</f>
        <v>#DIV/0!</v>
      </c>
      <c r="BE34" s="1492"/>
      <c r="BF34" s="1492"/>
      <c r="BG34" s="1492"/>
      <c r="BH34" s="1492"/>
      <c r="BI34" s="1492"/>
      <c r="BJ34" s="1492"/>
      <c r="BK34" s="1492"/>
      <c r="BL34" s="1492"/>
      <c r="BM34" s="1492"/>
      <c r="BN34" s="1197"/>
      <c r="BP34" s="128"/>
      <c r="BQ34" s="128"/>
      <c r="BR34" s="128"/>
      <c r="BS34" s="128"/>
      <c r="BT34" s="156">
        <f>BD36</f>
        <v>0</v>
      </c>
      <c r="BU34" s="128"/>
      <c r="BV34" s="128"/>
      <c r="BW34" s="128"/>
      <c r="BX34" s="128"/>
      <c r="BY34" s="128"/>
      <c r="BZ34" s="128"/>
      <c r="DE34" s="120"/>
      <c r="DF34" s="120"/>
      <c r="DG34" s="120"/>
      <c r="DH34" s="120"/>
      <c r="DI34" s="120"/>
      <c r="DJ34" s="120"/>
      <c r="DK34" s="120"/>
      <c r="DL34" s="909"/>
      <c r="DM34" s="120"/>
      <c r="DN34" s="120"/>
      <c r="DO34" s="120"/>
      <c r="DP34" s="801"/>
      <c r="DQ34" s="801"/>
      <c r="DR34" s="801"/>
      <c r="DS34" s="801"/>
      <c r="DT34" s="904" t="s">
        <v>765</v>
      </c>
      <c r="DU34" s="801"/>
      <c r="DV34" s="801"/>
      <c r="DW34" s="1486"/>
      <c r="DX34" s="827"/>
      <c r="DY34" s="808" t="s">
        <v>1248</v>
      </c>
      <c r="DZ34" s="1400">
        <f>+CV26+CV27</f>
        <v>0</v>
      </c>
      <c r="EA34" s="1401"/>
      <c r="EB34" s="824"/>
      <c r="EC34" s="825"/>
      <c r="ED34" s="825"/>
      <c r="EE34" s="825"/>
      <c r="EG34" s="826" t="str">
        <f>VLOOKUP(AS7,차량정보!$D$778:$T$1094,15,0)</f>
        <v>유림로지스</v>
      </c>
      <c r="EH34" s="826">
        <v>1</v>
      </c>
      <c r="EI34" s="826">
        <v>2</v>
      </c>
    </row>
    <row r="35" spans="4:142" ht="20.100000000000001" customHeight="1" thickBot="1">
      <c r="AJ35" s="80"/>
      <c r="AM35" s="1196"/>
      <c r="AN35" s="1405" t="s">
        <v>20</v>
      </c>
      <c r="AO35" s="1405"/>
      <c r="AP35" s="1405"/>
      <c r="AQ35" s="1405"/>
      <c r="AR35" s="1406"/>
      <c r="AS35" s="1407" t="s">
        <v>257</v>
      </c>
      <c r="AT35" s="1408"/>
      <c r="AU35" s="1408"/>
      <c r="AV35" s="1408"/>
      <c r="AW35" s="1408"/>
      <c r="AX35" s="1408"/>
      <c r="AY35" s="1408"/>
      <c r="AZ35" s="1408"/>
      <c r="BA35" s="1408"/>
      <c r="BB35" s="1408"/>
      <c r="BC35" s="1408"/>
      <c r="BD35" s="1408"/>
      <c r="BE35" s="1408"/>
      <c r="BF35" s="1408"/>
      <c r="BG35" s="1408"/>
      <c r="BH35" s="1408"/>
      <c r="BI35" s="1408"/>
      <c r="BJ35" s="1408"/>
      <c r="BK35" s="1408"/>
      <c r="BL35" s="1408"/>
      <c r="BM35" s="1408"/>
      <c r="BN35" s="1197"/>
      <c r="BO35" s="41"/>
      <c r="BP35" s="128"/>
      <c r="BQ35" s="128"/>
      <c r="BR35" s="128"/>
      <c r="BS35" s="128"/>
      <c r="BT35" s="128" t="b">
        <f>BT34&gt;BT33</f>
        <v>0</v>
      </c>
      <c r="BU35" s="128"/>
      <c r="BV35" s="128"/>
      <c r="BW35" s="128"/>
      <c r="BX35" s="128"/>
      <c r="BY35" s="128"/>
      <c r="BZ35" s="128"/>
      <c r="CN35" s="1297"/>
      <c r="CO35" s="1297"/>
      <c r="CP35" s="1297"/>
      <c r="CQ35" s="1297"/>
      <c r="CR35" s="1297"/>
      <c r="CS35" s="1297"/>
      <c r="CT35" s="1297"/>
      <c r="CU35" s="1297"/>
      <c r="CV35" s="1297"/>
      <c r="CW35" s="1297"/>
      <c r="CX35" s="1297"/>
      <c r="CY35" s="1297"/>
      <c r="CZ35" s="1297"/>
      <c r="DA35" s="1297"/>
      <c r="DB35" s="1297"/>
      <c r="DC35" s="1297"/>
      <c r="DD35" s="1297"/>
      <c r="DE35" s="120"/>
      <c r="DF35" s="120"/>
      <c r="DG35" s="120"/>
      <c r="DH35" s="120"/>
      <c r="DI35" s="120"/>
      <c r="DJ35" s="120"/>
      <c r="DK35" s="120"/>
      <c r="DL35" s="120"/>
      <c r="DM35" s="120"/>
      <c r="DN35" s="120"/>
      <c r="DO35" s="120"/>
      <c r="DP35" s="801"/>
      <c r="DQ35" s="801"/>
      <c r="DR35" s="801"/>
      <c r="DS35" s="801"/>
      <c r="DT35" s="904" t="s">
        <v>1548</v>
      </c>
      <c r="DU35" s="801"/>
      <c r="DV35" s="801"/>
      <c r="DW35" s="829" t="b">
        <v>0</v>
      </c>
      <c r="DX35" s="830"/>
      <c r="DY35" s="831" t="s">
        <v>272</v>
      </c>
      <c r="DZ35" s="1454">
        <f>+SUM(DZ33:EA34)</f>
        <v>0</v>
      </c>
      <c r="EA35" s="1455"/>
      <c r="EB35" s="824"/>
      <c r="EC35" s="825"/>
      <c r="ED35" s="825"/>
      <c r="EE35" s="825"/>
      <c r="EG35" s="912" t="s">
        <v>1245</v>
      </c>
      <c r="EH35" s="913">
        <v>44000</v>
      </c>
      <c r="EI35" s="913">
        <v>44000</v>
      </c>
    </row>
    <row r="36" spans="4:142" ht="20.100000000000001" customHeight="1">
      <c r="D36" s="52" t="s">
        <v>447</v>
      </c>
      <c r="E36" s="47" t="s">
        <v>451</v>
      </c>
      <c r="V36" s="52" t="s">
        <v>452</v>
      </c>
      <c r="W36" s="47" t="s">
        <v>453</v>
      </c>
      <c r="AI36" s="81"/>
      <c r="AJ36" s="46"/>
      <c r="AM36" s="1196"/>
      <c r="AN36" s="1405"/>
      <c r="AO36" s="1405"/>
      <c r="AP36" s="1405"/>
      <c r="AQ36" s="1405"/>
      <c r="AR36" s="1406"/>
      <c r="AS36" s="1456">
        <f>AS38</f>
        <v>0.54</v>
      </c>
      <c r="AT36" s="1457"/>
      <c r="AU36" s="1457"/>
      <c r="AV36" s="1457"/>
      <c r="AW36" s="1457"/>
      <c r="AX36" s="1457"/>
      <c r="AY36" s="1457"/>
      <c r="AZ36" s="1457"/>
      <c r="BA36" s="1457"/>
      <c r="BB36" s="1457"/>
      <c r="BC36" s="1458"/>
      <c r="BD36" s="1459">
        <f>IF(AS35="직접입력",AS37,ROUNDDOWN(IF(AND(계산_운용리스_단일!I81=TRUE,AS6="현대특판",AS35="차량가기준"),AS15*AS36,IF(AS35="차량가기준",AS36*운용리스_단일!$AS$14,운용리스_단일!$AS$26*AS36)),-3))</f>
        <v>0</v>
      </c>
      <c r="BE36" s="1460"/>
      <c r="BF36" s="1460"/>
      <c r="BG36" s="1460"/>
      <c r="BH36" s="1460"/>
      <c r="BI36" s="1460"/>
      <c r="BJ36" s="1460"/>
      <c r="BK36" s="1460"/>
      <c r="BL36" s="1460"/>
      <c r="BM36" s="1460"/>
      <c r="BN36" s="1197"/>
      <c r="BP36" s="128"/>
      <c r="BQ36" s="128"/>
      <c r="BR36" s="128"/>
      <c r="BS36" s="128"/>
      <c r="BT36" s="150"/>
      <c r="BU36" s="150"/>
      <c r="BV36" s="128"/>
      <c r="BW36" s="128"/>
      <c r="BX36" s="128"/>
      <c r="BY36" s="128"/>
      <c r="BZ36" s="128"/>
      <c r="CF36" s="120"/>
      <c r="CG36" s="120"/>
      <c r="CH36" s="120"/>
      <c r="CI36" s="120"/>
      <c r="CJ36" s="120"/>
      <c r="CK36" s="120"/>
      <c r="CL36" s="120"/>
      <c r="CM36" s="120"/>
      <c r="CN36" s="120"/>
      <c r="CO36" s="120"/>
      <c r="CP36" s="120"/>
      <c r="CQ36" s="120"/>
      <c r="CR36" s="120"/>
      <c r="CS36" s="120"/>
      <c r="CT36" s="120"/>
      <c r="CU36" s="120"/>
      <c r="CV36" s="120"/>
      <c r="CW36" s="120"/>
      <c r="CX36" s="120"/>
      <c r="CY36" s="120"/>
      <c r="CZ36" s="120"/>
      <c r="DA36" s="120"/>
      <c r="DB36" s="120"/>
      <c r="DC36" s="120"/>
      <c r="DD36" s="120"/>
      <c r="DE36" s="120"/>
      <c r="DF36" s="120"/>
      <c r="DG36" s="120"/>
      <c r="DH36" s="120"/>
      <c r="DI36" s="120"/>
      <c r="DJ36" s="120"/>
      <c r="DK36" s="120"/>
      <c r="DL36" s="120"/>
      <c r="DM36" s="120"/>
      <c r="DN36" s="120"/>
      <c r="DO36" s="120"/>
      <c r="DP36" s="801"/>
      <c r="DQ36" s="801"/>
      <c r="DR36" s="801"/>
      <c r="DS36" s="801"/>
      <c r="DT36" s="904" t="s">
        <v>768</v>
      </c>
      <c r="DU36" s="801"/>
      <c r="DV36" s="801"/>
      <c r="DW36" s="829" t="str">
        <f>LEFT(CN27,1)</f>
        <v>썬</v>
      </c>
      <c r="DX36" s="801"/>
      <c r="DY36" s="801"/>
      <c r="DZ36" s="801"/>
      <c r="EA36" s="801"/>
      <c r="EB36" s="801"/>
      <c r="EC36" s="801"/>
      <c r="ED36" s="801"/>
      <c r="EE36" s="801"/>
      <c r="EG36" s="914" t="s">
        <v>1243</v>
      </c>
      <c r="EH36" s="915">
        <v>33000</v>
      </c>
      <c r="EI36" s="915">
        <v>33000</v>
      </c>
    </row>
    <row r="37" spans="4:142" ht="20.100000000000001" customHeight="1" thickBot="1">
      <c r="D37" s="1466" t="str">
        <f>운용리스_단일!AS47&amp;" "&amp;운용리스_단일!AS48</f>
        <v xml:space="preserve">기타 </v>
      </c>
      <c r="E37" s="1691"/>
      <c r="F37" s="1691"/>
      <c r="G37" s="1691"/>
      <c r="H37" s="1691"/>
      <c r="I37" s="1691"/>
      <c r="J37" s="1691"/>
      <c r="K37" s="1691"/>
      <c r="L37" s="1691"/>
      <c r="M37" s="1691"/>
      <c r="N37" s="1691"/>
      <c r="O37" s="1691"/>
      <c r="P37" s="1691"/>
      <c r="Q37" s="1692"/>
      <c r="V37" s="1466" t="str">
        <f>운용리스_단일!BF47</f>
        <v>iM캐피탈</v>
      </c>
      <c r="W37" s="1691"/>
      <c r="X37" s="1691"/>
      <c r="Y37" s="1691"/>
      <c r="Z37" s="1691"/>
      <c r="AA37" s="1691"/>
      <c r="AB37" s="1691"/>
      <c r="AC37" s="1691"/>
      <c r="AD37" s="1691"/>
      <c r="AE37" s="1691"/>
      <c r="AF37" s="1691"/>
      <c r="AG37" s="1691"/>
      <c r="AH37" s="1691"/>
      <c r="AI37" s="1692"/>
      <c r="AM37" s="1196"/>
      <c r="AN37" s="1405"/>
      <c r="AO37" s="1405"/>
      <c r="AP37" s="1405"/>
      <c r="AQ37" s="1405"/>
      <c r="AR37" s="1406"/>
      <c r="AS37" s="1402">
        <v>0</v>
      </c>
      <c r="AT37" s="1403"/>
      <c r="AU37" s="1403"/>
      <c r="AV37" s="1403"/>
      <c r="AW37" s="1403"/>
      <c r="AX37" s="1403"/>
      <c r="AY37" s="1403"/>
      <c r="AZ37" s="1403"/>
      <c r="BA37" s="1403"/>
      <c r="BB37" s="1403"/>
      <c r="BC37" s="1403"/>
      <c r="BD37" s="1404" t="e">
        <f>ROUNDUP(AS37/AS14,5)</f>
        <v>#DIV/0!</v>
      </c>
      <c r="BE37" s="1404"/>
      <c r="BF37" s="1404"/>
      <c r="BG37" s="1404"/>
      <c r="BH37" s="1404"/>
      <c r="BI37" s="1404"/>
      <c r="BJ37" s="1404"/>
      <c r="BK37" s="1404"/>
      <c r="BL37" s="1404"/>
      <c r="BM37" s="1404"/>
      <c r="BN37" s="1197"/>
      <c r="BP37" s="128"/>
      <c r="BQ37" s="128"/>
      <c r="BR37" s="149"/>
      <c r="BS37" s="128"/>
      <c r="BT37" s="128"/>
      <c r="BU37" s="128"/>
      <c r="BV37" s="128"/>
      <c r="BW37" s="128"/>
      <c r="BX37" s="128"/>
      <c r="BY37" s="128"/>
      <c r="BZ37" s="128"/>
      <c r="CF37" s="120"/>
      <c r="CG37" s="120"/>
      <c r="CH37" s="120"/>
      <c r="CI37" s="120"/>
      <c r="CJ37" s="120"/>
      <c r="CK37" s="120"/>
      <c r="CL37" s="120"/>
      <c r="CM37" s="120"/>
      <c r="CN37" s="120"/>
      <c r="CO37" s="120"/>
      <c r="CP37" s="120"/>
      <c r="CQ37" s="120"/>
      <c r="CR37" s="120"/>
      <c r="CS37" s="120"/>
      <c r="CT37" s="120"/>
      <c r="CU37" s="120"/>
      <c r="CV37" s="120"/>
      <c r="CW37" s="120"/>
      <c r="CX37" s="120"/>
      <c r="CY37" s="120"/>
      <c r="CZ37" s="120"/>
      <c r="DA37" s="120"/>
      <c r="DB37" s="120"/>
      <c r="DC37" s="120"/>
      <c r="DD37" s="120"/>
      <c r="DE37" s="120"/>
      <c r="DF37" s="120"/>
      <c r="DG37" s="120"/>
      <c r="DH37" s="120"/>
      <c r="DI37" s="120"/>
      <c r="DJ37" s="120"/>
      <c r="DK37" s="120"/>
      <c r="DL37" s="120"/>
      <c r="DM37" s="120"/>
      <c r="DN37" s="120"/>
      <c r="DO37" s="120"/>
      <c r="DP37" s="801"/>
      <c r="DQ37" s="801"/>
      <c r="DR37" s="801"/>
      <c r="DS37" s="801"/>
      <c r="DT37" s="904" t="s">
        <v>1551</v>
      </c>
      <c r="DU37" s="801"/>
      <c r="DV37" s="801"/>
      <c r="DW37" s="801" t="str">
        <f>+IF(DW35=TRUE,"필름","일반")</f>
        <v>일반</v>
      </c>
      <c r="DX37" s="801"/>
      <c r="DY37" s="801" t="s">
        <v>985</v>
      </c>
      <c r="DZ37" s="801">
        <f>SUM(DZ26:EA31)</f>
        <v>0</v>
      </c>
      <c r="EA37" s="801"/>
      <c r="EB37" s="801"/>
      <c r="EC37" s="801"/>
      <c r="ED37" s="801"/>
      <c r="EE37" s="801"/>
      <c r="EG37" s="910" t="s">
        <v>1244</v>
      </c>
      <c r="EH37" s="911">
        <v>0</v>
      </c>
      <c r="EI37" s="911">
        <v>0</v>
      </c>
    </row>
    <row r="38" spans="4:142" ht="20.100000000000001" customHeight="1">
      <c r="D38" s="1465" t="str">
        <f>AN49&amp;" "&amp;AS49</f>
        <v xml:space="preserve">판 매 사 원 </v>
      </c>
      <c r="E38" s="1465"/>
      <c r="F38" s="1465"/>
      <c r="G38" s="1465"/>
      <c r="H38" s="1465"/>
      <c r="I38" s="1465"/>
      <c r="J38" s="1466"/>
      <c r="K38" s="1468">
        <f>+AS50</f>
        <v>0</v>
      </c>
      <c r="L38" s="1469"/>
      <c r="M38" s="1469"/>
      <c r="N38" s="1469"/>
      <c r="O38" s="1469"/>
      <c r="P38" s="1469"/>
      <c r="Q38" s="1469"/>
      <c r="V38" s="1465" t="str">
        <f>BA49&amp;" "&amp;BF49</f>
        <v xml:space="preserve">금융담당자 </v>
      </c>
      <c r="W38" s="1465"/>
      <c r="X38" s="1465"/>
      <c r="Y38" s="1465"/>
      <c r="Z38" s="1465"/>
      <c r="AA38" s="1465"/>
      <c r="AB38" s="1466"/>
      <c r="AC38" s="1468">
        <f>+BF50</f>
        <v>0</v>
      </c>
      <c r="AD38" s="1469"/>
      <c r="AE38" s="1469"/>
      <c r="AF38" s="1469"/>
      <c r="AG38" s="1469"/>
      <c r="AH38" s="1469"/>
      <c r="AI38" s="1469"/>
      <c r="AM38" s="1196"/>
      <c r="AN38" s="1405"/>
      <c r="AO38" s="1405"/>
      <c r="AP38" s="1405"/>
      <c r="AQ38" s="1405"/>
      <c r="AR38" s="1406"/>
      <c r="AS38" s="1461">
        <f>계산_운용리스_단일!I6</f>
        <v>0.54</v>
      </c>
      <c r="AT38" s="1462"/>
      <c r="AU38" s="1462"/>
      <c r="AV38" s="1462"/>
      <c r="AW38" s="1462"/>
      <c r="AX38" s="1462"/>
      <c r="AY38" s="1462"/>
      <c r="AZ38" s="1462"/>
      <c r="BA38" s="1462"/>
      <c r="BB38" s="1462"/>
      <c r="BC38" s="1462"/>
      <c r="BD38" s="1462"/>
      <c r="BE38" s="1462"/>
      <c r="BF38" s="1462"/>
      <c r="BG38" s="1462"/>
      <c r="BH38" s="1462"/>
      <c r="BI38" s="1462"/>
      <c r="BJ38" s="1462"/>
      <c r="BK38" s="1462"/>
      <c r="BL38" s="1462"/>
      <c r="BM38" s="1462"/>
      <c r="BN38" s="1197"/>
      <c r="BP38" s="128"/>
      <c r="BQ38" s="128"/>
      <c r="BR38" s="149"/>
      <c r="BS38" s="128"/>
      <c r="BT38" s="128"/>
      <c r="BU38" s="128"/>
      <c r="BV38" s="128"/>
      <c r="BW38" s="128"/>
      <c r="BX38" s="128"/>
      <c r="BY38" s="128"/>
      <c r="BZ38" s="128"/>
      <c r="CF38" s="120"/>
      <c r="CG38" s="120"/>
      <c r="CH38" s="120"/>
      <c r="CI38" s="120"/>
      <c r="CJ38" s="120"/>
      <c r="CK38" s="120"/>
      <c r="CL38" s="120"/>
      <c r="CM38" s="120"/>
      <c r="CN38" s="120"/>
      <c r="CO38" s="120"/>
      <c r="CP38" s="120"/>
      <c r="CQ38" s="120"/>
      <c r="CR38" s="120"/>
      <c r="CS38" s="120"/>
      <c r="CT38" s="120"/>
      <c r="CU38" s="120"/>
      <c r="CV38" s="120"/>
      <c r="CW38" s="120"/>
      <c r="CX38" s="120"/>
      <c r="CY38" s="120"/>
      <c r="CZ38" s="120"/>
      <c r="DA38" s="120"/>
      <c r="DB38" s="120"/>
      <c r="DC38" s="120"/>
      <c r="DD38" s="120"/>
      <c r="DE38" s="120"/>
      <c r="DF38" s="120"/>
      <c r="DG38" s="120"/>
      <c r="DH38" s="120"/>
      <c r="DI38" s="120"/>
      <c r="DJ38" s="120"/>
      <c r="DK38" s="120"/>
      <c r="DL38" s="120"/>
      <c r="DM38" s="120"/>
      <c r="DN38" s="120"/>
      <c r="DO38" s="120"/>
      <c r="DP38" s="801"/>
      <c r="DQ38" s="801"/>
      <c r="DR38" s="801"/>
      <c r="DS38" s="801"/>
      <c r="DT38" s="904" t="s">
        <v>770</v>
      </c>
      <c r="DU38" s="801"/>
      <c r="DV38" s="801"/>
      <c r="DW38" s="801">
        <f>+IF(CN22="제휴탁송사 1차+2차",1,IF(CN22="딜러사1차+제휴2차",1,2))</f>
        <v>2</v>
      </c>
      <c r="DX38" s="801"/>
      <c r="DY38" s="801" t="s">
        <v>986</v>
      </c>
      <c r="DZ38" s="801">
        <f>DZ35</f>
        <v>0</v>
      </c>
      <c r="EA38" s="801"/>
      <c r="EB38" s="801"/>
      <c r="EC38" s="801"/>
      <c r="ED38" s="801"/>
      <c r="EE38" s="801"/>
    </row>
    <row r="39" spans="4:142" ht="20.100000000000001" customHeight="1" thickBot="1">
      <c r="AM39" s="1196"/>
      <c r="AN39" s="1406" t="s">
        <v>272</v>
      </c>
      <c r="AO39" s="1422"/>
      <c r="AP39" s="1422"/>
      <c r="AQ39" s="1422"/>
      <c r="AR39" s="1422"/>
      <c r="AS39" s="1723" t="e">
        <f>IF(BD39="ERROR",FALSE,IF(AND(계산_운용리스_단일!I81=TRUE,계산_운용리스_단일!F3="현대특판"),BD39/운용리스_단일!$AS$15,BD39/운용리스_단일!$AS$14))</f>
        <v>#DIV/0!</v>
      </c>
      <c r="AT39" s="1724"/>
      <c r="AU39" s="1724"/>
      <c r="AV39" s="1724"/>
      <c r="AW39" s="1724"/>
      <c r="AX39" s="1724"/>
      <c r="AY39" s="1724"/>
      <c r="AZ39" s="1724"/>
      <c r="BA39" s="1724"/>
      <c r="BB39" s="1724"/>
      <c r="BC39" s="1724"/>
      <c r="BD39" s="1725">
        <f>IF(BD30+BD33+BD36&gt;운용리스_단일!AS14,FALSE,BD30+BD33+BD36)</f>
        <v>0</v>
      </c>
      <c r="BE39" s="1725"/>
      <c r="BF39" s="1725"/>
      <c r="BG39" s="1725"/>
      <c r="BH39" s="1725"/>
      <c r="BI39" s="1725"/>
      <c r="BJ39" s="1725"/>
      <c r="BK39" s="1725"/>
      <c r="BL39" s="1725"/>
      <c r="BM39" s="1726"/>
      <c r="BN39" s="1197"/>
      <c r="BP39" s="128"/>
      <c r="BQ39" s="128"/>
      <c r="BR39" s="149"/>
      <c r="BS39" s="128"/>
      <c r="BT39" s="128"/>
      <c r="BU39" s="128"/>
      <c r="BV39" s="128"/>
      <c r="BW39" s="128"/>
      <c r="BX39" s="128"/>
      <c r="BY39" s="128"/>
      <c r="BZ39" s="128"/>
      <c r="CF39" s="120"/>
      <c r="CG39" s="120"/>
      <c r="CH39" s="120"/>
      <c r="CI39" s="120"/>
      <c r="CJ39" s="120"/>
      <c r="CK39" s="120"/>
      <c r="CL39" s="120"/>
      <c r="CM39" s="120"/>
      <c r="CN39" s="120"/>
      <c r="CO39" s="120"/>
      <c r="CP39" s="120"/>
      <c r="CQ39" s="120"/>
      <c r="CR39" s="120"/>
      <c r="CS39" s="120"/>
      <c r="CT39" s="120"/>
      <c r="CU39" s="120"/>
      <c r="CV39" s="120"/>
      <c r="CW39" s="120"/>
      <c r="CX39" s="120"/>
      <c r="CY39" s="120"/>
      <c r="CZ39" s="120"/>
      <c r="DA39" s="120"/>
      <c r="DB39" s="120"/>
      <c r="DC39" s="120"/>
      <c r="DD39" s="120"/>
      <c r="DE39" s="120"/>
      <c r="DF39" s="120"/>
      <c r="DG39" s="120"/>
      <c r="DH39" s="120"/>
      <c r="DI39" s="120"/>
      <c r="DJ39" s="120"/>
      <c r="DK39" s="120"/>
      <c r="DL39" s="120"/>
      <c r="DM39" s="120"/>
      <c r="DN39" s="120"/>
      <c r="DO39" s="120"/>
      <c r="DP39" s="801"/>
      <c r="DQ39" s="801"/>
      <c r="DR39" s="801"/>
      <c r="DS39" s="801"/>
      <c r="DT39" s="904" t="s">
        <v>771</v>
      </c>
      <c r="DU39" s="801"/>
      <c r="DV39" s="801"/>
      <c r="DW39" s="801"/>
      <c r="DX39" s="801"/>
      <c r="DY39" s="801"/>
      <c r="DZ39" s="801"/>
      <c r="EA39" s="801"/>
      <c r="EB39" s="801"/>
      <c r="EC39" s="801"/>
      <c r="ED39" s="801"/>
      <c r="EE39" s="801"/>
      <c r="EF39" s="798" t="str">
        <f>IF(OR(CN22="제휴탁송사",CN22="딜러사1차+제휴2차"),VLOOKUP(AS7,차량정보!$D$778:$T$11658,15,0),"직접등록")</f>
        <v>직접등록</v>
      </c>
      <c r="EG39" s="816" t="str">
        <f>IF(OR(EF39="유림로지스",EF39="선보"),VLOOKUP(AS7,차량정보!$D$778:$T$11658,15,0),"직접등록")</f>
        <v>직접등록</v>
      </c>
      <c r="EH39" s="816" t="str">
        <f>IF(OR(EF39="유림로지스",EF39="선보"),VLOOKUP(AS7,차량정보!$D$778:$T$11658,15,0),"직접등록")</f>
        <v>직접등록</v>
      </c>
      <c r="EI39" s="816" t="str">
        <f>IF(OR(EF39="유림로지스",EF39="선보"),VLOOKUP(AS7,차량정보!$D$778:$T$11658,15,0),"직접등록")</f>
        <v>직접등록</v>
      </c>
      <c r="EJ39" s="816" t="str">
        <f>IF(OR(EF39="유림로지스",EF39="선보"),VLOOKUP(AS7,차량정보!$D$778:$T$11658,15,0),"직접등록")</f>
        <v>직접등록</v>
      </c>
      <c r="EK39" s="816" t="str">
        <f>IF(OR(EF39="유림로지스",EF39="선보"),VLOOKUP(AS7,차량정보!$D$778:$T$11658,15,0),"직접등록")</f>
        <v>직접등록</v>
      </c>
      <c r="EL39" s="816" t="str">
        <f>IF(OR(EF39="유림로지스",EF39="선보"),VLOOKUP(AS7,차량정보!$D$778:$T$11658,15,0),"직접등록")</f>
        <v>직접등록</v>
      </c>
    </row>
    <row r="40" spans="4:142" ht="20.100000000000001" customHeight="1" thickBot="1">
      <c r="AM40" s="1196"/>
      <c r="AN40" s="1446" t="s">
        <v>433</v>
      </c>
      <c r="AO40" s="1447"/>
      <c r="AP40" s="1447"/>
      <c r="AQ40" s="1447"/>
      <c r="AR40" s="1447"/>
      <c r="AS40" s="1420">
        <v>20000</v>
      </c>
      <c r="AT40" s="1421"/>
      <c r="AU40" s="1421"/>
      <c r="AV40" s="1421"/>
      <c r="AW40" s="1421"/>
      <c r="AX40" s="1421"/>
      <c r="AY40" s="1421"/>
      <c r="AZ40" s="1421"/>
      <c r="BA40" s="1421"/>
      <c r="BB40" s="1421"/>
      <c r="BC40" s="1421"/>
      <c r="BD40" s="1421"/>
      <c r="BE40" s="1421"/>
      <c r="BF40" s="1421"/>
      <c r="BG40" s="1421"/>
      <c r="BH40" s="1421"/>
      <c r="BI40" s="1421"/>
      <c r="BJ40" s="1421"/>
      <c r="BK40" s="1421"/>
      <c r="BL40" s="1421"/>
      <c r="BM40" s="1421"/>
      <c r="BN40" s="1197"/>
      <c r="BP40" s="1704" t="s">
        <v>2663</v>
      </c>
      <c r="BQ40" s="1704"/>
      <c r="BR40" s="1704"/>
      <c r="BS40" s="1704"/>
      <c r="BT40" s="1704"/>
      <c r="BU40" s="1704"/>
      <c r="BV40" s="1704"/>
      <c r="BW40" s="1704"/>
      <c r="BX40" s="1704"/>
      <c r="BY40" s="1704"/>
      <c r="BZ40" s="1704"/>
      <c r="CA40" s="1704"/>
      <c r="CB40" s="1704"/>
      <c r="CC40" s="1704"/>
      <c r="CD40" s="1704"/>
      <c r="CE40" s="1704"/>
      <c r="CF40" s="1704"/>
      <c r="CG40" s="1704"/>
      <c r="CH40" s="1704"/>
      <c r="CI40" s="1704"/>
      <c r="CJ40" s="1704"/>
      <c r="CK40" s="1704"/>
      <c r="CL40" s="1704"/>
      <c r="CM40" s="1704"/>
      <c r="CN40" s="1704"/>
      <c r="CO40" s="1704"/>
      <c r="CP40" s="1704"/>
      <c r="CQ40" s="1704"/>
      <c r="CR40" s="1704"/>
      <c r="CS40" s="1704"/>
      <c r="CT40" s="1704"/>
      <c r="CU40" s="1704"/>
      <c r="CV40" s="120"/>
      <c r="CW40" s="120"/>
      <c r="CX40" s="120"/>
      <c r="CY40" s="120"/>
      <c r="CZ40" s="120"/>
      <c r="DA40" s="120"/>
      <c r="DB40" s="120"/>
      <c r="DC40" s="120"/>
      <c r="DD40" s="120"/>
      <c r="DE40" s="120"/>
      <c r="DF40" s="120"/>
      <c r="DG40" s="120"/>
      <c r="DH40" s="120"/>
      <c r="DI40" s="120"/>
      <c r="DJ40" s="120"/>
      <c r="DK40" s="120"/>
      <c r="DL40" s="120"/>
      <c r="DM40" s="120"/>
      <c r="DN40" s="120"/>
      <c r="DO40" s="120"/>
      <c r="DP40" s="801"/>
      <c r="DQ40" s="801"/>
      <c r="DR40" s="801"/>
      <c r="DS40" s="801"/>
      <c r="DT40" s="905" t="s">
        <v>1643</v>
      </c>
      <c r="DU40" s="801"/>
      <c r="DV40" s="801"/>
      <c r="DW40" s="801"/>
      <c r="DX40" s="801" t="s">
        <v>1242</v>
      </c>
      <c r="DY40" s="826" t="str">
        <f>VLOOKUP(AS7,차량정보!$D$778:$T$1091,15,0)</f>
        <v>유림로지스</v>
      </c>
      <c r="DZ40" s="826">
        <v>1</v>
      </c>
      <c r="EA40" s="826">
        <v>2</v>
      </c>
      <c r="EB40" s="801"/>
      <c r="EC40" s="801"/>
      <c r="ED40" s="801"/>
      <c r="EE40" s="801"/>
      <c r="EG40" s="715" t="str">
        <f>+IF(EG39="유림로지스","유림전면썬팅",IF(EG39="선보","선보전면썬팅",IF(EG39="직접등록","직접등록")))</f>
        <v>직접등록</v>
      </c>
      <c r="EH40" s="715" t="str">
        <f>+IF(EH39="유림로지스","유림측후면썬팅",IF(EG39="선보","선보측후면썬팅",IF(EG39="직접등록","직접등록")))</f>
        <v>직접등록</v>
      </c>
      <c r="EI40" s="715" t="str">
        <f>+IF(EI39="유림로지스","유림블랙박스",IF(EG39="선보","선보블랙박스",IF(EG39="직접등록","직접등록")))</f>
        <v>직접등록</v>
      </c>
      <c r="EJ40" s="715" t="str">
        <f>+IF(EJ39="유림로지스","유림전면썬팅",IF(EJ39="선보","선보전면썬팅",IF(EJ39="직접등록","직접등록")))</f>
        <v>직접등록</v>
      </c>
      <c r="EK40" s="715" t="str">
        <f>+IF(EK39="유림로지스","유림측후면썬팅",IF(EK39="선보","선보측후면썬팅",IF(EK39="직접등록","직접등록")))</f>
        <v>직접등록</v>
      </c>
      <c r="EL40" s="715" t="str">
        <f>+IF(EL39="유림로지스","유림블랙박스",IF(EL39="선보","선보블랙박스",IF(EL39="직접등록","직접등록")))</f>
        <v>직접등록</v>
      </c>
    </row>
    <row r="41" spans="4:142" ht="20.100000000000001" customHeight="1" thickBot="1">
      <c r="D41" s="62" t="s">
        <v>458</v>
      </c>
      <c r="E41" s="1424" t="s">
        <v>459</v>
      </c>
      <c r="F41" s="1424"/>
      <c r="G41" s="1424"/>
      <c r="H41" s="1424"/>
      <c r="I41" s="1424"/>
      <c r="J41" s="1424"/>
      <c r="K41" s="1424"/>
      <c r="L41" s="1424"/>
      <c r="M41" s="1424"/>
      <c r="N41" s="1424"/>
      <c r="O41" s="1424"/>
      <c r="P41" s="1424"/>
      <c r="Q41" s="1424"/>
      <c r="R41" s="1424"/>
      <c r="S41" s="1424"/>
      <c r="T41" s="1424"/>
      <c r="U41" s="1424"/>
      <c r="V41" s="1424"/>
      <c r="W41" s="1424"/>
      <c r="X41" s="1424"/>
      <c r="Y41" s="1424"/>
      <c r="Z41" s="1424"/>
      <c r="AA41" s="1424"/>
      <c r="AB41" s="1424"/>
      <c r="AC41" s="1424"/>
      <c r="AD41" s="1424"/>
      <c r="AE41" s="1424"/>
      <c r="AF41" s="1424"/>
      <c r="AG41" s="1424"/>
      <c r="AM41" s="1196"/>
      <c r="AN41" s="1715" t="s">
        <v>1466</v>
      </c>
      <c r="AO41" s="1713"/>
      <c r="AP41" s="1713"/>
      <c r="AQ41" s="1713"/>
      <c r="AR41" s="1713"/>
      <c r="AS41" s="1716">
        <v>0</v>
      </c>
      <c r="AT41" s="1716"/>
      <c r="AU41" s="1716"/>
      <c r="AV41" s="1716"/>
      <c r="AW41" s="1716"/>
      <c r="AX41" s="1716"/>
      <c r="AY41" s="1716"/>
      <c r="AZ41" s="1716"/>
      <c r="BA41" s="1716"/>
      <c r="BB41" s="1716"/>
      <c r="BC41" s="1716"/>
      <c r="BD41" s="1716"/>
      <c r="BE41" s="1716"/>
      <c r="BF41" s="1716"/>
      <c r="BG41" s="1716"/>
      <c r="BH41" s="1716"/>
      <c r="BI41" s="1716"/>
      <c r="BJ41" s="1716"/>
      <c r="BK41" s="1716"/>
      <c r="BL41" s="1716"/>
      <c r="BM41" s="1717"/>
      <c r="BN41" s="1197"/>
      <c r="BP41" s="1705"/>
      <c r="BQ41" s="1705"/>
      <c r="BR41" s="1705"/>
      <c r="BS41" s="1705"/>
      <c r="BT41" s="1705"/>
      <c r="BU41" s="1705"/>
      <c r="BV41" s="1705"/>
      <c r="BW41" s="1705"/>
      <c r="BX41" s="1705"/>
      <c r="BY41" s="1705"/>
      <c r="BZ41" s="1705"/>
      <c r="CA41" s="1705"/>
      <c r="CB41" s="1705"/>
      <c r="CC41" s="1705"/>
      <c r="CD41" s="1705"/>
      <c r="CE41" s="1705"/>
      <c r="CF41" s="1705"/>
      <c r="CG41" s="1705"/>
      <c r="CH41" s="1705"/>
      <c r="CI41" s="1705"/>
      <c r="CJ41" s="1705"/>
      <c r="CK41" s="1705"/>
      <c r="CL41" s="1705"/>
      <c r="CM41" s="1705"/>
      <c r="CN41" s="1705"/>
      <c r="CO41" s="1705"/>
      <c r="CP41" s="1705"/>
      <c r="CQ41" s="1705"/>
      <c r="CR41" s="1705"/>
      <c r="CS41" s="1705"/>
      <c r="CT41" s="1705"/>
      <c r="CU41" s="1705"/>
      <c r="CV41" s="120"/>
      <c r="CW41" s="120"/>
      <c r="CX41" s="120"/>
      <c r="CY41" s="120"/>
      <c r="CZ41" s="120"/>
      <c r="DA41" s="120"/>
      <c r="DB41" s="120"/>
      <c r="DC41" s="120"/>
      <c r="DD41" s="120"/>
      <c r="DE41" s="120"/>
      <c r="DF41" s="120"/>
      <c r="DG41" s="120"/>
      <c r="DH41" s="120"/>
      <c r="DI41" s="120"/>
      <c r="DJ41" s="120"/>
      <c r="DK41" s="120"/>
      <c r="DL41" s="120"/>
      <c r="DM41" s="120"/>
      <c r="DN41" s="120"/>
      <c r="DO41" s="120"/>
      <c r="DP41" s="801"/>
      <c r="DQ41" s="801"/>
      <c r="DR41" s="801"/>
      <c r="DS41" s="801"/>
      <c r="DT41" s="801"/>
      <c r="DU41" s="801"/>
      <c r="DV41" s="801"/>
      <c r="DW41" s="801"/>
      <c r="DX41" s="801">
        <f>+IF(CN22="제휴탁송사",1,IF(CN22="딜러사1차+제휴2차",1,2))</f>
        <v>2</v>
      </c>
      <c r="DY41" s="801">
        <v>1</v>
      </c>
      <c r="DZ41" s="828">
        <f>20800+IF(DT19="Y",3300,0)</f>
        <v>20800</v>
      </c>
      <c r="EA41" s="828">
        <f>IF(DY40="선보",12500,12500)+IF(DT19="Y",3300,0)</f>
        <v>12500</v>
      </c>
      <c r="EB41" s="801"/>
      <c r="EC41" s="801"/>
      <c r="ED41" s="801"/>
      <c r="EE41" s="801"/>
      <c r="EG41" s="818" t="str">
        <f>IF(EG40="선보전면썬팅","루마 GG 110,000","쿨맥스 110,000")</f>
        <v>쿨맥스 110,000</v>
      </c>
      <c r="EH41" s="818" t="str">
        <f>IF(EH40="선보측후면썬팅","루마 GG(쿠폰)","루마 PRO 100,000")</f>
        <v>루마 PRO 100,000</v>
      </c>
      <c r="EI41" s="818" t="str">
        <f>IF(EI40="선보블랙박스","딥플라이 DF7 165,000","지넷시스템M3 170,000")</f>
        <v>지넷시스템M3 170,000</v>
      </c>
      <c r="EJ41" s="818">
        <f>IF(EJ40="선보전면썬팅",110000,110000)</f>
        <v>110000</v>
      </c>
      <c r="EK41" s="818">
        <f>IF(EK40="선보측후면썬팅",0,100000)</f>
        <v>100000</v>
      </c>
      <c r="EL41" s="818">
        <f>IF(EL40="선보블랙박스",165000,170000)</f>
        <v>170000</v>
      </c>
    </row>
    <row r="42" spans="4:142" ht="20.100000000000001" customHeight="1" thickBot="1">
      <c r="D42" s="62" t="s">
        <v>458</v>
      </c>
      <c r="E42" s="1427" t="s">
        <v>3055</v>
      </c>
      <c r="F42" s="1427"/>
      <c r="G42" s="1427"/>
      <c r="H42" s="1427"/>
      <c r="I42" s="1427"/>
      <c r="J42" s="1427"/>
      <c r="K42" s="1427"/>
      <c r="L42" s="1427"/>
      <c r="M42" s="1427"/>
      <c r="N42" s="1427"/>
      <c r="O42" s="1427"/>
      <c r="P42" s="1427"/>
      <c r="Q42" s="1427"/>
      <c r="R42" s="1427"/>
      <c r="S42" s="1427"/>
      <c r="T42" s="1427"/>
      <c r="U42" s="1427"/>
      <c r="V42" s="1427"/>
      <c r="W42" s="1427"/>
      <c r="X42" s="1427"/>
      <c r="Y42" s="1427"/>
      <c r="Z42" s="1427"/>
      <c r="AA42" s="1427"/>
      <c r="AB42" s="1427"/>
      <c r="AC42" s="1427"/>
      <c r="AD42" s="1427"/>
      <c r="AE42" s="1427"/>
      <c r="AF42" s="1427"/>
      <c r="AG42" s="1427"/>
      <c r="AM42" s="1196"/>
      <c r="AN42" s="1190" t="s">
        <v>259</v>
      </c>
      <c r="AO42" s="1191"/>
      <c r="AP42" s="1191"/>
      <c r="AQ42" s="1191"/>
      <c r="AR42" s="1191"/>
      <c r="AS42" s="1191" t="s">
        <v>1239</v>
      </c>
      <c r="AT42" s="1191"/>
      <c r="AU42" s="1191"/>
      <c r="AV42" s="1191"/>
      <c r="AW42" s="1191"/>
      <c r="AX42" s="1191"/>
      <c r="AY42" s="1191"/>
      <c r="AZ42" s="1191"/>
      <c r="BA42" s="1191"/>
      <c r="BB42" s="1191"/>
      <c r="BC42" s="1191"/>
      <c r="BD42" s="1191"/>
      <c r="BE42" s="1191"/>
      <c r="BF42" s="1191"/>
      <c r="BG42" s="1191"/>
      <c r="BH42" s="1191"/>
      <c r="BI42" s="1191"/>
      <c r="BJ42" s="1191"/>
      <c r="BK42" s="1191"/>
      <c r="BL42" s="1191"/>
      <c r="BM42" s="1191"/>
      <c r="BN42" s="1199"/>
      <c r="BP42" s="1705"/>
      <c r="BQ42" s="1705"/>
      <c r="BR42" s="1705"/>
      <c r="BS42" s="1705"/>
      <c r="BT42" s="1705"/>
      <c r="BU42" s="1705"/>
      <c r="BV42" s="1705"/>
      <c r="BW42" s="1705"/>
      <c r="BX42" s="1705"/>
      <c r="BY42" s="1705"/>
      <c r="BZ42" s="1705"/>
      <c r="CA42" s="1705"/>
      <c r="CB42" s="1705"/>
      <c r="CC42" s="1705"/>
      <c r="CD42" s="1705"/>
      <c r="CE42" s="1705"/>
      <c r="CF42" s="1705"/>
      <c r="CG42" s="1705"/>
      <c r="CH42" s="1705"/>
      <c r="CI42" s="1705"/>
      <c r="CJ42" s="1705"/>
      <c r="CK42" s="1705"/>
      <c r="CL42" s="1705"/>
      <c r="CM42" s="1705"/>
      <c r="CN42" s="1705"/>
      <c r="CO42" s="1705"/>
      <c r="CP42" s="1705"/>
      <c r="CQ42" s="1705"/>
      <c r="CR42" s="1705"/>
      <c r="CS42" s="1705"/>
      <c r="CT42" s="1705"/>
      <c r="CU42" s="1705"/>
      <c r="CV42" s="120"/>
      <c r="CW42" s="120"/>
      <c r="CX42" s="120"/>
      <c r="CY42" s="120"/>
      <c r="CZ42" s="120"/>
      <c r="DA42" s="120"/>
      <c r="DB42" s="120"/>
      <c r="DC42" s="120"/>
      <c r="DD42" s="120"/>
      <c r="DE42" s="120"/>
      <c r="DF42" s="120"/>
      <c r="DG42" s="120"/>
      <c r="DH42" s="120"/>
      <c r="DI42" s="120"/>
      <c r="DJ42" s="120"/>
      <c r="DK42" s="120"/>
      <c r="DL42" s="120"/>
      <c r="DM42" s="120"/>
      <c r="DN42" s="120"/>
      <c r="DV42" s="798">
        <f>+DZ24+DZ25+DZ32+DZ35</f>
        <v>0</v>
      </c>
      <c r="DX42" s="798">
        <f>IF(DW37="필름",1,2)</f>
        <v>2</v>
      </c>
      <c r="DY42" s="832">
        <v>2</v>
      </c>
      <c r="DZ42" s="833">
        <v>0</v>
      </c>
      <c r="EA42" s="833">
        <v>0</v>
      </c>
      <c r="EG42" s="821" t="str">
        <f>IF(EG40="선보전면썬팅","버텍스 300 165,000","버텍스 300 154,000")</f>
        <v>버텍스 300 154,000</v>
      </c>
      <c r="EH42" s="821" t="str">
        <f>IF(EH40="선보측후면썬팅","버텍스 300 110,000","버텍스 300 232,000")</f>
        <v>버텍스 300 232,000</v>
      </c>
      <c r="EI42" s="821" t="str">
        <f>IF(EI40="선보블랙박스","딥플라이 DF9 220,000","아이나비 V3000 210,000")</f>
        <v>아이나비 V3000 210,000</v>
      </c>
      <c r="EJ42" s="821">
        <f>IF(EJ40="선보전면썬팅",165000,154000)</f>
        <v>154000</v>
      </c>
      <c r="EK42" s="821">
        <f>IF(EK40="선보측후면썬팅",110000,232000)</f>
        <v>232000</v>
      </c>
      <c r="EL42" s="821">
        <f>IF(EL40="선보블랙박스",220000,210000)</f>
        <v>210000</v>
      </c>
    </row>
    <row r="43" spans="4:142" ht="20.100000000000001" customHeight="1">
      <c r="AM43" s="1196"/>
      <c r="AN43" s="1450" t="s">
        <v>260</v>
      </c>
      <c r="AO43" s="1451"/>
      <c r="AP43" s="1451"/>
      <c r="AQ43" s="1451"/>
      <c r="AR43" s="1451"/>
      <c r="AS43" s="1452">
        <v>0.03</v>
      </c>
      <c r="AT43" s="1453"/>
      <c r="AU43" s="1453"/>
      <c r="AV43" s="1453"/>
      <c r="AW43" s="1453"/>
      <c r="AX43" s="1453"/>
      <c r="AY43" s="1453"/>
      <c r="AZ43" s="1453"/>
      <c r="BA43" s="1453"/>
      <c r="BB43" s="1453"/>
      <c r="BC43" s="1453"/>
      <c r="BD43" s="1448">
        <f>운용리스_단일!$AS$26*AS43</f>
        <v>0</v>
      </c>
      <c r="BE43" s="1448"/>
      <c r="BF43" s="1448"/>
      <c r="BG43" s="1448"/>
      <c r="BH43" s="1448"/>
      <c r="BI43" s="1448"/>
      <c r="BJ43" s="1448"/>
      <c r="BK43" s="1448"/>
      <c r="BL43" s="1448"/>
      <c r="BM43" s="1449"/>
      <c r="BN43" s="1197"/>
      <c r="BP43" s="1706"/>
      <c r="BQ43" s="1706"/>
      <c r="BR43" s="1706"/>
      <c r="BS43" s="1706"/>
      <c r="BT43" s="1706"/>
      <c r="BU43" s="1706"/>
      <c r="BV43" s="1706"/>
      <c r="BW43" s="1706"/>
      <c r="BX43" s="1706"/>
      <c r="BY43" s="1706"/>
      <c r="BZ43" s="1706"/>
      <c r="CA43" s="1706"/>
      <c r="CB43" s="1706"/>
      <c r="CC43" s="1706"/>
      <c r="CD43" s="1706"/>
      <c r="CE43" s="1706"/>
      <c r="CF43" s="1706"/>
      <c r="CG43" s="1706"/>
      <c r="CH43" s="1706"/>
      <c r="CI43" s="1706"/>
      <c r="CJ43" s="1706"/>
      <c r="CK43" s="1706"/>
      <c r="CL43" s="1706"/>
      <c r="CM43" s="1706"/>
      <c r="CN43" s="1706"/>
      <c r="CO43" s="1706"/>
      <c r="CP43" s="1706"/>
      <c r="CQ43" s="1706"/>
      <c r="CR43" s="1706"/>
      <c r="CS43" s="1706"/>
      <c r="CT43" s="1706"/>
      <c r="CU43" s="1706"/>
      <c r="CV43" s="120"/>
      <c r="CW43" s="120"/>
      <c r="CX43" s="120"/>
      <c r="CY43" s="120"/>
      <c r="CZ43" s="120"/>
      <c r="DA43" s="120"/>
      <c r="DB43" s="120"/>
      <c r="DC43" s="120"/>
      <c r="DD43" s="120"/>
      <c r="DE43" s="120"/>
      <c r="DF43" s="120"/>
      <c r="DG43" s="120"/>
      <c r="DH43" s="120"/>
      <c r="DI43" s="120"/>
      <c r="DJ43" s="120"/>
      <c r="DK43" s="120"/>
      <c r="DL43" s="120"/>
      <c r="DM43" s="120"/>
      <c r="DN43" s="120"/>
      <c r="EG43" s="821" t="str">
        <f>IF(EG40="선보전면썬팅","루마 버텍스 500 220,000","용품없음")</f>
        <v>용품없음</v>
      </c>
      <c r="EH43" s="821" t="str">
        <f>IF(EH40="선보측후면썬팅","루마 버텍스 500 220,000","쿠폰")</f>
        <v>쿠폰</v>
      </c>
      <c r="EI43" s="821" t="str">
        <f>IF(EI40="선보블랙박스","파인드라이브 GX3 220,000","아이나비 QXD8000")</f>
        <v>아이나비 QXD8000</v>
      </c>
      <c r="EJ43" s="821">
        <f>IF(EJ40="선보전면썬팅",220000,0)</f>
        <v>0</v>
      </c>
      <c r="EK43" s="821">
        <f>IF(EK40="선보측후면썬팅",220000,0)</f>
        <v>0</v>
      </c>
      <c r="EL43" s="821">
        <f>IF(EL40="선보블랙박스",220000,380000)</f>
        <v>380000</v>
      </c>
    </row>
    <row r="44" spans="4:142" ht="20.100000000000001" customHeight="1">
      <c r="AM44" s="1196"/>
      <c r="AN44" s="1406" t="s">
        <v>434</v>
      </c>
      <c r="AO44" s="1422"/>
      <c r="AP44" s="1422"/>
      <c r="AQ44" s="1422"/>
      <c r="AR44" s="1422"/>
      <c r="AS44" s="1718" t="e">
        <f>ROUNDDOWN(계산_운용리스_단일!C59,3)</f>
        <v>#DIV/0!</v>
      </c>
      <c r="AT44" s="1719"/>
      <c r="AU44" s="1719"/>
      <c r="AV44" s="1719"/>
      <c r="AW44" s="1719"/>
      <c r="AX44" s="1719"/>
      <c r="AY44" s="1719"/>
      <c r="AZ44" s="1719"/>
      <c r="BA44" s="1719"/>
      <c r="BB44" s="1719"/>
      <c r="BC44" s="1719"/>
      <c r="BD44" s="1719"/>
      <c r="BE44" s="1719"/>
      <c r="BF44" s="1719"/>
      <c r="BG44" s="1719"/>
      <c r="BH44" s="1719"/>
      <c r="BI44" s="1719"/>
      <c r="BJ44" s="1719"/>
      <c r="BK44" s="1719"/>
      <c r="BL44" s="1719"/>
      <c r="BM44" s="1720"/>
      <c r="BN44" s="1197"/>
      <c r="BP44" s="128"/>
      <c r="BQ44" s="128"/>
      <c r="BR44" s="128"/>
      <c r="BS44" s="128"/>
      <c r="BT44" s="128"/>
      <c r="BU44" s="128"/>
      <c r="BV44" s="128"/>
      <c r="BW44" s="128"/>
      <c r="BX44" s="128"/>
      <c r="BY44" s="128"/>
      <c r="BZ44" s="128"/>
      <c r="EG44" s="821" t="str">
        <f>IF(EG40="선보전면썬팅","레이노 기본(모노카본) 110,000","")</f>
        <v/>
      </c>
      <c r="EH44" s="821" t="str">
        <f>IF(EH40="선보측후면썬팅","레이노 기본(모노카본) ","용품없음")</f>
        <v>용품없음</v>
      </c>
      <c r="EI44" s="821" t="str">
        <f>IF(EI40="선보블랙박스","아이나비 A700 210,000","용품없음")</f>
        <v>용품없음</v>
      </c>
      <c r="EJ44" s="821">
        <f>IF(EJ40="선보전면썬팅",110000,0)</f>
        <v>0</v>
      </c>
      <c r="EK44" s="821">
        <f>IF(EK40="선보측후면썬팅",0,0)</f>
        <v>0</v>
      </c>
      <c r="EL44" s="821">
        <f>IF(EL40="선보블랙박스",210000,0)</f>
        <v>0</v>
      </c>
    </row>
    <row r="45" spans="4:142" ht="20.100000000000001" customHeight="1" thickBot="1">
      <c r="AM45" s="1196"/>
      <c r="AN45" s="1425" t="s">
        <v>435</v>
      </c>
      <c r="AO45" s="1426"/>
      <c r="AP45" s="1426"/>
      <c r="AQ45" s="1426"/>
      <c r="AR45" s="1426"/>
      <c r="AS45" s="1721" t="e">
        <f>계산_운용리스_단일!N28</f>
        <v>#DIV/0!</v>
      </c>
      <c r="AT45" s="1722"/>
      <c r="AU45" s="1722"/>
      <c r="AV45" s="1722"/>
      <c r="AW45" s="1722"/>
      <c r="AX45" s="1722"/>
      <c r="AY45" s="1722"/>
      <c r="AZ45" s="1722"/>
      <c r="BA45" s="1722"/>
      <c r="BB45" s="1722"/>
      <c r="BC45" s="1722"/>
      <c r="BD45" s="1722"/>
      <c r="BE45" s="1722"/>
      <c r="BF45" s="1722"/>
      <c r="BG45" s="1722"/>
      <c r="BH45" s="1722"/>
      <c r="BI45" s="1722"/>
      <c r="BJ45" s="1722"/>
      <c r="BK45" s="1722"/>
      <c r="BL45" s="1722"/>
      <c r="BM45" s="1722"/>
      <c r="BN45" s="1197"/>
      <c r="BP45" s="128"/>
      <c r="BQ45" s="128"/>
      <c r="BR45" s="128"/>
      <c r="BS45" s="128"/>
      <c r="BT45" s="128"/>
      <c r="BU45" s="128"/>
      <c r="BV45" s="128"/>
      <c r="BW45" s="128"/>
      <c r="BX45" s="128"/>
      <c r="BY45" s="128"/>
      <c r="BZ45" s="128"/>
      <c r="EG45" s="821" t="str">
        <f>IF(EG40="선보전면썬팅","레이노 F5 165,000","")</f>
        <v/>
      </c>
      <c r="EH45" s="821" t="str">
        <f>IF(EH40="선보측후면썬팅","레이노 F5 110,000","")</f>
        <v/>
      </c>
      <c r="EI45" s="821" t="str">
        <f>IF(EI40="선보블랙박스","아이나비 QXD 7000 363,000","")</f>
        <v/>
      </c>
      <c r="EJ45" s="821">
        <f>IF(EJ40="선보전면썬팅",165000,0)</f>
        <v>0</v>
      </c>
      <c r="EK45" s="821">
        <f>IF(EK40="선보측후면썬팅",110000,0)</f>
        <v>0</v>
      </c>
      <c r="EL45" s="821">
        <f>IF(EL40="선보블랙박스",363000,0)</f>
        <v>0</v>
      </c>
    </row>
    <row r="46" spans="4:142" ht="20.100000000000001" customHeight="1" thickBot="1">
      <c r="AM46" s="1196"/>
      <c r="AN46" s="1190" t="s">
        <v>423</v>
      </c>
      <c r="AO46" s="1191"/>
      <c r="AP46" s="1191"/>
      <c r="AQ46" s="1191"/>
      <c r="AR46" s="1191"/>
      <c r="AS46" s="1191"/>
      <c r="AT46" s="1191"/>
      <c r="AU46" s="1191"/>
      <c r="AV46" s="1191"/>
      <c r="AW46" s="1191"/>
      <c r="AX46" s="1191"/>
      <c r="AY46" s="1191"/>
      <c r="AZ46" s="1191"/>
      <c r="BA46" s="1190" t="s">
        <v>424</v>
      </c>
      <c r="BB46" s="1191"/>
      <c r="BC46" s="1191"/>
      <c r="BD46" s="1191"/>
      <c r="BE46" s="1191"/>
      <c r="BF46" s="1191"/>
      <c r="BG46" s="1191"/>
      <c r="BH46" s="1191"/>
      <c r="BI46" s="1191"/>
      <c r="BJ46" s="1191"/>
      <c r="BK46" s="1191"/>
      <c r="BL46" s="1191"/>
      <c r="BM46" s="1191"/>
      <c r="BN46" s="1197"/>
      <c r="BP46" s="128"/>
      <c r="BQ46" s="128"/>
      <c r="BR46" s="128"/>
      <c r="BS46" s="128"/>
      <c r="BT46" s="128"/>
      <c r="BU46" s="128"/>
      <c r="BV46" s="128"/>
      <c r="BW46" s="128"/>
      <c r="BX46" s="128"/>
      <c r="BY46" s="128"/>
      <c r="BZ46" s="128"/>
      <c r="EG46" s="821" t="s">
        <v>1559</v>
      </c>
      <c r="EH46" s="821" t="s">
        <v>1559</v>
      </c>
      <c r="EI46" s="821" t="s">
        <v>1559</v>
      </c>
      <c r="EJ46" s="821">
        <v>0</v>
      </c>
      <c r="EK46" s="821">
        <v>0</v>
      </c>
      <c r="EL46" s="821">
        <v>0</v>
      </c>
    </row>
    <row r="47" spans="4:142" ht="20.100000000000001" customHeight="1">
      <c r="AM47" s="1196"/>
      <c r="AN47" s="1438" t="s">
        <v>436</v>
      </c>
      <c r="AO47" s="1439"/>
      <c r="AP47" s="1439"/>
      <c r="AQ47" s="1439"/>
      <c r="AR47" s="1439"/>
      <c r="AS47" s="1428" t="str">
        <f>'AG 입력시트'!S9</f>
        <v>기타</v>
      </c>
      <c r="AT47" s="1429"/>
      <c r="AU47" s="1429"/>
      <c r="AV47" s="1429"/>
      <c r="AW47" s="1429"/>
      <c r="AX47" s="1429"/>
      <c r="AY47" s="1429"/>
      <c r="AZ47" s="1430"/>
      <c r="BA47" s="1431" t="s">
        <v>438</v>
      </c>
      <c r="BB47" s="1432"/>
      <c r="BC47" s="1432"/>
      <c r="BD47" s="1432"/>
      <c r="BE47" s="1432"/>
      <c r="BF47" s="1433" t="s">
        <v>3052</v>
      </c>
      <c r="BG47" s="1434"/>
      <c r="BH47" s="1434"/>
      <c r="BI47" s="1434"/>
      <c r="BJ47" s="1434"/>
      <c r="BK47" s="1434"/>
      <c r="BL47" s="1434"/>
      <c r="BM47" s="1435"/>
      <c r="BN47" s="1197"/>
      <c r="BP47" s="128"/>
      <c r="BQ47" s="128"/>
      <c r="BR47" s="128"/>
      <c r="BS47" s="128"/>
      <c r="BT47" s="128"/>
      <c r="BU47" s="128"/>
      <c r="BV47" s="128"/>
      <c r="BW47" s="128"/>
      <c r="BX47" s="128"/>
      <c r="BY47" s="128"/>
      <c r="BZ47" s="128"/>
      <c r="EG47" s="821" t="s">
        <v>1679</v>
      </c>
      <c r="EH47" s="821" t="s">
        <v>1679</v>
      </c>
      <c r="EI47" s="821" t="s">
        <v>1679</v>
      </c>
      <c r="EJ47" s="821">
        <v>0</v>
      </c>
      <c r="EK47" s="821">
        <v>0</v>
      </c>
      <c r="EL47" s="821">
        <v>0</v>
      </c>
    </row>
    <row r="48" spans="4:142" ht="20.100000000000001" customHeight="1">
      <c r="AM48" s="1196"/>
      <c r="AN48" s="1436" t="s">
        <v>441</v>
      </c>
      <c r="AO48" s="1437"/>
      <c r="AP48" s="1437"/>
      <c r="AQ48" s="1437"/>
      <c r="AR48" s="1437"/>
      <c r="AS48" s="1414"/>
      <c r="AT48" s="1415"/>
      <c r="AU48" s="1415"/>
      <c r="AV48" s="1415"/>
      <c r="AW48" s="1415"/>
      <c r="AX48" s="1415"/>
      <c r="AY48" s="1415"/>
      <c r="AZ48" s="1416"/>
      <c r="BA48" s="1417" t="s">
        <v>1661</v>
      </c>
      <c r="BB48" s="1418"/>
      <c r="BC48" s="1418"/>
      <c r="BD48" s="1418"/>
      <c r="BE48" s="1418"/>
      <c r="BF48" s="1414"/>
      <c r="BG48" s="1415"/>
      <c r="BH48" s="1415"/>
      <c r="BI48" s="1415"/>
      <c r="BJ48" s="1415"/>
      <c r="BK48" s="1415"/>
      <c r="BL48" s="1415"/>
      <c r="BM48" s="1423"/>
      <c r="BN48" s="1197"/>
      <c r="BP48" s="128"/>
      <c r="BQ48" s="128"/>
      <c r="BR48" s="128"/>
      <c r="BS48" s="128"/>
      <c r="BT48" s="128"/>
      <c r="BU48" s="128"/>
      <c r="BV48" s="128"/>
      <c r="BW48" s="128"/>
      <c r="BX48" s="128"/>
      <c r="BY48" s="128"/>
      <c r="BZ48" s="128"/>
      <c r="EG48" s="821"/>
      <c r="EH48" s="821"/>
      <c r="EI48" s="821"/>
      <c r="EJ48" s="821"/>
      <c r="EK48" s="821"/>
      <c r="EL48" s="821"/>
    </row>
    <row r="49" spans="3:142" ht="20.100000000000001" customHeight="1" thickBot="1">
      <c r="F49" s="46"/>
      <c r="AM49" s="1196"/>
      <c r="AN49" s="1597" t="s">
        <v>1662</v>
      </c>
      <c r="AO49" s="1597"/>
      <c r="AP49" s="1597"/>
      <c r="AQ49" s="1597"/>
      <c r="AR49" s="1417"/>
      <c r="AS49" s="1414"/>
      <c r="AT49" s="1415"/>
      <c r="AU49" s="1415"/>
      <c r="AV49" s="1415"/>
      <c r="AW49" s="1415"/>
      <c r="AX49" s="1415"/>
      <c r="AY49" s="1415"/>
      <c r="AZ49" s="1416"/>
      <c r="BA49" s="1417" t="s">
        <v>339</v>
      </c>
      <c r="BB49" s="1418"/>
      <c r="BC49" s="1418"/>
      <c r="BD49" s="1418"/>
      <c r="BE49" s="1418"/>
      <c r="BF49" s="1414"/>
      <c r="BG49" s="1415"/>
      <c r="BH49" s="1415"/>
      <c r="BI49" s="1415"/>
      <c r="BJ49" s="1415"/>
      <c r="BK49" s="1415"/>
      <c r="BL49" s="1415"/>
      <c r="BM49" s="1423"/>
      <c r="BN49" s="1197"/>
      <c r="BP49" s="128"/>
      <c r="BQ49" s="128"/>
      <c r="BR49" s="128"/>
      <c r="BS49" s="128"/>
      <c r="BT49" s="128"/>
      <c r="BU49" s="128"/>
      <c r="BV49" s="128"/>
      <c r="BW49" s="128"/>
      <c r="BX49" s="128"/>
      <c r="BY49" s="128"/>
      <c r="BZ49" s="128"/>
      <c r="EG49" s="834"/>
      <c r="EH49" s="834"/>
      <c r="EI49" s="834"/>
      <c r="EJ49" s="834"/>
      <c r="EK49" s="834"/>
      <c r="EL49" s="834"/>
    </row>
    <row r="50" spans="3:142" ht="20.100000000000001" customHeight="1" thickBot="1">
      <c r="F50" s="46"/>
      <c r="AM50" s="1196"/>
      <c r="AN50" s="1425" t="s">
        <v>437</v>
      </c>
      <c r="AO50" s="1426"/>
      <c r="AP50" s="1426"/>
      <c r="AQ50" s="1426"/>
      <c r="AR50" s="1426"/>
      <c r="AS50" s="1710"/>
      <c r="AT50" s="1711"/>
      <c r="AU50" s="1711"/>
      <c r="AV50" s="1711"/>
      <c r="AW50" s="1711"/>
      <c r="AX50" s="1711"/>
      <c r="AY50" s="1711"/>
      <c r="AZ50" s="1712"/>
      <c r="BA50" s="1713" t="s">
        <v>1665</v>
      </c>
      <c r="BB50" s="1713"/>
      <c r="BC50" s="1713"/>
      <c r="BD50" s="1713"/>
      <c r="BE50" s="1555"/>
      <c r="BF50" s="1710"/>
      <c r="BG50" s="1711"/>
      <c r="BH50" s="1711"/>
      <c r="BI50" s="1711"/>
      <c r="BJ50" s="1711"/>
      <c r="BK50" s="1711"/>
      <c r="BL50" s="1711"/>
      <c r="BM50" s="1714"/>
      <c r="BN50" s="1197"/>
      <c r="BP50" s="128"/>
      <c r="BQ50" s="128"/>
      <c r="BR50" s="128"/>
      <c r="BS50" s="128"/>
      <c r="BT50" s="128"/>
      <c r="BU50" s="128"/>
      <c r="BV50" s="128"/>
      <c r="BW50" s="128"/>
      <c r="BX50" s="128"/>
      <c r="BY50" s="128"/>
      <c r="BZ50" s="128"/>
    </row>
    <row r="51" spans="3:142" ht="17.25" thickBot="1">
      <c r="AM51" s="1200"/>
      <c r="AN51" s="1201"/>
      <c r="AO51" s="1201"/>
      <c r="AP51" s="1201"/>
      <c r="AQ51" s="1201"/>
      <c r="AR51" s="1201"/>
      <c r="AS51" s="1201"/>
      <c r="AT51" s="1201"/>
      <c r="AU51" s="1201"/>
      <c r="AV51" s="1201"/>
      <c r="AW51" s="1201"/>
      <c r="AX51" s="1201"/>
      <c r="AY51" s="1201"/>
      <c r="AZ51" s="1201"/>
      <c r="BA51" s="1201"/>
      <c r="BB51" s="1201"/>
      <c r="BC51" s="1201"/>
      <c r="BD51" s="1201"/>
      <c r="BE51" s="1201"/>
      <c r="BF51" s="1201"/>
      <c r="BG51" s="1201"/>
      <c r="BH51" s="1201"/>
      <c r="BI51" s="1201"/>
      <c r="BJ51" s="1201"/>
      <c r="BK51" s="1201"/>
      <c r="BL51" s="1201"/>
      <c r="BM51" s="1201"/>
      <c r="BN51" s="1202"/>
      <c r="BP51" s="128"/>
      <c r="BQ51" s="128"/>
      <c r="BR51" s="128"/>
      <c r="BS51" s="128"/>
      <c r="BT51" s="128"/>
      <c r="BU51" s="128"/>
      <c r="BV51" s="128"/>
      <c r="BW51" s="128"/>
      <c r="BX51" s="128"/>
      <c r="BY51" s="128"/>
      <c r="BZ51" s="128"/>
    </row>
    <row r="52" spans="3:142" ht="17.25" thickBot="1"/>
    <row r="53" spans="3:142" ht="17.25" hidden="1" outlineLevel="1" thickBot="1">
      <c r="C53" s="1023"/>
      <c r="D53" s="1023"/>
      <c r="E53" s="1023"/>
      <c r="F53" s="1023"/>
      <c r="G53" s="1023"/>
      <c r="H53" s="1023"/>
      <c r="I53" s="1023"/>
      <c r="J53" s="1023"/>
      <c r="K53" s="1023"/>
      <c r="L53" s="1023"/>
      <c r="M53" s="1023"/>
      <c r="N53" s="1023"/>
      <c r="O53" s="1023"/>
      <c r="P53" s="1023"/>
      <c r="Q53" s="1023"/>
      <c r="R53" s="1023"/>
      <c r="S53" s="1023"/>
      <c r="T53" s="1023"/>
      <c r="U53" s="1023"/>
      <c r="V53" s="1023"/>
      <c r="W53" s="1023"/>
      <c r="X53" s="1023"/>
      <c r="Y53" s="1023"/>
      <c r="Z53" s="1023"/>
      <c r="AA53" s="1023"/>
      <c r="AB53" s="1023"/>
      <c r="AC53" s="1023"/>
      <c r="AD53" s="1023"/>
      <c r="AE53" s="1023"/>
      <c r="AF53" s="1023"/>
      <c r="AG53" s="1023"/>
      <c r="AH53" s="1023"/>
      <c r="AI53" s="1023"/>
      <c r="AJ53" s="1023"/>
      <c r="AK53" s="1023"/>
      <c r="AL53" s="1023"/>
      <c r="AM53" s="1023"/>
      <c r="AN53" s="1023"/>
      <c r="AO53" s="1023"/>
      <c r="AP53" s="1023"/>
      <c r="AQ53" s="1023"/>
      <c r="AR53" s="1023"/>
      <c r="AS53" s="1023"/>
      <c r="AT53" s="1023"/>
      <c r="AU53" s="1023"/>
      <c r="AV53" s="1023"/>
      <c r="AW53" s="1023"/>
      <c r="AX53" s="1023"/>
      <c r="AY53" s="1023"/>
      <c r="AZ53" s="1023"/>
      <c r="BA53" s="1023"/>
      <c r="BB53" s="1023"/>
      <c r="BC53" s="1023"/>
      <c r="BD53" s="1023"/>
      <c r="BE53" s="1023"/>
      <c r="BF53" s="1023"/>
      <c r="BG53" s="1023"/>
      <c r="BH53" s="1023"/>
      <c r="BI53" s="1023"/>
      <c r="BJ53" s="1023"/>
      <c r="BK53" s="1023"/>
      <c r="BL53" s="1023"/>
      <c r="BM53" s="1023"/>
      <c r="BN53" s="1023"/>
    </row>
    <row r="54" spans="3:142" ht="21" hidden="1" outlineLevel="1" thickBot="1">
      <c r="D54" s="1329" t="s">
        <v>1825</v>
      </c>
      <c r="E54" s="1330"/>
      <c r="F54" s="1330"/>
      <c r="G54" s="1330"/>
      <c r="H54" s="1330"/>
      <c r="I54" s="1330"/>
      <c r="J54" s="1330"/>
      <c r="K54" s="1330"/>
      <c r="L54" s="1331">
        <f>계산_운용리스_단일!C80</f>
        <v>0.03</v>
      </c>
      <c r="M54" s="1331"/>
      <c r="N54" s="1331"/>
      <c r="O54" s="1331"/>
      <c r="P54" s="1332">
        <f>계산_운용리스_단일!D80</f>
        <v>0</v>
      </c>
      <c r="Q54" s="1332"/>
      <c r="R54" s="1332"/>
      <c r="S54" s="1332"/>
      <c r="T54" s="1440" t="s">
        <v>1826</v>
      </c>
      <c r="U54" s="1330"/>
      <c r="V54" s="1330"/>
      <c r="W54" s="1330"/>
      <c r="X54" s="1370" t="e">
        <f>계산_운용리스_단일!N20</f>
        <v>#DIV/0!</v>
      </c>
      <c r="Y54" s="1370"/>
      <c r="Z54" s="1370"/>
      <c r="AA54" s="1370"/>
      <c r="AB54" s="1370"/>
      <c r="AC54" s="1409" t="s">
        <v>1827</v>
      </c>
      <c r="AD54" s="1409"/>
      <c r="AE54" s="1409"/>
      <c r="AF54" s="1441">
        <f>계산_운용리스_단일!C70</f>
        <v>0</v>
      </c>
      <c r="AG54" s="1441"/>
      <c r="AH54" s="1441"/>
      <c r="AI54" s="1441"/>
      <c r="AJ54" s="1441"/>
      <c r="AK54" s="1441"/>
      <c r="AL54" s="1441"/>
      <c r="AM54" s="1441"/>
      <c r="AN54" s="1441"/>
      <c r="AO54" s="1442"/>
      <c r="AP54" s="1093"/>
      <c r="AQ54" s="1443" t="s">
        <v>3255</v>
      </c>
      <c r="AR54" s="1444"/>
      <c r="AS54" s="1444"/>
      <c r="AT54" s="1444"/>
      <c r="AU54" s="1444"/>
      <c r="AV54" s="1444"/>
      <c r="AW54" s="1444"/>
      <c r="AX54" s="1444"/>
      <c r="AY54" s="1444"/>
      <c r="AZ54" s="1444"/>
      <c r="BA54" s="1444"/>
      <c r="BB54" s="1444"/>
      <c r="BC54" s="1444"/>
      <c r="BD54" s="1444"/>
      <c r="BE54" s="1444"/>
      <c r="BF54" s="1444"/>
      <c r="BG54" s="1444"/>
      <c r="BH54" s="1444"/>
      <c r="BI54" s="1444"/>
      <c r="BJ54" s="1445"/>
    </row>
    <row r="55" spans="3:142" hidden="1" outlineLevel="1">
      <c r="D55" s="1329" t="s">
        <v>1828</v>
      </c>
      <c r="E55" s="1330"/>
      <c r="F55" s="1330"/>
      <c r="G55" s="1330"/>
      <c r="H55" s="1330"/>
      <c r="I55" s="1330"/>
      <c r="J55" s="1330"/>
      <c r="K55" s="1330"/>
      <c r="L55" s="1331">
        <f>계산_운용리스_단일!C81</f>
        <v>0</v>
      </c>
      <c r="M55" s="1331"/>
      <c r="N55" s="1331"/>
      <c r="O55" s="1331"/>
      <c r="P55" s="1332">
        <f>계산_운용리스_단일!D81</f>
        <v>0</v>
      </c>
      <c r="Q55" s="1332"/>
      <c r="R55" s="1332"/>
      <c r="S55" s="1332"/>
      <c r="T55" s="1330" t="s">
        <v>1829</v>
      </c>
      <c r="U55" s="1330"/>
      <c r="V55" s="1330"/>
      <c r="W55" s="1330"/>
      <c r="X55" s="1358" t="str">
        <f>IF(BR22=TRUE,"포함","불포함")</f>
        <v>불포함</v>
      </c>
      <c r="Y55" s="1358"/>
      <c r="Z55" s="1358"/>
      <c r="AA55" s="1358"/>
      <c r="AB55" s="1358"/>
      <c r="AC55" s="1409" t="s">
        <v>1830</v>
      </c>
      <c r="AD55" s="1409"/>
      <c r="AE55" s="1409"/>
      <c r="AF55" s="1410">
        <f>IF(AS6="현대특판","계약금없음",IF(BN66="100만원",1000000,IF(BN66="10만원",100000,IF(BN66="30만원",300000,IF(BN66="50만원",500000,"")))))</f>
        <v>500000</v>
      </c>
      <c r="AG55" s="1410"/>
      <c r="AH55" s="1410"/>
      <c r="AI55" s="1410"/>
      <c r="AJ55" s="1410"/>
      <c r="AK55" s="1410"/>
      <c r="AL55" s="1410"/>
      <c r="AM55" s="1410"/>
      <c r="AN55" s="1410"/>
      <c r="AO55" s="1411"/>
      <c r="AP55" s="1093"/>
      <c r="AQ55" s="1412" t="s">
        <v>1831</v>
      </c>
      <c r="AR55" s="1413"/>
      <c r="AS55" s="1413"/>
      <c r="AT55" s="1413"/>
      <c r="AU55" s="1413" t="s">
        <v>1832</v>
      </c>
      <c r="AV55" s="1413"/>
      <c r="AW55" s="1413"/>
      <c r="AX55" s="1413"/>
      <c r="AY55" s="1413" t="s">
        <v>1833</v>
      </c>
      <c r="AZ55" s="1413"/>
      <c r="BA55" s="1413"/>
      <c r="BB55" s="1413"/>
      <c r="BC55" s="1413" t="s">
        <v>1834</v>
      </c>
      <c r="BD55" s="1413"/>
      <c r="BE55" s="1413"/>
      <c r="BF55" s="1413"/>
      <c r="BG55" s="1413" t="s">
        <v>1835</v>
      </c>
      <c r="BH55" s="1413"/>
      <c r="BI55" s="1413"/>
      <c r="BJ55" s="1419"/>
    </row>
    <row r="56" spans="3:142" ht="17.25" hidden="1" outlineLevel="1" thickBot="1">
      <c r="D56" s="1329" t="s">
        <v>1836</v>
      </c>
      <c r="E56" s="1330"/>
      <c r="F56" s="1330"/>
      <c r="G56" s="1330"/>
      <c r="H56" s="1330"/>
      <c r="I56" s="1330"/>
      <c r="J56" s="1330"/>
      <c r="K56" s="1330"/>
      <c r="L56" s="1331">
        <f>계산_운용리스_단일!C82</f>
        <v>6.0000000000000001E-3</v>
      </c>
      <c r="M56" s="1331"/>
      <c r="N56" s="1331"/>
      <c r="O56" s="1331"/>
      <c r="P56" s="1332">
        <f>계산_운용리스_단일!D82</f>
        <v>0</v>
      </c>
      <c r="Q56" s="1332"/>
      <c r="R56" s="1332"/>
      <c r="S56" s="1332"/>
      <c r="T56" s="1330" t="s">
        <v>1837</v>
      </c>
      <c r="U56" s="1330"/>
      <c r="V56" s="1330"/>
      <c r="W56" s="1330"/>
      <c r="X56" s="1370" t="str">
        <f>+AS47</f>
        <v>기타</v>
      </c>
      <c r="Y56" s="1370"/>
      <c r="Z56" s="1370"/>
      <c r="AA56" s="1370"/>
      <c r="AB56" s="1370"/>
      <c r="AC56" s="1373" t="s">
        <v>1838</v>
      </c>
      <c r="AD56" s="1373"/>
      <c r="AE56" s="1373"/>
      <c r="AF56" s="1374">
        <f>IF(AS6="현대특판",AS15,AS15-AF55)</f>
        <v>-500000</v>
      </c>
      <c r="AG56" s="1374"/>
      <c r="AH56" s="1374"/>
      <c r="AI56" s="1374"/>
      <c r="AJ56" s="1374"/>
      <c r="AK56" s="1374"/>
      <c r="AL56" s="1374"/>
      <c r="AM56" s="1374"/>
      <c r="AN56" s="1374"/>
      <c r="AO56" s="1375"/>
      <c r="AP56" s="1093"/>
      <c r="AQ56" s="1341">
        <v>45565</v>
      </c>
      <c r="AR56" s="1342"/>
      <c r="AS56" s="1342"/>
      <c r="AT56" s="1342"/>
      <c r="AU56" s="1345">
        <f>+AQ56+1</f>
        <v>45566</v>
      </c>
      <c r="AV56" s="1342"/>
      <c r="AW56" s="1342"/>
      <c r="AX56" s="1342"/>
      <c r="AY56" s="1345">
        <f>+AU56+1</f>
        <v>45567</v>
      </c>
      <c r="AZ56" s="1342"/>
      <c r="BA56" s="1342"/>
      <c r="BB56" s="1342"/>
      <c r="BC56" s="1345">
        <f>+AY56+1</f>
        <v>45568</v>
      </c>
      <c r="BD56" s="1342"/>
      <c r="BE56" s="1342"/>
      <c r="BF56" s="1342"/>
      <c r="BG56" s="1345">
        <f>+BC56+1</f>
        <v>45569</v>
      </c>
      <c r="BH56" s="1342"/>
      <c r="BI56" s="1342"/>
      <c r="BJ56" s="1346"/>
    </row>
    <row r="57" spans="3:142" ht="18" hidden="1" outlineLevel="1" thickBot="1">
      <c r="D57" s="1329" t="s">
        <v>1839</v>
      </c>
      <c r="E57" s="1330"/>
      <c r="F57" s="1330"/>
      <c r="G57" s="1330"/>
      <c r="H57" s="1330"/>
      <c r="I57" s="1330"/>
      <c r="J57" s="1330"/>
      <c r="K57" s="1330"/>
      <c r="L57" s="1331">
        <f>계산_운용리스_단일!C83</f>
        <v>0</v>
      </c>
      <c r="M57" s="1331"/>
      <c r="N57" s="1331"/>
      <c r="O57" s="1331"/>
      <c r="P57" s="1332">
        <f>계산_운용리스_단일!D83</f>
        <v>0</v>
      </c>
      <c r="Q57" s="1332"/>
      <c r="R57" s="1332"/>
      <c r="S57" s="1332"/>
      <c r="T57" s="1330" t="s">
        <v>1840</v>
      </c>
      <c r="U57" s="1330"/>
      <c r="V57" s="1330"/>
      <c r="W57" s="1330"/>
      <c r="X57" s="1371">
        <f>+AA18</f>
        <v>20000</v>
      </c>
      <c r="Y57" s="1371"/>
      <c r="Z57" s="1371"/>
      <c r="AA57" s="1371"/>
      <c r="AB57" s="1372"/>
      <c r="AC57" s="1376" t="s">
        <v>3239</v>
      </c>
      <c r="AD57" s="1377"/>
      <c r="AE57" s="1377"/>
      <c r="AF57" s="1378"/>
      <c r="AG57" s="1379">
        <f>+K24*120%</f>
        <v>0</v>
      </c>
      <c r="AH57" s="1380"/>
      <c r="AI57" s="1380"/>
      <c r="AJ57" s="1380"/>
      <c r="AK57" s="1380"/>
      <c r="AL57" s="1380"/>
      <c r="AM57" s="1380"/>
      <c r="AN57" s="1380"/>
      <c r="AO57" s="1381"/>
      <c r="AP57" s="1094"/>
      <c r="AQ57" s="1024"/>
      <c r="AR57" s="1025"/>
      <c r="AS57" s="1025"/>
      <c r="AT57" s="1025"/>
      <c r="AU57" s="1024"/>
      <c r="AV57" s="1025"/>
      <c r="AW57" s="1025"/>
      <c r="AX57" s="1025"/>
      <c r="AY57" s="1024"/>
      <c r="AZ57" s="1025"/>
      <c r="BA57" s="1025"/>
      <c r="BB57" s="1025"/>
      <c r="BC57" s="1026"/>
      <c r="BD57" s="1027"/>
      <c r="BE57" s="1027"/>
      <c r="BF57" s="1027"/>
      <c r="BG57" s="1024"/>
      <c r="BH57" s="1025"/>
      <c r="BI57" s="1025"/>
      <c r="BJ57" s="1025"/>
    </row>
    <row r="58" spans="3:142" ht="17.25" hidden="1" outlineLevel="1">
      <c r="D58" s="1329" t="s">
        <v>1841</v>
      </c>
      <c r="E58" s="1330"/>
      <c r="F58" s="1330"/>
      <c r="G58" s="1330"/>
      <c r="H58" s="1330"/>
      <c r="I58" s="1330"/>
      <c r="J58" s="1330"/>
      <c r="K58" s="1330"/>
      <c r="L58" s="1331">
        <f>계산_운용리스_단일!C84</f>
        <v>0</v>
      </c>
      <c r="M58" s="1331"/>
      <c r="N58" s="1331"/>
      <c r="O58" s="1331"/>
      <c r="P58" s="1332">
        <f>계산_운용리스_단일!D84</f>
        <v>0</v>
      </c>
      <c r="Q58" s="1332"/>
      <c r="R58" s="1332"/>
      <c r="S58" s="1332"/>
      <c r="T58" s="1330" t="s">
        <v>1842</v>
      </c>
      <c r="U58" s="1330"/>
      <c r="V58" s="1330"/>
      <c r="W58" s="1330"/>
      <c r="X58" s="1370" t="e">
        <f>+AS45</f>
        <v>#DIV/0!</v>
      </c>
      <c r="Y58" s="1370"/>
      <c r="Z58" s="1370"/>
      <c r="AA58" s="1370"/>
      <c r="AB58" s="1370"/>
      <c r="AC58" s="1361" t="s">
        <v>1843</v>
      </c>
      <c r="AD58" s="1361"/>
      <c r="AE58" s="1361"/>
      <c r="AF58" s="1362" t="s">
        <v>1844</v>
      </c>
      <c r="AG58" s="1362"/>
      <c r="AH58" s="1362"/>
      <c r="AI58" s="1362"/>
      <c r="AJ58" s="1362"/>
      <c r="AK58" s="1362"/>
      <c r="AL58" s="1362"/>
      <c r="AM58" s="1362"/>
      <c r="AN58" s="1362"/>
      <c r="AO58" s="1363"/>
      <c r="AP58" s="1094"/>
      <c r="AQ58" s="1341">
        <f>+AQ56+7</f>
        <v>45572</v>
      </c>
      <c r="AR58" s="1342"/>
      <c r="AS58" s="1342"/>
      <c r="AT58" s="1342"/>
      <c r="AU58" s="1345">
        <f>+AQ58+1</f>
        <v>45573</v>
      </c>
      <c r="AV58" s="1342"/>
      <c r="AW58" s="1342"/>
      <c r="AX58" s="1342"/>
      <c r="AY58" s="1355">
        <f>+AU58+1</f>
        <v>45574</v>
      </c>
      <c r="AZ58" s="1356"/>
      <c r="BA58" s="1356"/>
      <c r="BB58" s="1356"/>
      <c r="BC58" s="1355">
        <f>+AY58+1</f>
        <v>45575</v>
      </c>
      <c r="BD58" s="1356"/>
      <c r="BE58" s="1356"/>
      <c r="BF58" s="1356"/>
      <c r="BG58" s="1345">
        <f>+BC58+1</f>
        <v>45576</v>
      </c>
      <c r="BH58" s="1342"/>
      <c r="BI58" s="1342"/>
      <c r="BJ58" s="1346"/>
    </row>
    <row r="59" spans="3:142" hidden="1" outlineLevel="1">
      <c r="D59" s="1329" t="s">
        <v>1845</v>
      </c>
      <c r="E59" s="1330"/>
      <c r="F59" s="1330"/>
      <c r="G59" s="1330"/>
      <c r="H59" s="1330"/>
      <c r="I59" s="1330"/>
      <c r="J59" s="1330"/>
      <c r="K59" s="1330"/>
      <c r="L59" s="1331">
        <f>계산_운용리스_단일!C85</f>
        <v>0</v>
      </c>
      <c r="M59" s="1331"/>
      <c r="N59" s="1331"/>
      <c r="O59" s="1331"/>
      <c r="P59" s="1332">
        <f>계산_운용리스_단일!D85</f>
        <v>0</v>
      </c>
      <c r="Q59" s="1332"/>
      <c r="R59" s="1332"/>
      <c r="S59" s="1332"/>
      <c r="T59" s="1330" t="s">
        <v>1846</v>
      </c>
      <c r="U59" s="1330"/>
      <c r="V59" s="1330"/>
      <c r="W59" s="1330"/>
      <c r="X59" s="1364" t="e">
        <f ca="1">+AA27</f>
        <v>#DIV/0!</v>
      </c>
      <c r="Y59" s="1364"/>
      <c r="Z59" s="1364"/>
      <c r="AA59" s="1364"/>
      <c r="AB59" s="1364"/>
      <c r="AC59" s="1358" t="s">
        <v>1847</v>
      </c>
      <c r="AD59" s="1358"/>
      <c r="AE59" s="1358"/>
      <c r="AF59" s="1358"/>
      <c r="AG59" s="1358"/>
      <c r="AH59" s="1358"/>
      <c r="AI59" s="1358"/>
      <c r="AJ59" s="1358"/>
      <c r="AK59" s="1358"/>
      <c r="AL59" s="1358"/>
      <c r="AM59" s="1358"/>
      <c r="AN59" s="1358"/>
      <c r="AO59" s="1365"/>
      <c r="AQ59" s="1366"/>
      <c r="AR59" s="1366"/>
      <c r="AS59" s="1366"/>
      <c r="AT59" s="1366"/>
      <c r="AU59" s="1367"/>
      <c r="AV59" s="1367"/>
      <c r="AW59" s="1367"/>
      <c r="AX59" s="1367"/>
      <c r="AY59" s="1367"/>
      <c r="AZ59" s="1367"/>
      <c r="BA59" s="1367"/>
      <c r="BB59" s="1367"/>
      <c r="BC59" s="1367"/>
      <c r="BD59" s="1367"/>
      <c r="BE59" s="1367"/>
      <c r="BF59" s="1367"/>
      <c r="BG59" s="1340"/>
      <c r="BH59" s="1340"/>
      <c r="BI59" s="1340"/>
      <c r="BJ59" s="1340"/>
    </row>
    <row r="60" spans="3:142" hidden="1" outlineLevel="1">
      <c r="D60" s="1329" t="s">
        <v>1848</v>
      </c>
      <c r="E60" s="1330"/>
      <c r="F60" s="1330"/>
      <c r="G60" s="1330"/>
      <c r="H60" s="1330"/>
      <c r="I60" s="1330"/>
      <c r="J60" s="1330"/>
      <c r="K60" s="1330"/>
      <c r="L60" s="1331">
        <f>계산_운용리스_단일!C86</f>
        <v>0</v>
      </c>
      <c r="M60" s="1331"/>
      <c r="N60" s="1331"/>
      <c r="O60" s="1331"/>
      <c r="P60" s="1332">
        <f>계산_운용리스_단일!D86</f>
        <v>0</v>
      </c>
      <c r="Q60" s="1332"/>
      <c r="R60" s="1332"/>
      <c r="S60" s="1332"/>
      <c r="T60" s="1368" t="s">
        <v>1849</v>
      </c>
      <c r="U60" s="1368"/>
      <c r="V60" s="1368"/>
      <c r="W60" s="1368"/>
      <c r="X60" s="1369" t="e">
        <f>계산_운용리스_단일!I41</f>
        <v>#DIV/0!</v>
      </c>
      <c r="Y60" s="1369"/>
      <c r="Z60" s="1369"/>
      <c r="AA60" s="1369"/>
      <c r="AB60" s="1369"/>
      <c r="AC60" s="1358"/>
      <c r="AD60" s="1358"/>
      <c r="AE60" s="1358"/>
      <c r="AF60" s="1358"/>
      <c r="AG60" s="1358"/>
      <c r="AH60" s="1358"/>
      <c r="AI60" s="1358"/>
      <c r="AJ60" s="1358"/>
      <c r="AK60" s="1358"/>
      <c r="AL60" s="1358"/>
      <c r="AM60" s="1358"/>
      <c r="AN60" s="1358"/>
      <c r="AO60" s="1365"/>
      <c r="AQ60" s="1343">
        <f>+AQ58+7</f>
        <v>45579</v>
      </c>
      <c r="AR60" s="1344"/>
      <c r="AS60" s="1344"/>
      <c r="AT60" s="1344"/>
      <c r="AU60" s="1359">
        <f>+AU58+7</f>
        <v>45580</v>
      </c>
      <c r="AV60" s="1344"/>
      <c r="AW60" s="1344"/>
      <c r="AX60" s="1344"/>
      <c r="AY60" s="1359">
        <f>+AY58+7</f>
        <v>45581</v>
      </c>
      <c r="AZ60" s="1344"/>
      <c r="BA60" s="1344"/>
      <c r="BB60" s="1344"/>
      <c r="BC60" s="1355">
        <f>+BC58+7</f>
        <v>45582</v>
      </c>
      <c r="BD60" s="1356"/>
      <c r="BE60" s="1356"/>
      <c r="BF60" s="1356"/>
      <c r="BG60" s="1355">
        <f>+BG58+7</f>
        <v>45583</v>
      </c>
      <c r="BH60" s="1356"/>
      <c r="BI60" s="1356"/>
      <c r="BJ60" s="1357"/>
    </row>
    <row r="61" spans="3:142" hidden="1" outlineLevel="1">
      <c r="D61" s="1329" t="s">
        <v>1850</v>
      </c>
      <c r="E61" s="1330"/>
      <c r="F61" s="1330"/>
      <c r="G61" s="1330"/>
      <c r="H61" s="1330"/>
      <c r="I61" s="1330"/>
      <c r="J61" s="1330"/>
      <c r="K61" s="1330"/>
      <c r="L61" s="1331">
        <f>계산_운용리스_단일!C87</f>
        <v>0</v>
      </c>
      <c r="M61" s="1331"/>
      <c r="N61" s="1331"/>
      <c r="O61" s="1331"/>
      <c r="P61" s="1332">
        <f>계산_운용리스_단일!D87</f>
        <v>0</v>
      </c>
      <c r="Q61" s="1332"/>
      <c r="R61" s="1332"/>
      <c r="S61" s="1332"/>
      <c r="T61" s="1330" t="s">
        <v>1851</v>
      </c>
      <c r="U61" s="1330"/>
      <c r="V61" s="1330"/>
      <c r="W61" s="1330"/>
      <c r="X61" s="1358" t="str">
        <f>VLOOKUP(AS7,차량정보!$D$4:$M$12447,10,0)</f>
        <v>I</v>
      </c>
      <c r="Y61" s="1358"/>
      <c r="Z61" s="1358"/>
      <c r="AA61" s="1358"/>
      <c r="AB61" s="1358"/>
      <c r="AC61" s="1358"/>
      <c r="AD61" s="1358"/>
      <c r="AE61" s="1358"/>
      <c r="AF61" s="1358"/>
      <c r="AG61" s="1358"/>
      <c r="AH61" s="1358"/>
      <c r="AI61" s="1358"/>
      <c r="AJ61" s="1358"/>
      <c r="AK61" s="1358"/>
      <c r="AL61" s="1358"/>
      <c r="AM61" s="1358"/>
      <c r="AN61" s="1358"/>
      <c r="AO61" s="1365"/>
      <c r="AQ61" s="1340" t="s">
        <v>3232</v>
      </c>
      <c r="AR61" s="1340"/>
      <c r="AS61" s="1340"/>
      <c r="AT61" s="1340"/>
      <c r="AU61" s="1340"/>
      <c r="AV61" s="1340"/>
      <c r="AW61" s="1340"/>
      <c r="AX61" s="1340"/>
      <c r="AY61" s="1340"/>
      <c r="AZ61" s="1340"/>
      <c r="BA61" s="1340"/>
      <c r="BB61" s="1340"/>
      <c r="BC61" s="1340"/>
      <c r="BD61" s="1340"/>
      <c r="BE61" s="1340"/>
      <c r="BF61" s="1340"/>
      <c r="BG61" s="1340"/>
      <c r="BH61" s="1340"/>
      <c r="BI61" s="1340"/>
      <c r="BJ61" s="1340"/>
    </row>
    <row r="62" spans="3:142" hidden="1" outlineLevel="1">
      <c r="D62" s="1329" t="s">
        <v>1852</v>
      </c>
      <c r="E62" s="1330"/>
      <c r="F62" s="1330"/>
      <c r="G62" s="1330"/>
      <c r="H62" s="1330"/>
      <c r="I62" s="1330"/>
      <c r="J62" s="1330"/>
      <c r="K62" s="1330"/>
      <c r="L62" s="1331" t="e">
        <f>계산_운용리스_단일!C88</f>
        <v>#DIV/0!</v>
      </c>
      <c r="M62" s="1331"/>
      <c r="N62" s="1331"/>
      <c r="O62" s="1331"/>
      <c r="P62" s="1332" t="e">
        <f>계산_운용리스_단일!D88</f>
        <v>#DIV/0!</v>
      </c>
      <c r="Q62" s="1332"/>
      <c r="R62" s="1332"/>
      <c r="S62" s="1332"/>
      <c r="T62" s="1330" t="s">
        <v>2161</v>
      </c>
      <c r="U62" s="1330"/>
      <c r="V62" s="1330"/>
      <c r="W62" s="1330"/>
      <c r="X62" s="1358" t="str">
        <f>IF(계산_운용리스_단일!F95="Y",운용리스_단일!X61&amp;"-1",IF(계산_운용리스_단일!F96="Y",운용리스_단일!X61&amp;"-1",IF(계산_운용리스_단일!F97="Y",운용리스_단일!X61&amp;"-1",IF(AND(AS5="국산",AS40=20000,계산_운용리스_단일!F107="Y"),"S&amp;K",IF(AND(AS5="국산",AS40=20000,계산_운용리스_단일!F107="Y2"),"S&amp;K","")))))</f>
        <v/>
      </c>
      <c r="Y62" s="1358"/>
      <c r="Z62" s="1358"/>
      <c r="AA62" s="1358"/>
      <c r="AB62" s="1358"/>
      <c r="AC62" s="1358"/>
      <c r="AD62" s="1358"/>
      <c r="AE62" s="1358"/>
      <c r="AF62" s="1358"/>
      <c r="AG62" s="1358"/>
      <c r="AH62" s="1358"/>
      <c r="AI62" s="1358"/>
      <c r="AJ62" s="1358"/>
      <c r="AK62" s="1358"/>
      <c r="AL62" s="1358"/>
      <c r="AM62" s="1358"/>
      <c r="AN62" s="1358"/>
      <c r="AO62" s="1365"/>
      <c r="AQ62" s="1360">
        <f>+AQ60+7</f>
        <v>45586</v>
      </c>
      <c r="AR62" s="1356"/>
      <c r="AS62" s="1356"/>
      <c r="AT62" s="1356"/>
      <c r="AU62" s="1355">
        <f>+AU60+7</f>
        <v>45587</v>
      </c>
      <c r="AV62" s="1356"/>
      <c r="AW62" s="1356"/>
      <c r="AX62" s="1356"/>
      <c r="AY62" s="1355">
        <f>+AY60+7</f>
        <v>45588</v>
      </c>
      <c r="AZ62" s="1356"/>
      <c r="BA62" s="1356"/>
      <c r="BB62" s="1356"/>
      <c r="BC62" s="1355">
        <f>+BC60+7</f>
        <v>45589</v>
      </c>
      <c r="BD62" s="1356"/>
      <c r="BE62" s="1356"/>
      <c r="BF62" s="1356"/>
      <c r="BG62" s="1355">
        <f>+BG60+7</f>
        <v>45590</v>
      </c>
      <c r="BH62" s="1356"/>
      <c r="BI62" s="1356"/>
      <c r="BJ62" s="1357"/>
    </row>
    <row r="63" spans="3:142" hidden="1" outlineLevel="1">
      <c r="D63" s="1329" t="s">
        <v>1853</v>
      </c>
      <c r="E63" s="1330"/>
      <c r="F63" s="1330"/>
      <c r="G63" s="1330"/>
      <c r="H63" s="1330"/>
      <c r="I63" s="1330"/>
      <c r="J63" s="1330"/>
      <c r="K63" s="1330"/>
      <c r="L63" s="1331" t="e">
        <f>계산_운용리스_단일!C89</f>
        <v>#DIV/0!</v>
      </c>
      <c r="M63" s="1331"/>
      <c r="N63" s="1331"/>
      <c r="O63" s="1331"/>
      <c r="P63" s="1332" t="e">
        <f>계산_운용리스_단일!D89</f>
        <v>#DIV/0!</v>
      </c>
      <c r="Q63" s="1332"/>
      <c r="R63" s="1332"/>
      <c r="S63" s="1332"/>
      <c r="T63" s="1334" t="s">
        <v>1854</v>
      </c>
      <c r="U63" s="1335"/>
      <c r="V63" s="1335"/>
      <c r="W63" s="1336"/>
      <c r="X63" s="1337">
        <v>0</v>
      </c>
      <c r="Y63" s="1338"/>
      <c r="Z63" s="1338"/>
      <c r="AA63" s="1338"/>
      <c r="AB63" s="1339"/>
      <c r="AC63" s="1358"/>
      <c r="AD63" s="1358"/>
      <c r="AE63" s="1358"/>
      <c r="AF63" s="1358"/>
      <c r="AG63" s="1358"/>
      <c r="AH63" s="1358"/>
      <c r="AI63" s="1358"/>
      <c r="AJ63" s="1358"/>
      <c r="AK63" s="1358"/>
      <c r="AL63" s="1358"/>
      <c r="AM63" s="1358"/>
      <c r="AN63" s="1358"/>
      <c r="AO63" s="1365"/>
      <c r="AQ63" s="1340"/>
      <c r="AR63" s="1340"/>
      <c r="AS63" s="1340"/>
      <c r="AT63" s="1340"/>
      <c r="AU63" s="1340"/>
      <c r="AV63" s="1340"/>
      <c r="AW63" s="1340"/>
      <c r="AX63" s="1340"/>
      <c r="AY63" s="1340"/>
      <c r="AZ63" s="1340"/>
      <c r="BA63" s="1340"/>
      <c r="BB63" s="1340"/>
      <c r="BC63" s="1340"/>
      <c r="BD63" s="1340"/>
      <c r="BE63" s="1340"/>
      <c r="BF63" s="1340"/>
      <c r="BG63" s="1340"/>
      <c r="BH63" s="1340"/>
      <c r="BI63" s="1340"/>
      <c r="BJ63" s="1340"/>
    </row>
    <row r="64" spans="3:142" ht="16.5" hidden="1" customHeight="1" outlineLevel="1">
      <c r="D64" s="1707" t="s">
        <v>2655</v>
      </c>
      <c r="E64" s="1708"/>
      <c r="F64" s="1708"/>
      <c r="G64" s="1708"/>
      <c r="H64" s="1708"/>
      <c r="I64" s="1708"/>
      <c r="J64" s="1708"/>
      <c r="K64" s="1708"/>
      <c r="L64" s="1368" t="s">
        <v>2656</v>
      </c>
      <c r="M64" s="1368"/>
      <c r="N64" s="1368"/>
      <c r="O64" s="1368"/>
      <c r="P64" s="1368"/>
      <c r="Q64" s="1709" t="s">
        <v>2657</v>
      </c>
      <c r="R64" s="1709"/>
      <c r="S64" s="1709"/>
      <c r="T64" s="1709"/>
      <c r="U64" s="1709"/>
      <c r="V64" s="1659" t="s">
        <v>2659</v>
      </c>
      <c r="W64" s="1659"/>
      <c r="X64" s="1659"/>
      <c r="Y64" s="1659"/>
      <c r="Z64" s="1660">
        <f>+X57</f>
        <v>20000</v>
      </c>
      <c r="AA64" s="1661"/>
      <c r="AB64" s="1662"/>
      <c r="AC64" s="1353" t="s">
        <v>2658</v>
      </c>
      <c r="AD64" s="1353"/>
      <c r="AE64" s="1353"/>
      <c r="AF64" s="1353"/>
      <c r="AG64" s="1353"/>
      <c r="AH64" s="1353"/>
      <c r="AI64" s="1354"/>
      <c r="AJ64" s="1095"/>
      <c r="AK64" s="1095"/>
      <c r="AL64" s="1095"/>
      <c r="AM64" s="1095"/>
      <c r="AN64" s="1095"/>
      <c r="AO64" s="1095"/>
      <c r="AP64" s="1095"/>
      <c r="AQ64" s="1341">
        <f>+AQ62+7</f>
        <v>45593</v>
      </c>
      <c r="AR64" s="1342"/>
      <c r="AS64" s="1342"/>
      <c r="AT64" s="1342"/>
      <c r="AU64" s="1343">
        <f>+AU62+7</f>
        <v>45594</v>
      </c>
      <c r="AV64" s="1344"/>
      <c r="AW64" s="1344"/>
      <c r="AX64" s="1344"/>
      <c r="AY64" s="1341">
        <f>+AY62+7</f>
        <v>45595</v>
      </c>
      <c r="AZ64" s="1342"/>
      <c r="BA64" s="1342"/>
      <c r="BB64" s="1342"/>
      <c r="BC64" s="1343">
        <f>+BC62+7</f>
        <v>45596</v>
      </c>
      <c r="BD64" s="1344"/>
      <c r="BE64" s="1344"/>
      <c r="BF64" s="1344"/>
      <c r="BG64" s="1345">
        <f>+BC64+1</f>
        <v>45597</v>
      </c>
      <c r="BH64" s="1342"/>
      <c r="BI64" s="1342"/>
      <c r="BJ64" s="1346"/>
    </row>
    <row r="65" spans="3:67" ht="17.25" hidden="1" customHeight="1" outlineLevel="1" thickBot="1">
      <c r="D65" s="1730">
        <f>IF(AS28=12,VLOOKUP(운용리스_단일!$AS$7,차량정보!D:O,4,0),IF(AS28=24,VLOOKUP(운용리스_단일!$AS$7,차량정보!D:O,5,0),IF(AS28=36,VLOOKUP(운용리스_단일!$AS$7,차량정보!D:O,6,0),IF(AS28=48,VLOOKUP(운용리스_단일!$AS$7,차량정보!D:O,7,0),IF(AS28=60,VLOOKUP(운용리스_단일!$AS$7,차량정보!D:O,8,0),0)))))</f>
        <v>0.4</v>
      </c>
      <c r="E65" s="1347"/>
      <c r="F65" s="1347"/>
      <c r="G65" s="1347"/>
      <c r="H65" s="1347"/>
      <c r="I65" s="1347"/>
      <c r="J65" s="1347"/>
      <c r="K65" s="1347"/>
      <c r="L65" s="1347">
        <f>+계산_운용리스_단일!I103+계산_운용리스_단일!I90+계산_운용리스_단일!I91+계산_운용리스_단일!I94+계산_운용리스_단일!I95+계산_운용리스_단일!I100</f>
        <v>7.0000000000000007E-2</v>
      </c>
      <c r="M65" s="1347"/>
      <c r="N65" s="1347"/>
      <c r="O65" s="1347"/>
      <c r="P65" s="1347"/>
      <c r="Q65" s="1347">
        <f>+D65+L65</f>
        <v>0.47000000000000003</v>
      </c>
      <c r="R65" s="1347"/>
      <c r="S65" s="1347"/>
      <c r="T65" s="1347"/>
      <c r="U65" s="1347"/>
      <c r="V65" s="1349">
        <f>IF(X57=10000,4%,IF(X57=15000,3%,IF(X57=20000,2%,0%)))+IF(AND(AS5="국산",BO66="2만상승없음",X57=20000),-2%,IF(AND(AS5="국산",BO66="2만상승없음",X57=15000),-2%,IF(AND(AS5="국산",BO66="2만상승없음",X57=10000),-2%,0%)))</f>
        <v>0.02</v>
      </c>
      <c r="W65" s="1349"/>
      <c r="X65" s="1349"/>
      <c r="Y65" s="1349"/>
      <c r="Z65" s="1349"/>
      <c r="AA65" s="1349"/>
      <c r="AB65" s="1350"/>
      <c r="AC65" s="1655" t="e">
        <f>IF((D65+L65+X60+V65)&lt;계산_운용리스_단일!D16,D65+L65+X60+V65,AA23)</f>
        <v>#DIV/0!</v>
      </c>
      <c r="AD65" s="1655"/>
      <c r="AE65" s="1655"/>
      <c r="AF65" s="1655"/>
      <c r="AG65" s="1655"/>
      <c r="AH65" s="1655"/>
      <c r="AI65" s="1656"/>
      <c r="AJ65" s="1096"/>
      <c r="AK65" s="1096"/>
      <c r="AL65" s="1096"/>
      <c r="AM65" s="1096"/>
      <c r="AN65" s="1096"/>
      <c r="AO65" s="1096"/>
      <c r="AP65" s="1096"/>
      <c r="AQ65" s="1333"/>
      <c r="AR65" s="1333"/>
      <c r="AS65" s="1333"/>
      <c r="AT65" s="1333"/>
      <c r="AU65" s="1333" t="s">
        <v>3233</v>
      </c>
      <c r="AV65" s="1333"/>
      <c r="AW65" s="1333"/>
      <c r="AX65" s="1333"/>
      <c r="AY65" s="1333"/>
      <c r="AZ65" s="1333"/>
      <c r="BA65" s="1333"/>
      <c r="BB65" s="1333"/>
      <c r="BC65" s="1333" t="s">
        <v>3234</v>
      </c>
      <c r="BD65" s="1333"/>
      <c r="BE65" s="1333"/>
      <c r="BF65" s="1333"/>
      <c r="BG65" s="1333"/>
      <c r="BH65" s="1333"/>
      <c r="BI65" s="1333"/>
      <c r="BJ65" s="1333"/>
    </row>
    <row r="66" spans="3:67" ht="17.25" hidden="1" customHeight="1" outlineLevel="1" thickBot="1">
      <c r="C66" s="1028"/>
      <c r="D66" s="1731"/>
      <c r="E66" s="1348"/>
      <c r="F66" s="1348"/>
      <c r="G66" s="1348"/>
      <c r="H66" s="1348"/>
      <c r="I66" s="1348"/>
      <c r="J66" s="1348"/>
      <c r="K66" s="1348"/>
      <c r="L66" s="1348"/>
      <c r="M66" s="1348"/>
      <c r="N66" s="1348"/>
      <c r="O66" s="1348"/>
      <c r="P66" s="1348"/>
      <c r="Q66" s="1348"/>
      <c r="R66" s="1348"/>
      <c r="S66" s="1348"/>
      <c r="T66" s="1348"/>
      <c r="U66" s="1348"/>
      <c r="V66" s="1351"/>
      <c r="W66" s="1351"/>
      <c r="X66" s="1351"/>
      <c r="Y66" s="1351"/>
      <c r="Z66" s="1351"/>
      <c r="AA66" s="1351"/>
      <c r="AB66" s="1352"/>
      <c r="AC66" s="1657"/>
      <c r="AD66" s="1657"/>
      <c r="AE66" s="1657"/>
      <c r="AF66" s="1657"/>
      <c r="AG66" s="1657"/>
      <c r="AH66" s="1657"/>
      <c r="AI66" s="1658"/>
      <c r="AJ66" s="1701"/>
      <c r="AK66" s="1701"/>
      <c r="AL66" s="1701"/>
      <c r="AM66" s="1701"/>
      <c r="AN66" s="1701"/>
      <c r="AO66" s="1701"/>
      <c r="AP66" s="1028"/>
      <c r="AQ66" s="1028"/>
      <c r="AR66" s="1028"/>
      <c r="AS66" s="1028"/>
      <c r="AT66" s="1028"/>
      <c r="AU66" s="1028"/>
      <c r="AV66" s="1028"/>
      <c r="AW66" s="1028"/>
      <c r="AX66" s="1028"/>
      <c r="AY66" s="1028"/>
      <c r="AZ66" s="1028"/>
      <c r="BA66" s="1028"/>
      <c r="BB66" s="1028"/>
      <c r="BC66" s="1028"/>
      <c r="BD66" s="1028"/>
      <c r="BE66" s="1028"/>
      <c r="BF66" s="1028"/>
      <c r="BG66" s="1028"/>
      <c r="BH66" s="1028"/>
      <c r="BI66" s="1028"/>
      <c r="BJ66" s="1028"/>
      <c r="BK66" s="1028"/>
      <c r="BL66" s="1028"/>
      <c r="BM66" s="1028"/>
      <c r="BN66" s="1029" t="str">
        <f>VLOOKUP(AS7,차량정보!$D$709:$AZ$11084,21,0)</f>
        <v>50만원</v>
      </c>
      <c r="BO66" s="1118">
        <f>+IF(AS5="국산",VLOOKUP(AS7,차량정보!$D$853:$AJ$1036,31,0),0)</f>
        <v>0</v>
      </c>
    </row>
    <row r="67" spans="3:67" collapsed="1">
      <c r="D67" s="1023"/>
      <c r="E67" s="1023"/>
      <c r="F67" s="1023"/>
      <c r="G67" s="1023"/>
      <c r="H67" s="1023"/>
      <c r="I67" s="1023"/>
      <c r="J67" s="1023"/>
      <c r="K67" s="1023"/>
      <c r="V67" s="1119"/>
      <c r="W67" s="1119"/>
      <c r="X67" s="1119"/>
    </row>
    <row r="99" spans="67:67" ht="17.25" thickBot="1"/>
    <row r="100" spans="67:67" ht="17.25" thickBot="1">
      <c r="BO100" s="1060">
        <v>19900925</v>
      </c>
    </row>
  </sheetData>
  <dataConsolidate/>
  <mergeCells count="383">
    <mergeCell ref="AJ66:AO66"/>
    <mergeCell ref="BO12:CC12"/>
    <mergeCell ref="BO13:CC13"/>
    <mergeCell ref="BP40:CU43"/>
    <mergeCell ref="D64:K64"/>
    <mergeCell ref="L64:P64"/>
    <mergeCell ref="Q64:U64"/>
    <mergeCell ref="AN49:AR49"/>
    <mergeCell ref="AS49:AZ49"/>
    <mergeCell ref="BA49:BE49"/>
    <mergeCell ref="BF49:BM49"/>
    <mergeCell ref="AN50:AR50"/>
    <mergeCell ref="AS50:AZ50"/>
    <mergeCell ref="BA50:BE50"/>
    <mergeCell ref="BF50:BM50"/>
    <mergeCell ref="AN41:AR41"/>
    <mergeCell ref="AS41:BM41"/>
    <mergeCell ref="AS44:BM44"/>
    <mergeCell ref="AS45:BM45"/>
    <mergeCell ref="AS39:BC39"/>
    <mergeCell ref="BD39:BM39"/>
    <mergeCell ref="D37:Q37"/>
    <mergeCell ref="CP11:DL15"/>
    <mergeCell ref="D65:K66"/>
    <mergeCell ref="AC65:AI66"/>
    <mergeCell ref="V64:Y64"/>
    <mergeCell ref="Z64:AB64"/>
    <mergeCell ref="D24:J25"/>
    <mergeCell ref="AA23:AC24"/>
    <mergeCell ref="AD23:AI24"/>
    <mergeCell ref="D34:I34"/>
    <mergeCell ref="J34:N34"/>
    <mergeCell ref="O34:S34"/>
    <mergeCell ref="T34:Y34"/>
    <mergeCell ref="D33:I33"/>
    <mergeCell ref="D30:R30"/>
    <mergeCell ref="D28:J29"/>
    <mergeCell ref="K28:R29"/>
    <mergeCell ref="T30:Z30"/>
    <mergeCell ref="T29:Z29"/>
    <mergeCell ref="AA30:AC30"/>
    <mergeCell ref="AD29:AI29"/>
    <mergeCell ref="V37:AI37"/>
    <mergeCell ref="AA34:AI34"/>
    <mergeCell ref="AD30:AI30"/>
    <mergeCell ref="O33:S33"/>
    <mergeCell ref="T33:Y33"/>
    <mergeCell ref="AA29:AC29"/>
    <mergeCell ref="D21:J21"/>
    <mergeCell ref="DE21:DJ21"/>
    <mergeCell ref="DK21:DN21"/>
    <mergeCell ref="AS17:BM17"/>
    <mergeCell ref="AS18:BC18"/>
    <mergeCell ref="K13:AI13"/>
    <mergeCell ref="CV21:DD21"/>
    <mergeCell ref="K15:AI15"/>
    <mergeCell ref="BD18:BM18"/>
    <mergeCell ref="BD20:BH20"/>
    <mergeCell ref="BI20:BM20"/>
    <mergeCell ref="T18:Z18"/>
    <mergeCell ref="K21:P21"/>
    <mergeCell ref="AD21:AI22"/>
    <mergeCell ref="Q18:R18"/>
    <mergeCell ref="K18:P18"/>
    <mergeCell ref="K17:P17"/>
    <mergeCell ref="CA21:CD27"/>
    <mergeCell ref="AN25:AR25"/>
    <mergeCell ref="AS25:BC25"/>
    <mergeCell ref="AN14:AR14"/>
    <mergeCell ref="AS14:BM14"/>
    <mergeCell ref="K20:P20"/>
    <mergeCell ref="BD25:BM25"/>
    <mergeCell ref="BP5:CG5"/>
    <mergeCell ref="AS12:AX12"/>
    <mergeCell ref="BD23:BM23"/>
    <mergeCell ref="BD21:BM21"/>
    <mergeCell ref="CE21:CM21"/>
    <mergeCell ref="CN21:CU21"/>
    <mergeCell ref="AS22:BM22"/>
    <mergeCell ref="CP7:DK9"/>
    <mergeCell ref="AS15:BM15"/>
    <mergeCell ref="BP15:CN16"/>
    <mergeCell ref="AS23:BC23"/>
    <mergeCell ref="BO11:CC11"/>
    <mergeCell ref="AV20:AZ20"/>
    <mergeCell ref="BA20:BC20"/>
    <mergeCell ref="AS13:AX13"/>
    <mergeCell ref="AS7:BM7"/>
    <mergeCell ref="BA12:BE12"/>
    <mergeCell ref="BF12:BM12"/>
    <mergeCell ref="AS9:BM9"/>
    <mergeCell ref="AS11:BM11"/>
    <mergeCell ref="AS8:BM8"/>
    <mergeCell ref="D12:J12"/>
    <mergeCell ref="Y6:AF6"/>
    <mergeCell ref="AG6:AH6"/>
    <mergeCell ref="D11:J11"/>
    <mergeCell ref="D9:J9"/>
    <mergeCell ref="D10:J10"/>
    <mergeCell ref="K9:AI9"/>
    <mergeCell ref="AN6:AR6"/>
    <mergeCell ref="K12:AI12"/>
    <mergeCell ref="AN11:AR11"/>
    <mergeCell ref="AN9:AR9"/>
    <mergeCell ref="K10:AC10"/>
    <mergeCell ref="AD10:AI10"/>
    <mergeCell ref="K11:AI11"/>
    <mergeCell ref="AN12:AR12"/>
    <mergeCell ref="Y7:AA7"/>
    <mergeCell ref="AB7:AG7"/>
    <mergeCell ref="AN7:AR7"/>
    <mergeCell ref="AN8:AR8"/>
    <mergeCell ref="D3:AH5"/>
    <mergeCell ref="AN4:AR4"/>
    <mergeCell ref="AS4:BM4"/>
    <mergeCell ref="AN5:AR5"/>
    <mergeCell ref="AS5:BM5"/>
    <mergeCell ref="D19:J19"/>
    <mergeCell ref="AN19:AR19"/>
    <mergeCell ref="AS19:BM19"/>
    <mergeCell ref="K19:P19"/>
    <mergeCell ref="AA19:AC20"/>
    <mergeCell ref="AD19:AI20"/>
    <mergeCell ref="Q19:R19"/>
    <mergeCell ref="T19:Z20"/>
    <mergeCell ref="Q20:R20"/>
    <mergeCell ref="D17:J17"/>
    <mergeCell ref="K14:AI14"/>
    <mergeCell ref="D15:J15"/>
    <mergeCell ref="D18:J18"/>
    <mergeCell ref="D14:J14"/>
    <mergeCell ref="AA17:AI17"/>
    <mergeCell ref="AA18:AI18"/>
    <mergeCell ref="T17:Z17"/>
    <mergeCell ref="BA13:BE13"/>
    <mergeCell ref="AS20:AU20"/>
    <mergeCell ref="D13:J13"/>
    <mergeCell ref="AS29:BM29"/>
    <mergeCell ref="AS30:BC30"/>
    <mergeCell ref="BD30:BM30"/>
    <mergeCell ref="D22:J22"/>
    <mergeCell ref="AA26:AI26"/>
    <mergeCell ref="Q23:R23"/>
    <mergeCell ref="K22:P22"/>
    <mergeCell ref="Q22:R22"/>
    <mergeCell ref="T26:Z26"/>
    <mergeCell ref="T27:Z28"/>
    <mergeCell ref="AA25:AI25"/>
    <mergeCell ref="D20:J20"/>
    <mergeCell ref="T25:Z25"/>
    <mergeCell ref="AN24:AR24"/>
    <mergeCell ref="AN21:AR22"/>
    <mergeCell ref="AS21:BC21"/>
    <mergeCell ref="AN15:AR15"/>
    <mergeCell ref="AS24:BC24"/>
    <mergeCell ref="BD24:BM24"/>
    <mergeCell ref="AN23:AR23"/>
    <mergeCell ref="T23:Z24"/>
    <mergeCell ref="D23:J23"/>
    <mergeCell ref="K23:P23"/>
    <mergeCell ref="K24:P25"/>
    <mergeCell ref="T21:Z22"/>
    <mergeCell ref="Q24:R25"/>
    <mergeCell ref="Q21:R21"/>
    <mergeCell ref="AA21:AC22"/>
    <mergeCell ref="AA27:AI28"/>
    <mergeCell ref="DZ32:EA32"/>
    <mergeCell ref="DZ31:EA31"/>
    <mergeCell ref="AN1:BM2"/>
    <mergeCell ref="AN26:AR26"/>
    <mergeCell ref="AS26:BM26"/>
    <mergeCell ref="AN17:AR18"/>
    <mergeCell ref="AN13:AR13"/>
    <mergeCell ref="BF13:BM13"/>
    <mergeCell ref="BO3:BO4"/>
    <mergeCell ref="CH5:CN5"/>
    <mergeCell ref="AS6:BM6"/>
    <mergeCell ref="BO7:CL7"/>
    <mergeCell ref="BO8:CL8"/>
    <mergeCell ref="DZ23:EA23"/>
    <mergeCell ref="CF26:CM26"/>
    <mergeCell ref="CN26:CU26"/>
    <mergeCell ref="CV26:DD26"/>
    <mergeCell ref="DX24:DX25"/>
    <mergeCell ref="AS34:BC34"/>
    <mergeCell ref="BD34:BM34"/>
    <mergeCell ref="AS31:BC31"/>
    <mergeCell ref="BD31:BM31"/>
    <mergeCell ref="AN28:AR28"/>
    <mergeCell ref="AS28:BM28"/>
    <mergeCell ref="BD33:BM33"/>
    <mergeCell ref="AN32:AR34"/>
    <mergeCell ref="AN29:AR31"/>
    <mergeCell ref="AS32:BM32"/>
    <mergeCell ref="AS33:BC33"/>
    <mergeCell ref="AC38:AI38"/>
    <mergeCell ref="K38:Q38"/>
    <mergeCell ref="CA28:CD29"/>
    <mergeCell ref="DZ22:EA22"/>
    <mergeCell ref="CF23:CM23"/>
    <mergeCell ref="CN23:CU23"/>
    <mergeCell ref="CV23:DD23"/>
    <mergeCell ref="DE23:DN23"/>
    <mergeCell ref="CF27:CM27"/>
    <mergeCell ref="DE27:DN27"/>
    <mergeCell ref="DZ25:EA25"/>
    <mergeCell ref="CE22:CM22"/>
    <mergeCell ref="CN22:CU22"/>
    <mergeCell ref="CV22:DD22"/>
    <mergeCell ref="DE22:DN22"/>
    <mergeCell ref="DW22:DY22"/>
    <mergeCell ref="DW23:DW34"/>
    <mergeCell ref="DX29:DY29"/>
    <mergeCell ref="DX28:DY28"/>
    <mergeCell ref="DZ29:EA29"/>
    <mergeCell ref="DX30:DY30"/>
    <mergeCell ref="DZ30:EA30"/>
    <mergeCell ref="DX31:DY31"/>
    <mergeCell ref="DX32:DY32"/>
    <mergeCell ref="AN48:AR48"/>
    <mergeCell ref="AN47:AR47"/>
    <mergeCell ref="DZ33:EA33"/>
    <mergeCell ref="D54:K54"/>
    <mergeCell ref="L54:O54"/>
    <mergeCell ref="P54:S54"/>
    <mergeCell ref="T54:W54"/>
    <mergeCell ref="X54:AB54"/>
    <mergeCell ref="AC54:AE54"/>
    <mergeCell ref="AF54:AO54"/>
    <mergeCell ref="AQ54:BJ54"/>
    <mergeCell ref="AN40:AR40"/>
    <mergeCell ref="BD43:BM43"/>
    <mergeCell ref="AN43:AR43"/>
    <mergeCell ref="AS43:BC43"/>
    <mergeCell ref="DZ34:EA34"/>
    <mergeCell ref="DZ35:EA35"/>
    <mergeCell ref="AS36:BC36"/>
    <mergeCell ref="BD36:BM36"/>
    <mergeCell ref="AS38:BM38"/>
    <mergeCell ref="J33:N33"/>
    <mergeCell ref="D38:J38"/>
    <mergeCell ref="AA33:AI33"/>
    <mergeCell ref="V38:AB38"/>
    <mergeCell ref="AS37:BC37"/>
    <mergeCell ref="BD37:BM37"/>
    <mergeCell ref="AN35:AR38"/>
    <mergeCell ref="AS35:BM35"/>
    <mergeCell ref="X55:AB55"/>
    <mergeCell ref="AC55:AE55"/>
    <mergeCell ref="AF55:AO55"/>
    <mergeCell ref="AQ55:AT55"/>
    <mergeCell ref="AU55:AX55"/>
    <mergeCell ref="AS48:AZ48"/>
    <mergeCell ref="BA48:BE48"/>
    <mergeCell ref="AY55:BB55"/>
    <mergeCell ref="BC55:BF55"/>
    <mergeCell ref="BG55:BJ55"/>
    <mergeCell ref="AS40:BM40"/>
    <mergeCell ref="AN39:AR39"/>
    <mergeCell ref="BF48:BM48"/>
    <mergeCell ref="E41:AG41"/>
    <mergeCell ref="AN45:AR45"/>
    <mergeCell ref="E42:AG42"/>
    <mergeCell ref="AN44:AR44"/>
    <mergeCell ref="AS47:AZ47"/>
    <mergeCell ref="BA47:BE47"/>
    <mergeCell ref="BF47:BM47"/>
    <mergeCell ref="DZ24:EA24"/>
    <mergeCell ref="DE24:DN26"/>
    <mergeCell ref="CV28:DN28"/>
    <mergeCell ref="CF24:CM24"/>
    <mergeCell ref="CF25:CM25"/>
    <mergeCell ref="CN24:CU24"/>
    <mergeCell ref="CN25:CU25"/>
    <mergeCell ref="CV24:DD24"/>
    <mergeCell ref="CV25:DD25"/>
    <mergeCell ref="CN27:CU27"/>
    <mergeCell ref="CV27:DD27"/>
    <mergeCell ref="CE28:CU29"/>
    <mergeCell ref="DX26:DY26"/>
    <mergeCell ref="DZ26:EA26"/>
    <mergeCell ref="CV29:DN29"/>
    <mergeCell ref="DX27:DY27"/>
    <mergeCell ref="DZ27:EA27"/>
    <mergeCell ref="DZ28:EA28"/>
    <mergeCell ref="AY56:BB56"/>
    <mergeCell ref="BC56:BF56"/>
    <mergeCell ref="BG56:BJ56"/>
    <mergeCell ref="D57:K57"/>
    <mergeCell ref="L57:O57"/>
    <mergeCell ref="P57:S57"/>
    <mergeCell ref="T57:W57"/>
    <mergeCell ref="X57:AB57"/>
    <mergeCell ref="D56:K56"/>
    <mergeCell ref="L56:O56"/>
    <mergeCell ref="P56:S56"/>
    <mergeCell ref="T56:W56"/>
    <mergeCell ref="X56:AB56"/>
    <mergeCell ref="AC56:AE56"/>
    <mergeCell ref="AF56:AO56"/>
    <mergeCell ref="AQ56:AT56"/>
    <mergeCell ref="AU56:AX56"/>
    <mergeCell ref="AC57:AF57"/>
    <mergeCell ref="AG57:AO57"/>
    <mergeCell ref="D55:K55"/>
    <mergeCell ref="L55:O55"/>
    <mergeCell ref="P55:S55"/>
    <mergeCell ref="T55:W55"/>
    <mergeCell ref="D58:K58"/>
    <mergeCell ref="L58:O58"/>
    <mergeCell ref="P58:S58"/>
    <mergeCell ref="T58:W58"/>
    <mergeCell ref="X58:AB58"/>
    <mergeCell ref="AC58:AE58"/>
    <mergeCell ref="AF58:AO58"/>
    <mergeCell ref="AQ58:AT58"/>
    <mergeCell ref="AU58:AX58"/>
    <mergeCell ref="AY58:BB58"/>
    <mergeCell ref="BC58:BF58"/>
    <mergeCell ref="BG58:BJ58"/>
    <mergeCell ref="D59:K59"/>
    <mergeCell ref="L59:O59"/>
    <mergeCell ref="P59:S59"/>
    <mergeCell ref="T59:W59"/>
    <mergeCell ref="X59:AB59"/>
    <mergeCell ref="AC59:AO63"/>
    <mergeCell ref="AQ59:AT59"/>
    <mergeCell ref="AU59:AX59"/>
    <mergeCell ref="AY59:BB59"/>
    <mergeCell ref="BC59:BF59"/>
    <mergeCell ref="BG59:BJ59"/>
    <mergeCell ref="D60:K60"/>
    <mergeCell ref="L60:O60"/>
    <mergeCell ref="P60:S60"/>
    <mergeCell ref="T60:W60"/>
    <mergeCell ref="X60:AB60"/>
    <mergeCell ref="AQ60:AT60"/>
    <mergeCell ref="BG62:BJ62"/>
    <mergeCell ref="D61:K61"/>
    <mergeCell ref="L61:O61"/>
    <mergeCell ref="P61:S61"/>
    <mergeCell ref="T61:W61"/>
    <mergeCell ref="X61:AB61"/>
    <mergeCell ref="BC61:BF61"/>
    <mergeCell ref="AQ61:BB61"/>
    <mergeCell ref="AU60:AX60"/>
    <mergeCell ref="AY60:BB60"/>
    <mergeCell ref="BC60:BF60"/>
    <mergeCell ref="P62:S62"/>
    <mergeCell ref="T62:W62"/>
    <mergeCell ref="X62:AB62"/>
    <mergeCell ref="AQ62:AT62"/>
    <mergeCell ref="AU62:AX62"/>
    <mergeCell ref="AY62:BB62"/>
    <mergeCell ref="BC62:BF62"/>
    <mergeCell ref="BG60:BJ60"/>
    <mergeCell ref="BG61:BJ61"/>
    <mergeCell ref="D62:K62"/>
    <mergeCell ref="L62:O62"/>
    <mergeCell ref="D63:K63"/>
    <mergeCell ref="L63:O63"/>
    <mergeCell ref="P63:S63"/>
    <mergeCell ref="AQ65:AT65"/>
    <mergeCell ref="AU65:AX65"/>
    <mergeCell ref="AY65:BB65"/>
    <mergeCell ref="BC65:BF65"/>
    <mergeCell ref="BG65:BJ65"/>
    <mergeCell ref="T63:W63"/>
    <mergeCell ref="X63:AB63"/>
    <mergeCell ref="AQ63:AT63"/>
    <mergeCell ref="AU63:AX63"/>
    <mergeCell ref="AY63:BB63"/>
    <mergeCell ref="BC63:BF63"/>
    <mergeCell ref="BG63:BJ63"/>
    <mergeCell ref="AQ64:AT64"/>
    <mergeCell ref="AU64:AX64"/>
    <mergeCell ref="AY64:BB64"/>
    <mergeCell ref="BC64:BF64"/>
    <mergeCell ref="BG64:BJ64"/>
    <mergeCell ref="L65:P66"/>
    <mergeCell ref="Q65:U66"/>
    <mergeCell ref="V65:AB66"/>
    <mergeCell ref="AC64:AI64"/>
  </mergeCells>
  <phoneticPr fontId="2" type="noConversion"/>
  <conditionalFormatting sqref="BD18:BM18">
    <cfRule type="expression" dxfId="167" priority="88">
      <formula>$BR$18=FALSE</formula>
    </cfRule>
  </conditionalFormatting>
  <conditionalFormatting sqref="AI16:AJ16">
    <cfRule type="expression" dxfId="166" priority="85">
      <formula>$BR$30=FALSE</formula>
    </cfRule>
  </conditionalFormatting>
  <conditionalFormatting sqref="T27:AI28">
    <cfRule type="expression" dxfId="165" priority="82">
      <formula>$BR$24=FALSE</formula>
    </cfRule>
  </conditionalFormatting>
  <conditionalFormatting sqref="AN8:BM8">
    <cfRule type="expression" dxfId="164" priority="79">
      <formula>$AS$5="수입"</formula>
    </cfRule>
  </conditionalFormatting>
  <conditionalFormatting sqref="BP20:BP22 BS20:CQ20 BP23:BZ28 CA28:DN30 BS22:BZ22 BS21:CA21 CE27:DN27 CE24:CF25 DE24 CE26:CM26 DO24:DO28 CE22:DO23 CE21:CV21 DE21 DO21 DK21 CV20:DO20">
    <cfRule type="expression" dxfId="163" priority="77">
      <formula>$AS$5="수입"</formula>
    </cfRule>
  </conditionalFormatting>
  <conditionalFormatting sqref="D15:AI15">
    <cfRule type="expression" dxfId="162" priority="74">
      <formula>$AS$5="수입"</formula>
    </cfRule>
  </conditionalFormatting>
  <conditionalFormatting sqref="BN7:BN8">
    <cfRule type="expression" dxfId="161" priority="72">
      <formula>$AS$5="수입"</formula>
    </cfRule>
  </conditionalFormatting>
  <conditionalFormatting sqref="BO20:CQ20">
    <cfRule type="expression" dxfId="160" priority="70">
      <formula>IF($AS$6="현대특판",LEFT($AS$7,3)="캐스퍼")</formula>
    </cfRule>
  </conditionalFormatting>
  <conditionalFormatting sqref="CB20">
    <cfRule type="expression" dxfId="159" priority="69" stopIfTrue="1">
      <formula>IF($AS$6="현대특판",LEFT($AS$7,3)="캐스퍼")</formula>
    </cfRule>
  </conditionalFormatting>
  <conditionalFormatting sqref="CV24:DD26">
    <cfRule type="expression" dxfId="158" priority="67">
      <formula>$AS$5="수입"</formula>
    </cfRule>
  </conditionalFormatting>
  <conditionalFormatting sqref="AA27:AI28">
    <cfRule type="expression" dxfId="157" priority="52">
      <formula>EK18&gt;=0</formula>
    </cfRule>
    <cfRule type="expression" dxfId="156" priority="61">
      <formula>IF(AND(RIGHT(AS7,4)="(EV)",AS28=60),"전기차60개월불가")</formula>
    </cfRule>
  </conditionalFormatting>
  <conditionalFormatting sqref="BO20:CQ20">
    <cfRule type="expression" dxfId="155" priority="60">
      <formula>$DT$19="Y"</formula>
    </cfRule>
  </conditionalFormatting>
  <conditionalFormatting sqref="CN24:CU26">
    <cfRule type="expression" dxfId="154" priority="51">
      <formula>$AS$5="수입"</formula>
    </cfRule>
  </conditionalFormatting>
  <conditionalFormatting sqref="C53:BN56 AP64:BN66 C63:K63 AC63:BN63 C62:BN62 C60:S60 X60:BN60 C61:AQ61 BC61:BN61 C58:BN59 C57:AC57 AG57 AP57:BN57">
    <cfRule type="expression" dxfId="153" priority="47">
      <formula>$BO$100&gt;19900924</formula>
    </cfRule>
  </conditionalFormatting>
  <conditionalFormatting sqref="AS33 BD33">
    <cfRule type="expression" dxfId="152" priority="38">
      <formula>$AS$32="직접입력"</formula>
    </cfRule>
  </conditionalFormatting>
  <conditionalFormatting sqref="AS34">
    <cfRule type="expression" dxfId="151" priority="36">
      <formula>$AS$32="취득원가기준"</formula>
    </cfRule>
    <cfRule type="expression" dxfId="150" priority="37">
      <formula>$AS$32="직접입력"</formula>
    </cfRule>
  </conditionalFormatting>
  <conditionalFormatting sqref="AS34:BM34">
    <cfRule type="expression" dxfId="149" priority="35">
      <formula>$AS$32="차량가기준"</formula>
    </cfRule>
  </conditionalFormatting>
  <conditionalFormatting sqref="AS37">
    <cfRule type="expression" dxfId="148" priority="33">
      <formula>$AS$35="취득원가기준"</formula>
    </cfRule>
    <cfRule type="expression" dxfId="147" priority="34">
      <formula>$AS$35="직접입력"</formula>
    </cfRule>
  </conditionalFormatting>
  <conditionalFormatting sqref="AS36 BD36">
    <cfRule type="expression" dxfId="146" priority="31">
      <formula>$AS$35="직접입력"</formula>
    </cfRule>
  </conditionalFormatting>
  <conditionalFormatting sqref="AS37:BM37">
    <cfRule type="expression" dxfId="145" priority="32">
      <formula>$AS$35="차량가기준"</formula>
    </cfRule>
  </conditionalFormatting>
  <conditionalFormatting sqref="AS30 BD30">
    <cfRule type="expression" dxfId="144" priority="29">
      <formula>$AS$29="직접입력"</formula>
    </cfRule>
  </conditionalFormatting>
  <conditionalFormatting sqref="AS31">
    <cfRule type="expression" dxfId="143" priority="28">
      <formula>$AS$29="취득원가기준"</formula>
    </cfRule>
    <cfRule type="expression" dxfId="142" priority="30">
      <formula>$AS$29="직접입력"</formula>
    </cfRule>
  </conditionalFormatting>
  <conditionalFormatting sqref="AS31 BD31:BM31">
    <cfRule type="expression" dxfId="141" priority="27">
      <formula>$AS$29="차량가기준"</formula>
    </cfRule>
  </conditionalFormatting>
  <conditionalFormatting sqref="C64">
    <cfRule type="expression" dxfId="140" priority="26">
      <formula>$BO$100&gt;19900924</formula>
    </cfRule>
  </conditionalFormatting>
  <conditionalFormatting sqref="L68:AO68 D67 Y67:AO67 L67:V67">
    <cfRule type="expression" dxfId="139" priority="25">
      <formula>$BO$100&gt;19900924</formula>
    </cfRule>
  </conditionalFormatting>
  <conditionalFormatting sqref="L63:X63 AJ64:AP65">
    <cfRule type="expression" dxfId="138" priority="24">
      <formula>$BO$100&gt;19900924</formula>
    </cfRule>
  </conditionalFormatting>
  <conditionalFormatting sqref="AJ65:AJ66">
    <cfRule type="expression" dxfId="137" priority="23">
      <formula>$BO$100&gt;19900924</formula>
    </cfRule>
  </conditionalFormatting>
  <conditionalFormatting sqref="C66">
    <cfRule type="expression" dxfId="136" priority="22">
      <formula>$BO$100&gt;19900924</formula>
    </cfRule>
  </conditionalFormatting>
  <conditionalFormatting sqref="L64">
    <cfRule type="expression" dxfId="135" priority="20">
      <formula>$BO$100&gt;19900924</formula>
    </cfRule>
  </conditionalFormatting>
  <conditionalFormatting sqref="D64:D65">
    <cfRule type="expression" dxfId="134" priority="19">
      <formula>$BO$100&gt;19900924</formula>
    </cfRule>
  </conditionalFormatting>
  <conditionalFormatting sqref="T60">
    <cfRule type="expression" dxfId="133" priority="18">
      <formula>$BO$100&gt;19900924</formula>
    </cfRule>
  </conditionalFormatting>
  <conditionalFormatting sqref="AC64">
    <cfRule type="expression" dxfId="132" priority="17">
      <formula>$BO$100&gt;19900924</formula>
    </cfRule>
  </conditionalFormatting>
  <conditionalFormatting sqref="V64">
    <cfRule type="expression" dxfId="131" priority="16">
      <formula>$BO$100&gt;19900924</formula>
    </cfRule>
  </conditionalFormatting>
  <conditionalFormatting sqref="C53:BN56 C62:BN66 C61:AQ61 BC61:BN61 C58:BN60 C57:AC57 AG57 AP57:BN57">
    <cfRule type="expression" dxfId="130" priority="15">
      <formula>$BO$100&gt;19900924</formula>
    </cfRule>
  </conditionalFormatting>
  <conditionalFormatting sqref="BN12:BN13">
    <cfRule type="expression" dxfId="129" priority="12">
      <formula>$AS$6&lt;&gt;"KG모빌리티_특판"</formula>
    </cfRule>
  </conditionalFormatting>
  <conditionalFormatting sqref="BO11:CC13">
    <cfRule type="expression" dxfId="128" priority="11">
      <formula>$AS$6&lt;&gt;"KG모빌리티_특판"</formula>
    </cfRule>
  </conditionalFormatting>
  <conditionalFormatting sqref="W67:X67">
    <cfRule type="expression" dxfId="127" priority="10">
      <formula>$BO$100&gt;19900924</formula>
    </cfRule>
  </conditionalFormatting>
  <conditionalFormatting sqref="E67:K67">
    <cfRule type="expression" dxfId="126" priority="9">
      <formula>$BO$100&gt;19900924</formula>
    </cfRule>
  </conditionalFormatting>
  <conditionalFormatting sqref="CR20:CS20">
    <cfRule type="expression" dxfId="125" priority="8">
      <formula>IF($AS$6="현대특판",LEFT($AS$7,3)="캐스퍼")</formula>
    </cfRule>
  </conditionalFormatting>
  <conditionalFormatting sqref="CR20:CS20">
    <cfRule type="expression" dxfId="124" priority="7">
      <formula>$DT$19="Y"</formula>
    </cfRule>
  </conditionalFormatting>
  <conditionalFormatting sqref="CT20:CU20">
    <cfRule type="expression" dxfId="123" priority="6">
      <formula>IF($AS$6="현대특판",LEFT($AS$7,3)="캐스퍼")</formula>
    </cfRule>
  </conditionalFormatting>
  <conditionalFormatting sqref="CT20:CU20">
    <cfRule type="expression" dxfId="122" priority="5">
      <formula>$DT$19="Y"</formula>
    </cfRule>
  </conditionalFormatting>
  <conditionalFormatting sqref="CF24:CM24">
    <cfRule type="expression" dxfId="121" priority="4">
      <formula>$AS$5="수입"</formula>
    </cfRule>
  </conditionalFormatting>
  <conditionalFormatting sqref="CA21:CD27">
    <cfRule type="expression" dxfId="120" priority="3">
      <formula>$AS$5="수입"</formula>
    </cfRule>
  </conditionalFormatting>
  <conditionalFormatting sqref="BO7:CL7">
    <cfRule type="expression" dxfId="119" priority="2">
      <formula>$AS$5="수입"</formula>
    </cfRule>
  </conditionalFormatting>
  <conditionalFormatting sqref="BO8:CL8">
    <cfRule type="expression" dxfId="118" priority="1">
      <formula>$AS$5="수입"</formula>
    </cfRule>
  </conditionalFormatting>
  <dataValidations xWindow="1608" yWindow="725" count="17">
    <dataValidation type="custom" allowBlank="1" showInputMessage="1" showErrorMessage="1" errorTitle="수수료를 확인하세요." error="수수료 상한선 초과" sqref="AS43" xr:uid="{00000000-0002-0000-0300-000000000000}">
      <formula1>AS43&lt;=AS44</formula1>
    </dataValidation>
    <dataValidation type="decimal" allowBlank="1" showInputMessage="1" showErrorMessage="1" sqref="BD21" xr:uid="{00000000-0002-0000-0300-000001000000}">
      <formula1>0</formula1>
      <formula2>0.9</formula2>
    </dataValidation>
    <dataValidation type="list" allowBlank="1" showInputMessage="1" showErrorMessage="1" sqref="AS7:BM7" xr:uid="{00000000-0002-0000-0300-000002000000}">
      <formula1>INDIRECT($AS$6)</formula1>
    </dataValidation>
    <dataValidation type="list" allowBlank="1" showInputMessage="1" showErrorMessage="1" sqref="AS35:BM35 AS32:BM32 AS29" xr:uid="{00000000-0002-0000-0300-000003000000}">
      <formula1>"차량가기준, 직접입력"</formula1>
    </dataValidation>
    <dataValidation type="custom" allowBlank="1" showInputMessage="1" showErrorMessage="1" errorTitle="금액오류" error="보증금+선수금+잔가 합산금액이 차량가를 초과할 수 없습니다." sqref="BQ32" xr:uid="{00000000-0002-0000-0300-000004000000}">
      <formula1>BQ32&lt;BR32</formula1>
    </dataValidation>
    <dataValidation type="list" allowBlank="1" showInputMessage="1" showErrorMessage="1" sqref="CN22:CU22" xr:uid="{00000000-0002-0000-0300-000005000000}">
      <formula1>INDIRECT($DU$27)</formula1>
    </dataValidation>
    <dataValidation type="list" allowBlank="1" showErrorMessage="1" promptTitle="용품비용 수기입력" prompt="전면 썬팅, 측．후면썬팅, 블랙박스_x000a_용품선택 후 금액 수기입력" sqref="CN26:CU26" xr:uid="{00000000-0002-0000-0300-000006000000}">
      <formula1>INDIRECT($EI$40)</formula1>
    </dataValidation>
    <dataValidation type="list" allowBlank="1" showInputMessage="1" showErrorMessage="1" sqref="CN27:CU27" xr:uid="{00000000-0002-0000-0300-000007000000}">
      <formula1>"썬루프선팅/ 기타"</formula1>
    </dataValidation>
    <dataValidation type="custom" allowBlank="1" showInputMessage="1" showErrorMessage="1" errorTitle="부대비용오류" error="부대비용은 10만원을 초과할 수 없습니다." sqref="BD24:BL24" xr:uid="{00000000-0002-0000-0300-000008000000}">
      <formula1>BR25=TRUE</formula1>
    </dataValidation>
    <dataValidation type="custom" allowBlank="1" showInputMessage="1" showErrorMessage="1" errorTitle="부대비용오류" error="부대비용은 10만원을 초과할 수 없습니다." sqref="BM24" xr:uid="{00000000-0002-0000-0300-000009000000}">
      <formula1>CA27=TRUE</formula1>
    </dataValidation>
    <dataValidation type="list" allowBlank="1" showInputMessage="1" showErrorMessage="1" sqref="CN23:CU23" xr:uid="{00000000-0002-0000-0300-00000A000000}">
      <formula1>$DT$31:$DT$40</formula1>
    </dataValidation>
    <dataValidation type="list" errorStyle="warning" allowBlank="1" showErrorMessage="1" promptTitle="용품비용 수기입력" prompt="전면 썬팅, 측．후면썬팅, 블랙박스_x000a_용품선택 후 금액 수기입력" sqref="CN24:CU24" xr:uid="{00000000-0002-0000-0300-00000B000000}">
      <formula1>INDIRECT($EG$40)</formula1>
    </dataValidation>
    <dataValidation type="list" allowBlank="1" showErrorMessage="1" promptTitle="용품비용 수기입력" prompt="전면 썬팅, 측．후면썬팅, 블랙박스_x000a_용품선택 후 금액 수기입력" sqref="CN25:CU25" xr:uid="{00000000-0002-0000-0300-00000C000000}">
      <formula1>INDIRECT($EH$40)</formula1>
    </dataValidation>
    <dataValidation type="custom" allowBlank="1" showInputMessage="1" showErrorMessage="1" errorTitle="ㅌㅌㅌㅌ" error="ㅌㅌㅌㅌ" sqref="BD37" xr:uid="{00000000-0002-0000-0300-00000D000000}">
      <formula1>BD37+BD40+BD44&lt;BR38</formula1>
    </dataValidation>
    <dataValidation type="list" allowBlank="1" showInputMessage="1" showErrorMessage="1" sqref="AS41:BM41" xr:uid="{00000000-0002-0000-0300-00000E000000}">
      <formula1>"0%, -1%, -2%, -3%, -4%, -5%, -6%, -7%, -8%, -9%, -10%"</formula1>
    </dataValidation>
    <dataValidation type="list" allowBlank="1" showInputMessage="1" showErrorMessage="1" sqref="CN31" xr:uid="{00000000-0002-0000-0300-00000F000000}">
      <formula1>"적용,미적용"</formula1>
    </dataValidation>
    <dataValidation type="list" allowBlank="1" showInputMessage="1" showErrorMessage="1" sqref="BO11" xr:uid="{00000000-0002-0000-0300-000010000000}">
      <formula1>"커스터마이징 적용, 커스터마이징 미적용"</formula1>
    </dataValidation>
  </dataValidations>
  <pageMargins left="0.23622047244094491" right="0" top="0.23622047244094491" bottom="0" header="0" footer="0"/>
  <pageSetup paperSize="9" scale="81" orientation="portrait" cellComments="atEnd" r:id="rId1"/>
  <colBreaks count="2" manualBreakCount="2">
    <brk id="37" max="1048575" man="1"/>
    <brk id="6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5060" r:id="rId4" name="Check Box 4">
              <controlPr defaultSize="0" autoFill="0" autoLine="0" autoPict="0">
                <anchor moveWithCells="1">
                  <from>
                    <xdr:col>47</xdr:col>
                    <xdr:colOff>38100</xdr:colOff>
                    <xdr:row>17</xdr:row>
                    <xdr:rowOff>9525</xdr:rowOff>
                  </from>
                  <to>
                    <xdr:col>51</xdr:col>
                    <xdr:colOff>38100</xdr:colOff>
                    <xdr:row>18</xdr:row>
                    <xdr:rowOff>0</xdr:rowOff>
                  </to>
                </anchor>
              </controlPr>
            </control>
          </mc:Choice>
        </mc:AlternateContent>
        <mc:AlternateContent xmlns:mc="http://schemas.openxmlformats.org/markup-compatibility/2006">
          <mc:Choice Requires="x14">
            <control shapeId="45061" r:id="rId5" name="Check Box 5">
              <controlPr defaultSize="0" autoFill="0" autoLine="0" autoPict="0">
                <anchor moveWithCells="1">
                  <from>
                    <xdr:col>47</xdr:col>
                    <xdr:colOff>38100</xdr:colOff>
                    <xdr:row>20</xdr:row>
                    <xdr:rowOff>28575</xdr:rowOff>
                  </from>
                  <to>
                    <xdr:col>53</xdr:col>
                    <xdr:colOff>9525</xdr:colOff>
                    <xdr:row>20</xdr:row>
                    <xdr:rowOff>228600</xdr:rowOff>
                  </to>
                </anchor>
              </controlPr>
            </control>
          </mc:Choice>
        </mc:AlternateContent>
        <mc:AlternateContent xmlns:mc="http://schemas.openxmlformats.org/markup-compatibility/2006">
          <mc:Choice Requires="x14">
            <control shapeId="45062" r:id="rId6" name="Check Box 6">
              <controlPr defaultSize="0" autoFill="0" autoLine="0" autoPict="0" altText="  취득원가 포함">
                <anchor moveWithCells="1">
                  <from>
                    <xdr:col>47</xdr:col>
                    <xdr:colOff>38100</xdr:colOff>
                    <xdr:row>22</xdr:row>
                    <xdr:rowOff>9525</xdr:rowOff>
                  </from>
                  <to>
                    <xdr:col>52</xdr:col>
                    <xdr:colOff>152400</xdr:colOff>
                    <xdr:row>23</xdr:row>
                    <xdr:rowOff>0</xdr:rowOff>
                  </to>
                </anchor>
              </controlPr>
            </control>
          </mc:Choice>
        </mc:AlternateContent>
        <mc:AlternateContent xmlns:mc="http://schemas.openxmlformats.org/markup-compatibility/2006">
          <mc:Choice Requires="x14">
            <control shapeId="45063" r:id="rId7" name="Check Box 7">
              <controlPr defaultSize="0" autoFill="0" autoLine="0" autoPict="0">
                <anchor moveWithCells="1">
                  <from>
                    <xdr:col>47</xdr:col>
                    <xdr:colOff>38100</xdr:colOff>
                    <xdr:row>23</xdr:row>
                    <xdr:rowOff>9525</xdr:rowOff>
                  </from>
                  <to>
                    <xdr:col>52</xdr:col>
                    <xdr:colOff>114300</xdr:colOff>
                    <xdr:row>24</xdr:row>
                    <xdr:rowOff>0</xdr:rowOff>
                  </to>
                </anchor>
              </controlPr>
            </control>
          </mc:Choice>
        </mc:AlternateContent>
        <mc:AlternateContent xmlns:mc="http://schemas.openxmlformats.org/markup-compatibility/2006">
          <mc:Choice Requires="x14">
            <control shapeId="45064" r:id="rId8" name="Check Box 8">
              <controlPr defaultSize="0" autoFill="0" autoLine="0" autoPict="0">
                <anchor moveWithCells="1">
                  <from>
                    <xdr:col>47</xdr:col>
                    <xdr:colOff>38100</xdr:colOff>
                    <xdr:row>24</xdr:row>
                    <xdr:rowOff>28575</xdr:rowOff>
                  </from>
                  <to>
                    <xdr:col>52</xdr:col>
                    <xdr:colOff>38100</xdr:colOff>
                    <xdr:row>25</xdr:row>
                    <xdr:rowOff>9525</xdr:rowOff>
                  </to>
                </anchor>
              </controlPr>
            </control>
          </mc:Choice>
        </mc:AlternateContent>
        <mc:AlternateContent xmlns:mc="http://schemas.openxmlformats.org/markup-compatibility/2006">
          <mc:Choice Requires="x14">
            <control shapeId="45066" r:id="rId9" name="Check Box 10">
              <controlPr defaultSize="0" autoFill="0" autoLine="0" autoPict="0">
                <anchor moveWithCells="1">
                  <from>
                    <xdr:col>93</xdr:col>
                    <xdr:colOff>123825</xdr:colOff>
                    <xdr:row>27</xdr:row>
                    <xdr:rowOff>28575</xdr:rowOff>
                  </from>
                  <to>
                    <xdr:col>98</xdr:col>
                    <xdr:colOff>704850</xdr:colOff>
                    <xdr:row>28</xdr:row>
                    <xdr:rowOff>228600</xdr:rowOff>
                  </to>
                </anchor>
              </controlPr>
            </control>
          </mc:Choice>
        </mc:AlternateContent>
        <mc:AlternateContent xmlns:mc="http://schemas.openxmlformats.org/markup-compatibility/2006">
          <mc:Choice Requires="x14">
            <control shapeId="45073" r:id="rId10" name="Check Box 17">
              <controlPr locked="0" defaultSize="0" autoFill="0" autoLine="0" autoPict="0">
                <anchor moveWithCells="1">
                  <from>
                    <xdr:col>80</xdr:col>
                    <xdr:colOff>85725</xdr:colOff>
                    <xdr:row>0</xdr:row>
                    <xdr:rowOff>57150</xdr:rowOff>
                  </from>
                  <to>
                    <xdr:col>88</xdr:col>
                    <xdr:colOff>0</xdr:colOff>
                    <xdr:row>2</xdr:row>
                    <xdr:rowOff>57150</xdr:rowOff>
                  </to>
                </anchor>
              </controlPr>
            </control>
          </mc:Choice>
        </mc:AlternateContent>
        <mc:AlternateContent xmlns:mc="http://schemas.openxmlformats.org/markup-compatibility/2006">
          <mc:Choice Requires="x14">
            <control shapeId="45075" r:id="rId11" name="Check Box 19">
              <controlPr locked="0" defaultSize="0" autoFill="0" autoLine="0" autoPict="0" altText="_x000a_">
                <anchor moveWithCells="1">
                  <from>
                    <xdr:col>89</xdr:col>
                    <xdr:colOff>38100</xdr:colOff>
                    <xdr:row>0</xdr:row>
                    <xdr:rowOff>66675</xdr:rowOff>
                  </from>
                  <to>
                    <xdr:col>98</xdr:col>
                    <xdr:colOff>57150</xdr:colOff>
                    <xdr:row>2</xdr:row>
                    <xdr:rowOff>57150</xdr:rowOff>
                  </to>
                </anchor>
              </controlPr>
            </control>
          </mc:Choice>
        </mc:AlternateContent>
        <mc:AlternateContent xmlns:mc="http://schemas.openxmlformats.org/markup-compatibility/2006">
          <mc:Choice Requires="x14">
            <control shapeId="45077" r:id="rId12" name="Check Box 21">
              <controlPr locked="0" defaultSize="0" autoFill="0" autoLine="0" autoPict="0">
                <anchor moveWithCells="1">
                  <from>
                    <xdr:col>39</xdr:col>
                    <xdr:colOff>9525</xdr:colOff>
                    <xdr:row>19</xdr:row>
                    <xdr:rowOff>9525</xdr:rowOff>
                  </from>
                  <to>
                    <xdr:col>43</xdr:col>
                    <xdr:colOff>295275</xdr:colOff>
                    <xdr:row>19</xdr:row>
                    <xdr:rowOff>228600</xdr:rowOff>
                  </to>
                </anchor>
              </controlPr>
            </control>
          </mc:Choice>
        </mc:AlternateContent>
        <mc:AlternateContent xmlns:mc="http://schemas.openxmlformats.org/markup-compatibility/2006">
          <mc:Choice Requires="x14">
            <control shapeId="45080" r:id="rId13" name="Button 24">
              <controlPr defaultSize="0" print="0" autoFill="0" autoPict="0" macro="[0]!보조금이동">
                <anchor>
                  <from>
                    <xdr:col>65</xdr:col>
                    <xdr:colOff>314325</xdr:colOff>
                    <xdr:row>20</xdr:row>
                    <xdr:rowOff>57150</xdr:rowOff>
                  </from>
                  <to>
                    <xdr:col>66</xdr:col>
                    <xdr:colOff>390525</xdr:colOff>
                    <xdr:row>27</xdr:row>
                    <xdr:rowOff>104775</xdr:rowOff>
                  </to>
                </anchor>
              </controlPr>
            </control>
          </mc:Choice>
        </mc:AlternateContent>
        <mc:AlternateContent xmlns:mc="http://schemas.openxmlformats.org/markup-compatibility/2006">
          <mc:Choice Requires="x14">
            <control shapeId="45082" r:id="rId14" name="Check Box 26">
              <controlPr locked="0" defaultSize="0" autoFill="0" autoLine="0" autoPict="0" altText="_x000a_">
                <anchor moveWithCells="1">
                  <from>
                    <xdr:col>145</xdr:col>
                    <xdr:colOff>66675</xdr:colOff>
                    <xdr:row>12</xdr:row>
                    <xdr:rowOff>209550</xdr:rowOff>
                  </from>
                  <to>
                    <xdr:col>146</xdr:col>
                    <xdr:colOff>428625</xdr:colOff>
                    <xdr:row>14</xdr:row>
                    <xdr:rowOff>200025</xdr:rowOff>
                  </to>
                </anchor>
              </controlPr>
            </control>
          </mc:Choice>
        </mc:AlternateContent>
        <mc:AlternateContent xmlns:mc="http://schemas.openxmlformats.org/markup-compatibility/2006">
          <mc:Choice Requires="x14">
            <control shapeId="45084" r:id="rId15" name="Button 28">
              <controlPr defaultSize="0" print="0" autoFill="0" autoPict="0" macro="[0]!리07053출">
                <anchor moveWithCells="1" sizeWithCells="1">
                  <from>
                    <xdr:col>66</xdr:col>
                    <xdr:colOff>95250</xdr:colOff>
                    <xdr:row>52</xdr:row>
                    <xdr:rowOff>28575</xdr:rowOff>
                  </from>
                  <to>
                    <xdr:col>94</xdr:col>
                    <xdr:colOff>142875</xdr:colOff>
                    <xdr:row>56</xdr:row>
                    <xdr:rowOff>123825</xdr:rowOff>
                  </to>
                </anchor>
              </controlPr>
            </control>
          </mc:Choice>
        </mc:AlternateContent>
        <mc:AlternateContent xmlns:mc="http://schemas.openxmlformats.org/markup-compatibility/2006">
          <mc:Choice Requires="x14">
            <control shapeId="45085" r:id="rId16" name="Button 29">
              <controlPr defaultSize="0" print="0" autoFill="0" autoPict="0" macro="[0]!리07051출">
                <anchor moveWithCells="1" sizeWithCells="1">
                  <from>
                    <xdr:col>66</xdr:col>
                    <xdr:colOff>85725</xdr:colOff>
                    <xdr:row>57</xdr:row>
                    <xdr:rowOff>85725</xdr:rowOff>
                  </from>
                  <to>
                    <xdr:col>95</xdr:col>
                    <xdr:colOff>19050</xdr:colOff>
                    <xdr:row>62</xdr:row>
                    <xdr:rowOff>85725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0" id="{FD20C4E2-CFEE-459C-9821-030AC13EB3F9}">
            <xm:f>계산_운용리스_단일!$I$87="취급불가"</xm:f>
            <x14:dxf>
              <font>
                <b/>
                <i val="0"/>
                <color theme="0"/>
              </font>
              <fill>
                <patternFill>
                  <bgColor rgb="FFC00000"/>
                </patternFill>
              </fill>
            </x14:dxf>
          </x14:cfRule>
          <xm:sqref>AA27:AI28</xm:sqref>
        </x14:conditionalFormatting>
        <x14:conditionalFormatting xmlns:xm="http://schemas.microsoft.com/office/excel/2006/main">
          <x14:cfRule type="expression" priority="66" id="{B24E2DE4-0DCC-4379-B9CE-4631E2E23610}">
            <xm:f>계산_운용리스_단일!$I$75=FALSE</xm:f>
            <x14:dxf>
              <font>
                <color theme="4" tint="0.59996337778862885"/>
              </font>
              <fill>
                <patternFill>
                  <bgColor theme="4" tint="0.59996337778862885"/>
                </patternFill>
              </fill>
            </x14:dxf>
          </x14:cfRule>
          <xm:sqref>BA20</xm:sqref>
        </x14:conditionalFormatting>
        <x14:conditionalFormatting xmlns:xm="http://schemas.microsoft.com/office/excel/2006/main">
          <x14:cfRule type="expression" priority="63" id="{C3373008-3EF9-40A9-9623-1C0A07337AF5}">
            <xm:f>계산_운용리스_단일!$I$76=FALSE</xm:f>
            <x14:dxf>
              <font>
                <color theme="0"/>
              </font>
              <fill>
                <patternFill patternType="solid">
                  <bgColor rgb="FFFF0000"/>
                </patternFill>
              </fill>
            </x14:dxf>
          </x14:cfRule>
          <xm:sqref>AA27:AI28</xm:sqref>
        </x14:conditionalFormatting>
        <x14:conditionalFormatting xmlns:xm="http://schemas.microsoft.com/office/excel/2006/main">
          <x14:cfRule type="expression" priority="59" id="{34A7DE8C-82FD-4F1E-BF98-BC290C1D4B3D}">
            <xm:f>계산_운용리스_단일!$I$75=FALSE</xm:f>
            <x14:dxf>
              <font>
                <color theme="4" tint="0.59996337778862885"/>
              </font>
              <fill>
                <patternFill>
                  <bgColor theme="4" tint="0.59996337778862885"/>
                </patternFill>
              </fill>
            </x14:dxf>
          </x14:cfRule>
          <xm:sqref>AS20</xm:sqref>
        </x14:conditionalFormatting>
        <x14:conditionalFormatting xmlns:xm="http://schemas.microsoft.com/office/excel/2006/main">
          <x14:cfRule type="expression" priority="58" id="{6CAE1E3C-6DB8-41FE-A577-9E93EE850764}">
            <xm:f>계산_운용리스_단일!$I$75=FALSE</xm:f>
            <x14:dxf>
              <font>
                <color theme="4" tint="0.59996337778862885"/>
              </font>
              <fill>
                <patternFill>
                  <bgColor theme="4" tint="0.59996337778862885"/>
                </patternFill>
              </fill>
            </x14:dxf>
          </x14:cfRule>
          <xm:sqref>AV20</xm:sqref>
        </x14:conditionalFormatting>
        <x14:conditionalFormatting xmlns:xm="http://schemas.microsoft.com/office/excel/2006/main">
          <x14:cfRule type="expression" priority="57" id="{B0D7CFBD-7146-4BFE-84D6-9113C506A882}">
            <xm:f>계산_운용리스_단일!$I$75=FALSE</xm:f>
            <x14:dxf>
              <font>
                <color theme="4" tint="0.59996337778862885"/>
              </font>
              <fill>
                <patternFill>
                  <bgColor theme="4" tint="0.59996337778862885"/>
                </patternFill>
              </fill>
            </x14:dxf>
          </x14:cfRule>
          <xm:sqref>BI20</xm:sqref>
        </x14:conditionalFormatting>
        <x14:conditionalFormatting xmlns:xm="http://schemas.microsoft.com/office/excel/2006/main">
          <x14:cfRule type="expression" priority="56" id="{DEF2DE30-2E22-4507-BC49-53E60E1D1692}">
            <xm:f>계산_운용리스_단일!$I$75=FALSE</xm:f>
            <x14:dxf>
              <font>
                <color theme="4" tint="0.59996337778862885"/>
              </font>
              <fill>
                <patternFill>
                  <bgColor theme="4" tint="0.59996337778862885"/>
                </patternFill>
              </fill>
            </x14:dxf>
          </x14:cfRule>
          <xm:sqref>BD20</xm:sqref>
        </x14:conditionalFormatting>
        <x14:conditionalFormatting xmlns:xm="http://schemas.microsoft.com/office/excel/2006/main">
          <x14:cfRule type="expression" priority="14" id="{5587658F-4958-4FCB-A4CD-918B419EEEE7}">
            <xm:f>'AG 입력시트'!$S$7&lt;&gt;"KG모빌리티_특판"</xm:f>
            <x14:dxf>
              <font>
                <color theme="0"/>
              </font>
              <fill>
                <patternFill patternType="none">
                  <bgColor auto="1"/>
                </patternFill>
              </fill>
              <border>
                <left/>
                <right/>
                <top/>
                <bottom/>
                <vertical/>
                <horizontal/>
              </border>
            </x14:dxf>
          </x14:cfRule>
          <xm:sqref>CA31:DD31 CN35</xm:sqref>
        </x14:conditionalFormatting>
      </x14:conditionalFormattings>
    </ext>
    <ext xmlns:x14="http://schemas.microsoft.com/office/spreadsheetml/2009/9/main" uri="{CCE6A557-97BC-4b89-ADB6-D9C93CAAB3DF}">
      <x14:dataValidations xmlns:xm="http://schemas.microsoft.com/office/excel/2006/main" xWindow="1608" yWindow="725" count="3">
        <x14:dataValidation type="list" allowBlank="1" showInputMessage="1" showErrorMessage="1" xr:uid="{00000000-0002-0000-0300-000011000000}">
          <x14:formula1>
            <xm:f>계산_운용리스_단일!$U$4:$U$6</xm:f>
          </x14:formula1>
          <xm:sqref>AS28</xm:sqref>
        </x14:dataValidation>
        <x14:dataValidation type="list" allowBlank="1" showInputMessage="1" showErrorMessage="1" xr:uid="{00000000-0002-0000-0300-000012000000}">
          <x14:formula1>
            <xm:f>계산_운용리스_단일!$R$4:$R$5</xm:f>
          </x14:formula1>
          <xm:sqref>AS19:BM19</xm:sqref>
        </x14:dataValidation>
        <x14:dataValidation type="list" allowBlank="1" showInputMessage="1" showErrorMessage="1" xr:uid="{00000000-0002-0000-0300-000013000000}">
          <x14:formula1>
            <xm:f>IF(계산_운용리스_단일!$D$4="국산",계산_운용리스_단일!$X$4:$X$7,계산_운용리스_단일!$X$4:$X$5)</xm:f>
          </x14:formula1>
          <xm:sqref>AS40:BM40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1">
    <tabColor rgb="FF007DC5"/>
    <outlinePr summaryRight="0"/>
    <pageSetUpPr fitToPage="1"/>
  </sheetPr>
  <dimension ref="A1:EO66"/>
  <sheetViews>
    <sheetView showGridLines="0" zoomScale="70" zoomScaleNormal="70" zoomScaleSheetLayoutView="90" workbookViewId="0">
      <selection activeCell="AR5" sqref="AR5:BL5"/>
    </sheetView>
  </sheetViews>
  <sheetFormatPr defaultColWidth="9" defaultRowHeight="16.5" zeroHeight="1" outlineLevelCol="1"/>
  <cols>
    <col min="1" max="29" width="3" style="36" customWidth="1"/>
    <col min="30" max="30" width="5" style="36" customWidth="1"/>
    <col min="31" max="32" width="3" style="36" customWidth="1"/>
    <col min="33" max="33" width="2.625" style="36" customWidth="1"/>
    <col min="34" max="38" width="3" style="36" customWidth="1"/>
    <col min="39" max="46" width="2.75" style="36" customWidth="1"/>
    <col min="47" max="49" width="3" style="36" customWidth="1"/>
    <col min="50" max="50" width="3.75" style="36" customWidth="1"/>
    <col min="51" max="53" width="2.75" style="36" customWidth="1"/>
    <col min="54" max="56" width="3" style="36" customWidth="1"/>
    <col min="57" max="57" width="3.875" style="36" customWidth="1"/>
    <col min="58" max="60" width="2.75" style="36" customWidth="1"/>
    <col min="61" max="63" width="3" style="36" customWidth="1"/>
    <col min="64" max="64" width="3.875" style="36" customWidth="1"/>
    <col min="65" max="65" width="6.25" style="36" customWidth="1"/>
    <col min="66" max="66" width="13.875" style="36" customWidth="1"/>
    <col min="67" max="67" width="1.5" style="36" customWidth="1" collapsed="1"/>
    <col min="68" max="74" width="8.25" style="36" hidden="1" customWidth="1" outlineLevel="1"/>
    <col min="75" max="75" width="16.375" style="36" hidden="1" customWidth="1" outlineLevel="1"/>
    <col min="76" max="76" width="13.25" style="36" hidden="1" customWidth="1" outlineLevel="1"/>
    <col min="77" max="77" width="8.25" style="36" hidden="1" customWidth="1" outlineLevel="1"/>
    <col min="78" max="78" width="8.25" style="36" hidden="1" customWidth="1"/>
    <col min="79" max="82" width="2" style="36" customWidth="1"/>
    <col min="83" max="83" width="3.375" style="36" customWidth="1"/>
    <col min="84" max="85" width="3.375" style="120" customWidth="1"/>
    <col min="86" max="91" width="1.5" style="120" customWidth="1"/>
    <col min="92" max="96" width="2.375" style="120" customWidth="1"/>
    <col min="97" max="97" width="8.125" style="120" customWidth="1"/>
    <col min="98" max="99" width="2.375" style="120" hidden="1" customWidth="1"/>
    <col min="100" max="118" width="3.125" style="120" hidden="1" customWidth="1"/>
    <col min="119" max="140" width="0" style="120" hidden="1" customWidth="1"/>
    <col min="141" max="148" width="9" style="120"/>
    <col min="149" max="149" width="11.625" style="120" customWidth="1"/>
    <col min="150" max="15622" width="9" style="120"/>
    <col min="15623" max="15640" width="9" style="120" customWidth="1"/>
    <col min="15641" max="16384" width="112" style="120" customWidth="1"/>
  </cols>
  <sheetData>
    <row r="1" spans="4:145">
      <c r="AE1" s="119"/>
      <c r="AL1" s="1194"/>
      <c r="AM1" s="1517" t="s">
        <v>3054</v>
      </c>
      <c r="AN1" s="1517"/>
      <c r="AO1" s="1517"/>
      <c r="AP1" s="1517"/>
      <c r="AQ1" s="1517"/>
      <c r="AR1" s="1517"/>
      <c r="AS1" s="1517"/>
      <c r="AT1" s="1517"/>
      <c r="AU1" s="1517"/>
      <c r="AV1" s="1517"/>
      <c r="AW1" s="1517"/>
      <c r="AX1" s="1517"/>
      <c r="AY1" s="1517"/>
      <c r="AZ1" s="1517"/>
      <c r="BA1" s="1517"/>
      <c r="BB1" s="1517"/>
      <c r="BC1" s="1517"/>
      <c r="BD1" s="1517"/>
      <c r="BE1" s="1517"/>
      <c r="BF1" s="1517"/>
      <c r="BG1" s="1517"/>
      <c r="BH1" s="1517"/>
      <c r="BI1" s="1517"/>
      <c r="BJ1" s="1517"/>
      <c r="BK1" s="1517"/>
      <c r="BL1" s="1517"/>
      <c r="BM1" s="1197"/>
      <c r="BO1" s="477"/>
    </row>
    <row r="2" spans="4:145" ht="17.25" thickBot="1">
      <c r="AL2" s="1196"/>
      <c r="AM2" s="1518"/>
      <c r="AN2" s="1518"/>
      <c r="AO2" s="1518"/>
      <c r="AP2" s="1518"/>
      <c r="AQ2" s="1518"/>
      <c r="AR2" s="1518"/>
      <c r="AS2" s="1518"/>
      <c r="AT2" s="1518"/>
      <c r="AU2" s="1518"/>
      <c r="AV2" s="1518"/>
      <c r="AW2" s="1518"/>
      <c r="AX2" s="1518"/>
      <c r="AY2" s="1518"/>
      <c r="AZ2" s="1518"/>
      <c r="BA2" s="1518"/>
      <c r="BB2" s="1518"/>
      <c r="BC2" s="1518"/>
      <c r="BD2" s="1518"/>
      <c r="BE2" s="1518"/>
      <c r="BF2" s="1518"/>
      <c r="BG2" s="1518"/>
      <c r="BH2" s="1518"/>
      <c r="BI2" s="1518"/>
      <c r="BJ2" s="1518"/>
      <c r="BK2" s="1518"/>
      <c r="BL2" s="1518"/>
      <c r="BM2" s="1197"/>
      <c r="BO2" s="477"/>
    </row>
    <row r="3" spans="4:145" ht="17.25" thickBot="1">
      <c r="D3" s="1561" t="s">
        <v>693</v>
      </c>
      <c r="E3" s="1561"/>
      <c r="F3" s="1561"/>
      <c r="G3" s="1561"/>
      <c r="H3" s="1561"/>
      <c r="I3" s="1561"/>
      <c r="J3" s="1561"/>
      <c r="K3" s="1561"/>
      <c r="L3" s="1561"/>
      <c r="M3" s="1561"/>
      <c r="N3" s="1561"/>
      <c r="O3" s="1561"/>
      <c r="P3" s="1561"/>
      <c r="Q3" s="1561"/>
      <c r="R3" s="1561"/>
      <c r="S3" s="1561"/>
      <c r="T3" s="1561"/>
      <c r="U3" s="1561"/>
      <c r="V3" s="1561"/>
      <c r="W3" s="1561"/>
      <c r="X3" s="1561"/>
      <c r="Y3" s="1561"/>
      <c r="Z3" s="1561"/>
      <c r="AA3" s="1561"/>
      <c r="AB3" s="1561"/>
      <c r="AC3" s="1561"/>
      <c r="AD3" s="1561"/>
      <c r="AE3" s="1561"/>
      <c r="AF3" s="1561"/>
      <c r="AG3" s="1561"/>
      <c r="AH3" s="1561"/>
      <c r="AL3" s="1196"/>
      <c r="AM3" s="1190" t="s">
        <v>425</v>
      </c>
      <c r="AN3" s="1191"/>
      <c r="AO3" s="1191"/>
      <c r="AP3" s="1191"/>
      <c r="AQ3" s="1191"/>
      <c r="AR3" s="1191"/>
      <c r="AS3" s="1191"/>
      <c r="AT3" s="1191"/>
      <c r="AU3" s="1191"/>
      <c r="AV3" s="1191"/>
      <c r="AW3" s="1191"/>
      <c r="AX3" s="1191"/>
      <c r="AY3" s="1191"/>
      <c r="AZ3" s="1191"/>
      <c r="BA3" s="1191"/>
      <c r="BB3" s="1191"/>
      <c r="BC3" s="1191"/>
      <c r="BD3" s="1191"/>
      <c r="BE3" s="1191"/>
      <c r="BF3" s="1191"/>
      <c r="BG3" s="1191"/>
      <c r="BH3" s="1191"/>
      <c r="BI3" s="1191"/>
      <c r="BJ3" s="1191"/>
      <c r="BK3" s="1191"/>
      <c r="BL3" s="1191"/>
      <c r="BM3" s="1197"/>
      <c r="BN3" s="1528"/>
      <c r="BO3" s="477"/>
      <c r="BP3" s="465"/>
      <c r="BQ3" s="36" t="b">
        <v>0</v>
      </c>
    </row>
    <row r="4" spans="4:145">
      <c r="D4" s="1561"/>
      <c r="E4" s="1561"/>
      <c r="F4" s="1561"/>
      <c r="G4" s="1561"/>
      <c r="H4" s="1561"/>
      <c r="I4" s="1561"/>
      <c r="J4" s="1561"/>
      <c r="K4" s="1561"/>
      <c r="L4" s="1561"/>
      <c r="M4" s="1561"/>
      <c r="N4" s="1561"/>
      <c r="O4" s="1561"/>
      <c r="P4" s="1561"/>
      <c r="Q4" s="1561"/>
      <c r="R4" s="1561"/>
      <c r="S4" s="1561"/>
      <c r="T4" s="1561"/>
      <c r="U4" s="1561"/>
      <c r="V4" s="1561"/>
      <c r="W4" s="1561"/>
      <c r="X4" s="1561"/>
      <c r="Y4" s="1561"/>
      <c r="Z4" s="1561"/>
      <c r="AA4" s="1561"/>
      <c r="AB4" s="1561"/>
      <c r="AC4" s="1561"/>
      <c r="AD4" s="1561"/>
      <c r="AE4" s="1561"/>
      <c r="AF4" s="1561"/>
      <c r="AG4" s="1561"/>
      <c r="AH4" s="1561"/>
      <c r="AL4" s="1196"/>
      <c r="AM4" s="1841" t="s">
        <v>440</v>
      </c>
      <c r="AN4" s="1841"/>
      <c r="AO4" s="1841"/>
      <c r="AP4" s="1841"/>
      <c r="AQ4" s="1431"/>
      <c r="AR4" s="1842" t="s">
        <v>610</v>
      </c>
      <c r="AS4" s="1843"/>
      <c r="AT4" s="1843"/>
      <c r="AU4" s="1843"/>
      <c r="AV4" s="1843"/>
      <c r="AW4" s="1843"/>
      <c r="AX4" s="1843"/>
      <c r="AY4" s="1843"/>
      <c r="AZ4" s="1843"/>
      <c r="BA4" s="1843"/>
      <c r="BB4" s="1843"/>
      <c r="BC4" s="1843"/>
      <c r="BD4" s="1843"/>
      <c r="BE4" s="1843"/>
      <c r="BF4" s="1843"/>
      <c r="BG4" s="1843"/>
      <c r="BH4" s="1843"/>
      <c r="BI4" s="1843"/>
      <c r="BJ4" s="1843"/>
      <c r="BK4" s="1843"/>
      <c r="BL4" s="1844"/>
      <c r="BM4" s="1197"/>
      <c r="BN4" s="1528"/>
      <c r="BO4" s="477"/>
      <c r="BP4" s="465"/>
    </row>
    <row r="5" spans="4:145">
      <c r="D5" s="1561"/>
      <c r="E5" s="1561"/>
      <c r="F5" s="1561"/>
      <c r="G5" s="1561"/>
      <c r="H5" s="1561"/>
      <c r="I5" s="1561"/>
      <c r="J5" s="1561"/>
      <c r="K5" s="1561"/>
      <c r="L5" s="1561"/>
      <c r="M5" s="1561"/>
      <c r="N5" s="1561"/>
      <c r="O5" s="1561"/>
      <c r="P5" s="1561"/>
      <c r="Q5" s="1561"/>
      <c r="R5" s="1561"/>
      <c r="S5" s="1561"/>
      <c r="T5" s="1561"/>
      <c r="U5" s="1561"/>
      <c r="V5" s="1561"/>
      <c r="W5" s="1561"/>
      <c r="X5" s="1561"/>
      <c r="Y5" s="1561"/>
      <c r="Z5" s="1561"/>
      <c r="AA5" s="1561"/>
      <c r="AB5" s="1561"/>
      <c r="AC5" s="1561"/>
      <c r="AD5" s="1561"/>
      <c r="AE5" s="1561"/>
      <c r="AF5" s="1561"/>
      <c r="AG5" s="1561"/>
      <c r="AH5" s="1561"/>
      <c r="AL5" s="1196"/>
      <c r="AM5" s="1406" t="s">
        <v>209</v>
      </c>
      <c r="AN5" s="1422"/>
      <c r="AO5" s="1422"/>
      <c r="AP5" s="1422"/>
      <c r="AQ5" s="1422"/>
      <c r="AR5" s="1530" t="str">
        <f>'AG 입력시트'!S5</f>
        <v>국산</v>
      </c>
      <c r="AS5" s="1531"/>
      <c r="AT5" s="1531"/>
      <c r="AU5" s="1531"/>
      <c r="AV5" s="1531"/>
      <c r="AW5" s="1531"/>
      <c r="AX5" s="1531"/>
      <c r="AY5" s="1531"/>
      <c r="AZ5" s="1531"/>
      <c r="BA5" s="1531"/>
      <c r="BB5" s="1531"/>
      <c r="BC5" s="1531"/>
      <c r="BD5" s="1531"/>
      <c r="BE5" s="1531"/>
      <c r="BF5" s="1531"/>
      <c r="BG5" s="1531"/>
      <c r="BH5" s="1531"/>
      <c r="BI5" s="1531"/>
      <c r="BJ5" s="1531"/>
      <c r="BK5" s="1531"/>
      <c r="BL5" s="1532"/>
      <c r="BM5" s="1197"/>
      <c r="BO5" s="465"/>
      <c r="BP5" s="465"/>
    </row>
    <row r="6" spans="4:145" ht="17.25" thickBot="1">
      <c r="Y6" s="1583" t="str">
        <f>운용리스_비교!AR4</f>
        <v>VVIP 고객님</v>
      </c>
      <c r="Z6" s="1583"/>
      <c r="AA6" s="1583"/>
      <c r="AB6" s="1583"/>
      <c r="AC6" s="1583"/>
      <c r="AD6" s="1583"/>
      <c r="AE6" s="1583"/>
      <c r="AF6" s="1583"/>
      <c r="AG6" s="1584" t="s">
        <v>273</v>
      </c>
      <c r="AH6" s="1584"/>
      <c r="AL6" s="1196"/>
      <c r="AM6" s="1406" t="s">
        <v>210</v>
      </c>
      <c r="AN6" s="1422"/>
      <c r="AO6" s="1422"/>
      <c r="AP6" s="1422"/>
      <c r="AQ6" s="1422"/>
      <c r="AR6" s="1845" t="str">
        <f>'AG 입력시트'!S7</f>
        <v>현대</v>
      </c>
      <c r="AS6" s="1846"/>
      <c r="AT6" s="1846"/>
      <c r="AU6" s="1846"/>
      <c r="AV6" s="1846"/>
      <c r="AW6" s="1846"/>
      <c r="AX6" s="1846"/>
      <c r="AY6" s="1846"/>
      <c r="AZ6" s="1846"/>
      <c r="BA6" s="1846"/>
      <c r="BB6" s="1846"/>
      <c r="BC6" s="1846"/>
      <c r="BD6" s="1846"/>
      <c r="BE6" s="1846"/>
      <c r="BF6" s="1846"/>
      <c r="BG6" s="1846"/>
      <c r="BH6" s="1846"/>
      <c r="BI6" s="1846"/>
      <c r="BJ6" s="1846"/>
      <c r="BK6" s="1846"/>
      <c r="BL6" s="1847"/>
      <c r="BM6" s="1197"/>
      <c r="BN6" s="476"/>
      <c r="CF6" s="36"/>
      <c r="CG6" s="36"/>
      <c r="CH6" s="36"/>
      <c r="CI6" s="36"/>
      <c r="CJ6" s="36"/>
      <c r="CK6" s="36"/>
      <c r="CL6" s="36"/>
      <c r="CM6" s="36"/>
      <c r="CN6" s="36"/>
      <c r="CO6" s="36"/>
      <c r="CP6" s="36"/>
      <c r="CQ6" s="36"/>
      <c r="CR6" s="36"/>
      <c r="CS6" s="36"/>
    </row>
    <row r="7" spans="4:145" ht="24.75" customHeight="1" thickBot="1">
      <c r="Y7" s="1584" t="s">
        <v>427</v>
      </c>
      <c r="Z7" s="1584"/>
      <c r="AA7" s="1584"/>
      <c r="AB7" s="1594">
        <f ca="1">TODAY()</f>
        <v>45646</v>
      </c>
      <c r="AC7" s="1594"/>
      <c r="AD7" s="1594"/>
      <c r="AE7" s="1594"/>
      <c r="AF7" s="1594"/>
      <c r="AG7" s="1594"/>
      <c r="AL7" s="1196"/>
      <c r="AM7" s="1597" t="s">
        <v>728</v>
      </c>
      <c r="AN7" s="1597"/>
      <c r="AO7" s="1597"/>
      <c r="AP7" s="1597"/>
      <c r="AQ7" s="1417"/>
      <c r="AR7" s="1905" t="s">
        <v>3271</v>
      </c>
      <c r="AS7" s="1906"/>
      <c r="AT7" s="1906"/>
      <c r="AU7" s="1906"/>
      <c r="AV7" s="1906"/>
      <c r="AW7" s="1906"/>
      <c r="AX7" s="1906"/>
      <c r="AY7" s="1906"/>
      <c r="AZ7" s="1906"/>
      <c r="BA7" s="1906"/>
      <c r="BB7" s="1906"/>
      <c r="BC7" s="1906"/>
      <c r="BD7" s="1906"/>
      <c r="BE7" s="1906"/>
      <c r="BF7" s="1906"/>
      <c r="BG7" s="1906"/>
      <c r="BH7" s="1906"/>
      <c r="BI7" s="1906"/>
      <c r="BJ7" s="1906"/>
      <c r="BK7" s="1906"/>
      <c r="BL7" s="1907"/>
      <c r="BM7" s="1314" t="s">
        <v>1229</v>
      </c>
      <c r="BN7" s="1533"/>
      <c r="BO7" s="1533"/>
      <c r="BP7" s="1533"/>
      <c r="BQ7" s="1533"/>
      <c r="BR7" s="1533"/>
      <c r="BS7" s="1533"/>
      <c r="BT7" s="1533"/>
      <c r="BU7" s="1533"/>
      <c r="BV7" s="1533"/>
      <c r="BW7" s="1533"/>
      <c r="BX7" s="1533"/>
      <c r="BY7" s="1533"/>
      <c r="BZ7" s="1533"/>
      <c r="CA7" s="1533"/>
      <c r="CB7" s="1533"/>
      <c r="CC7" s="1533"/>
      <c r="CD7" s="1533"/>
      <c r="CE7" s="1533"/>
      <c r="CF7" s="1533"/>
      <c r="CG7" s="1533"/>
      <c r="CH7" s="1533"/>
      <c r="CI7" s="1533"/>
      <c r="CJ7" s="1533"/>
      <c r="CK7" s="1534"/>
      <c r="CL7" s="36"/>
      <c r="CM7" s="36"/>
      <c r="CN7" s="36"/>
      <c r="CO7" s="36"/>
      <c r="CP7" s="36"/>
      <c r="CQ7" s="36"/>
      <c r="CR7" s="36"/>
      <c r="CS7" s="36"/>
      <c r="CT7" s="36"/>
      <c r="CU7" s="36"/>
      <c r="CV7" s="36"/>
      <c r="CW7" s="36"/>
      <c r="CX7" s="36"/>
      <c r="CY7" s="36"/>
      <c r="CZ7" s="36"/>
      <c r="DA7" s="36"/>
      <c r="DB7" s="36"/>
      <c r="DC7" s="36"/>
      <c r="DD7" s="36"/>
      <c r="DE7" s="36"/>
      <c r="DF7" s="36"/>
      <c r="DG7" s="36"/>
      <c r="DH7" s="36"/>
      <c r="DI7" s="36"/>
      <c r="DJ7" s="36"/>
      <c r="DK7" s="36"/>
      <c r="DL7" s="36"/>
      <c r="DM7" s="36"/>
      <c r="DN7" s="36"/>
      <c r="DO7" s="36"/>
      <c r="DP7" s="36"/>
      <c r="DQ7" s="36"/>
      <c r="DR7" s="36"/>
      <c r="DS7" s="36"/>
      <c r="DT7" s="36"/>
      <c r="DU7" s="36"/>
      <c r="DV7" s="36"/>
      <c r="DW7" s="36"/>
      <c r="DX7" s="36"/>
      <c r="DY7" s="36"/>
      <c r="DZ7" s="36"/>
      <c r="EA7" s="36"/>
      <c r="EB7" s="36"/>
      <c r="EC7" s="36"/>
      <c r="ED7" s="36"/>
      <c r="EE7" s="36"/>
      <c r="EF7" s="36"/>
      <c r="EG7" s="36"/>
      <c r="EH7" s="36"/>
      <c r="EI7" s="36"/>
      <c r="EJ7" s="36"/>
      <c r="EK7" s="36"/>
      <c r="EL7" s="36"/>
      <c r="EM7" s="36"/>
      <c r="EN7" s="36"/>
      <c r="EO7" s="36"/>
    </row>
    <row r="8" spans="4:145" ht="27.75" customHeight="1" thickBot="1">
      <c r="D8" s="58" t="s">
        <v>456</v>
      </c>
      <c r="E8" s="47" t="s">
        <v>455</v>
      </c>
      <c r="AA8" s="1121"/>
      <c r="AG8" s="1122" t="str">
        <f>계산_운용리스!B1</f>
        <v>Ver.241202_555L</v>
      </c>
      <c r="AL8" s="1196"/>
      <c r="AM8" s="1597" t="s">
        <v>1380</v>
      </c>
      <c r="AN8" s="1597"/>
      <c r="AO8" s="1597"/>
      <c r="AP8" s="1597"/>
      <c r="AQ8" s="1417"/>
      <c r="AR8" s="1881" t="s">
        <v>1015</v>
      </c>
      <c r="AS8" s="1882"/>
      <c r="AT8" s="1882"/>
      <c r="AU8" s="1882"/>
      <c r="AV8" s="1882"/>
      <c r="AW8" s="1882"/>
      <c r="AX8" s="1882"/>
      <c r="AY8" s="1882"/>
      <c r="AZ8" s="1882"/>
      <c r="BA8" s="1882"/>
      <c r="BB8" s="1882"/>
      <c r="BC8" s="1882"/>
      <c r="BD8" s="1882"/>
      <c r="BE8" s="1882"/>
      <c r="BF8" s="1882"/>
      <c r="BG8" s="1882"/>
      <c r="BH8" s="1882"/>
      <c r="BI8" s="1882"/>
      <c r="BJ8" s="1882"/>
      <c r="BK8" s="1882"/>
      <c r="BL8" s="1883"/>
      <c r="BM8" s="1314" t="s">
        <v>1230</v>
      </c>
      <c r="BN8" s="1533"/>
      <c r="BO8" s="1533"/>
      <c r="BP8" s="1533"/>
      <c r="BQ8" s="1533"/>
      <c r="BR8" s="1533"/>
      <c r="BS8" s="1533"/>
      <c r="BT8" s="1533"/>
      <c r="BU8" s="1533"/>
      <c r="BV8" s="1533"/>
      <c r="BW8" s="1533"/>
      <c r="BX8" s="1533"/>
      <c r="BY8" s="1533"/>
      <c r="BZ8" s="1533"/>
      <c r="CA8" s="1533"/>
      <c r="CB8" s="1533"/>
      <c r="CC8" s="1533"/>
      <c r="CD8" s="1533"/>
      <c r="CE8" s="1533"/>
      <c r="CF8" s="1533"/>
      <c r="CG8" s="1533"/>
      <c r="CH8" s="1533"/>
      <c r="CI8" s="1533"/>
      <c r="CJ8" s="1533"/>
      <c r="CK8" s="1534"/>
      <c r="CL8" s="36"/>
      <c r="CM8" s="36"/>
      <c r="CN8" s="36"/>
      <c r="CO8" s="36"/>
      <c r="CP8" s="36"/>
      <c r="CQ8" s="36"/>
      <c r="CR8" s="36"/>
      <c r="CS8" s="36"/>
      <c r="CT8" s="36"/>
      <c r="CU8" s="36"/>
      <c r="CV8" s="36"/>
      <c r="CW8" s="36"/>
      <c r="CX8" s="36"/>
      <c r="CY8" s="36"/>
      <c r="CZ8" s="36"/>
      <c r="DA8" s="36"/>
      <c r="DB8" s="36"/>
      <c r="DC8" s="36"/>
      <c r="DD8" s="36"/>
      <c r="DE8" s="36"/>
      <c r="DF8" s="36"/>
      <c r="DG8" s="36"/>
      <c r="DH8" s="36"/>
      <c r="DI8" s="36"/>
      <c r="DJ8" s="36"/>
      <c r="DK8" s="36"/>
      <c r="DL8" s="36"/>
      <c r="DM8" s="36"/>
      <c r="DN8" s="36"/>
      <c r="DO8" s="36"/>
      <c r="DP8" s="36"/>
      <c r="DQ8" s="36"/>
      <c r="DR8" s="36"/>
      <c r="DS8" s="36"/>
      <c r="DT8" s="36"/>
      <c r="DU8" s="36"/>
      <c r="DV8" s="36"/>
      <c r="DW8" s="36"/>
      <c r="DX8" s="36"/>
      <c r="DY8" s="36"/>
      <c r="DZ8" s="36"/>
      <c r="EA8" s="36"/>
      <c r="EB8" s="36"/>
      <c r="EC8" s="36"/>
      <c r="ED8" s="36"/>
      <c r="EE8" s="36"/>
      <c r="EF8" s="36"/>
      <c r="EG8" s="36"/>
      <c r="EH8" s="36"/>
      <c r="EI8" s="36"/>
      <c r="EJ8" s="36"/>
      <c r="EK8" s="36"/>
      <c r="EL8" s="36"/>
      <c r="EM8" s="36"/>
      <c r="EN8" s="36"/>
      <c r="EO8" s="36"/>
    </row>
    <row r="9" spans="4:145" ht="24" customHeight="1" thickBot="1">
      <c r="D9" s="1500" t="s">
        <v>210</v>
      </c>
      <c r="E9" s="1501"/>
      <c r="F9" s="1501"/>
      <c r="G9" s="1501"/>
      <c r="H9" s="1501"/>
      <c r="I9" s="1501"/>
      <c r="J9" s="1501"/>
      <c r="K9" s="1773" t="str">
        <f>운용리스_비교!AR6</f>
        <v>현대</v>
      </c>
      <c r="L9" s="1774"/>
      <c r="M9" s="1774"/>
      <c r="N9" s="1774"/>
      <c r="O9" s="1774"/>
      <c r="P9" s="1774"/>
      <c r="Q9" s="1774"/>
      <c r="R9" s="1774"/>
      <c r="S9" s="1774"/>
      <c r="T9" s="1774"/>
      <c r="U9" s="1774"/>
      <c r="V9" s="1774"/>
      <c r="W9" s="1774"/>
      <c r="X9" s="1774"/>
      <c r="Y9" s="1774"/>
      <c r="Z9" s="1774"/>
      <c r="AA9" s="1774"/>
      <c r="AB9" s="1774"/>
      <c r="AC9" s="1774"/>
      <c r="AD9" s="1774"/>
      <c r="AE9" s="1774"/>
      <c r="AF9" s="1774"/>
      <c r="AG9" s="1775"/>
      <c r="AL9" s="1196"/>
      <c r="AM9" s="1425" t="s">
        <v>129</v>
      </c>
      <c r="AN9" s="1426"/>
      <c r="AO9" s="1426"/>
      <c r="AP9" s="1426"/>
      <c r="AQ9" s="1426"/>
      <c r="AR9" s="1626">
        <f>VLOOKUP(AR7,차량정보!D:O,2,0)</f>
        <v>998</v>
      </c>
      <c r="AS9" s="1627"/>
      <c r="AT9" s="1627"/>
      <c r="AU9" s="1627"/>
      <c r="AV9" s="1627"/>
      <c r="AW9" s="1627"/>
      <c r="AX9" s="1627"/>
      <c r="AY9" s="1627"/>
      <c r="AZ9" s="1627"/>
      <c r="BA9" s="1627"/>
      <c r="BB9" s="1627"/>
      <c r="BC9" s="1627"/>
      <c r="BD9" s="1627"/>
      <c r="BE9" s="1627"/>
      <c r="BF9" s="1627"/>
      <c r="BG9" s="1627"/>
      <c r="BH9" s="1627"/>
      <c r="BI9" s="1627"/>
      <c r="BJ9" s="1627"/>
      <c r="BK9" s="1627"/>
      <c r="BL9" s="1628"/>
      <c r="BM9" s="1197"/>
      <c r="CF9" s="36"/>
      <c r="CG9" s="36"/>
      <c r="CH9" s="36"/>
      <c r="CI9" s="36"/>
      <c r="CJ9" s="36"/>
      <c r="CK9" s="36"/>
      <c r="CL9" s="36"/>
      <c r="CM9" s="36"/>
      <c r="CN9" s="36"/>
      <c r="CO9" s="36"/>
      <c r="CP9" s="36"/>
      <c r="CQ9" s="36"/>
      <c r="CR9" s="36"/>
      <c r="CS9" s="36"/>
      <c r="CT9" s="36"/>
      <c r="CU9" s="36"/>
      <c r="CV9" s="36"/>
      <c r="CW9" s="36"/>
      <c r="CX9" s="36"/>
      <c r="CY9" s="36"/>
      <c r="CZ9" s="36"/>
      <c r="DA9" s="36"/>
      <c r="DB9" s="36"/>
      <c r="DC9" s="36"/>
      <c r="DD9" s="36"/>
      <c r="DE9" s="36"/>
      <c r="DF9" s="36"/>
      <c r="DG9" s="36"/>
      <c r="DH9" s="36"/>
      <c r="DI9" s="36"/>
      <c r="DJ9" s="36"/>
      <c r="DK9" s="36"/>
      <c r="DL9" s="36"/>
      <c r="DM9" s="36"/>
      <c r="DN9" s="36"/>
      <c r="DO9" s="36"/>
      <c r="DP9" s="36"/>
      <c r="DQ9" s="36"/>
      <c r="DR9" s="36"/>
      <c r="DS9" s="36"/>
      <c r="DT9" s="36"/>
      <c r="DU9" s="36"/>
      <c r="DV9" s="36"/>
      <c r="DW9" s="36"/>
      <c r="DX9" s="36"/>
      <c r="DY9" s="36"/>
      <c r="DZ9" s="36"/>
      <c r="EA9" s="36"/>
      <c r="EB9" s="36"/>
      <c r="EC9" s="36"/>
      <c r="ED9" s="36"/>
      <c r="EE9" s="36"/>
      <c r="EF9" s="36"/>
      <c r="EG9" s="36"/>
      <c r="EH9" s="36"/>
      <c r="EI9" s="36"/>
      <c r="EJ9" s="36"/>
      <c r="EK9" s="36"/>
      <c r="EL9" s="36"/>
      <c r="EM9" s="36"/>
      <c r="EN9" s="36"/>
      <c r="EO9" s="36"/>
    </row>
    <row r="10" spans="4:145" ht="24" customHeight="1" thickBot="1">
      <c r="D10" s="1500" t="str">
        <f>+IF(AR5="국산","모  델  명","딜 러 사")</f>
        <v>모  델  명</v>
      </c>
      <c r="E10" s="1501"/>
      <c r="F10" s="1501"/>
      <c r="G10" s="1501"/>
      <c r="H10" s="1501"/>
      <c r="I10" s="1501"/>
      <c r="J10" s="1501"/>
      <c r="K10" s="1775" t="str">
        <f>+IF(AR5="국산",운용리스_비교!AR7,IF(AR48="기타","",AR48))</f>
        <v>레이_(가솔린)</v>
      </c>
      <c r="L10" s="1585"/>
      <c r="M10" s="1585"/>
      <c r="N10" s="1585"/>
      <c r="O10" s="1585"/>
      <c r="P10" s="1585"/>
      <c r="Q10" s="1585"/>
      <c r="R10" s="1585"/>
      <c r="S10" s="1585"/>
      <c r="T10" s="1585"/>
      <c r="U10" s="1585"/>
      <c r="V10" s="1585"/>
      <c r="W10" s="1585"/>
      <c r="X10" s="1585"/>
      <c r="Y10" s="1585"/>
      <c r="Z10" s="1585"/>
      <c r="AA10" s="1585"/>
      <c r="AB10" s="1585"/>
      <c r="AC10" s="1585"/>
      <c r="AD10" s="1585"/>
      <c r="AE10" s="1585"/>
      <c r="AF10" s="1585"/>
      <c r="AG10" s="1585"/>
      <c r="AL10" s="1196"/>
      <c r="AM10" s="1190" t="s">
        <v>426</v>
      </c>
      <c r="AN10" s="1191"/>
      <c r="AO10" s="1191"/>
      <c r="AP10" s="1191"/>
      <c r="AQ10" s="1191"/>
      <c r="AR10" s="1191"/>
      <c r="AS10" s="1191"/>
      <c r="AT10" s="1191"/>
      <c r="AU10" s="1191"/>
      <c r="AV10" s="1191"/>
      <c r="AW10" s="1191"/>
      <c r="AX10" s="1191"/>
      <c r="AY10" s="1191"/>
      <c r="AZ10" s="1191"/>
      <c r="BA10" s="1191"/>
      <c r="BB10" s="1191"/>
      <c r="BC10" s="1191"/>
      <c r="BD10" s="1191"/>
      <c r="BE10" s="1191"/>
      <c r="BF10" s="1191"/>
      <c r="BG10" s="1191"/>
      <c r="BH10" s="1191"/>
      <c r="BI10" s="1191"/>
      <c r="BJ10" s="1191"/>
      <c r="BK10" s="1191"/>
      <c r="BL10" s="1191"/>
      <c r="BM10" s="1197"/>
      <c r="BO10" s="465"/>
      <c r="BP10" s="465"/>
      <c r="BQ10" s="465"/>
    </row>
    <row r="11" spans="4:145" ht="24" customHeight="1">
      <c r="D11" s="1500" t="str">
        <f>+IF(AR5="국산","옵     션","모  델  명")</f>
        <v>옵     션</v>
      </c>
      <c r="E11" s="1501"/>
      <c r="F11" s="1501"/>
      <c r="G11" s="1501"/>
      <c r="H11" s="1501"/>
      <c r="I11" s="1501"/>
      <c r="J11" s="1501"/>
      <c r="K11" s="1834" t="str">
        <f>IF(AR5="국산",AR8,AR7)</f>
        <v>-</v>
      </c>
      <c r="L11" s="1835"/>
      <c r="M11" s="1835"/>
      <c r="N11" s="1835"/>
      <c r="O11" s="1835"/>
      <c r="P11" s="1835"/>
      <c r="Q11" s="1835"/>
      <c r="R11" s="1835"/>
      <c r="S11" s="1835"/>
      <c r="T11" s="1835"/>
      <c r="U11" s="1835"/>
      <c r="V11" s="1835"/>
      <c r="W11" s="1835"/>
      <c r="X11" s="1835"/>
      <c r="Y11" s="1835"/>
      <c r="Z11" s="1835"/>
      <c r="AA11" s="1835"/>
      <c r="AB11" s="1835"/>
      <c r="AC11" s="1835"/>
      <c r="AD11" s="1836">
        <f>운용리스_비교!AR9</f>
        <v>998</v>
      </c>
      <c r="AE11" s="1837"/>
      <c r="AF11" s="1837"/>
      <c r="AG11" s="1838"/>
      <c r="AL11" s="1196"/>
      <c r="AM11" s="1587" t="s">
        <v>430</v>
      </c>
      <c r="AN11" s="1588"/>
      <c r="AO11" s="1588"/>
      <c r="AP11" s="1588"/>
      <c r="AQ11" s="1589"/>
      <c r="AR11" s="1629">
        <v>23260000</v>
      </c>
      <c r="AS11" s="1630"/>
      <c r="AT11" s="1630"/>
      <c r="AU11" s="1630"/>
      <c r="AV11" s="1630"/>
      <c r="AW11" s="1630"/>
      <c r="AX11" s="1840"/>
      <c r="AY11" s="1840"/>
      <c r="AZ11" s="1630"/>
      <c r="BA11" s="1630"/>
      <c r="BB11" s="1630"/>
      <c r="BC11" s="1630"/>
      <c r="BD11" s="1630"/>
      <c r="BE11" s="1630"/>
      <c r="BF11" s="1630"/>
      <c r="BG11" s="1630"/>
      <c r="BH11" s="1630"/>
      <c r="BI11" s="1630"/>
      <c r="BJ11" s="1630"/>
      <c r="BK11" s="1630"/>
      <c r="BL11" s="1631"/>
      <c r="BM11" s="1197"/>
      <c r="BO11" s="1884" t="s">
        <v>2675</v>
      </c>
      <c r="BP11" s="1885"/>
      <c r="BQ11" s="1885"/>
      <c r="BR11" s="1885"/>
      <c r="BS11" s="1885"/>
      <c r="BT11" s="1885"/>
      <c r="BU11" s="1885"/>
      <c r="BV11" s="1885"/>
      <c r="BW11" s="1885"/>
      <c r="BX11" s="1885"/>
      <c r="BY11" s="1885"/>
      <c r="BZ11" s="1885"/>
      <c r="CA11" s="1885"/>
      <c r="CB11" s="1885"/>
      <c r="CC11" s="1885"/>
      <c r="CD11" s="1885"/>
      <c r="CE11" s="1885"/>
      <c r="CF11" s="1885"/>
      <c r="CG11" s="1885"/>
      <c r="CH11" s="1885"/>
      <c r="CI11" s="1885"/>
      <c r="CJ11" s="1885"/>
      <c r="CK11" s="1885"/>
      <c r="CL11" s="1885"/>
      <c r="CM11" s="1885"/>
      <c r="CN11" s="1885"/>
      <c r="CO11" s="1885"/>
      <c r="CP11" s="1885"/>
      <c r="CQ11" s="1885"/>
      <c r="CR11" s="1885"/>
      <c r="CS11" s="1885"/>
      <c r="CT11" s="61"/>
      <c r="CU11" s="61"/>
      <c r="CV11" s="61"/>
      <c r="CW11" s="61"/>
      <c r="CX11" s="61"/>
      <c r="CY11" s="61"/>
      <c r="CZ11" s="61"/>
      <c r="DA11" s="61"/>
      <c r="DB11" s="61"/>
      <c r="DC11" s="61"/>
      <c r="DD11" s="61"/>
      <c r="DE11" s="61"/>
      <c r="DF11" s="61"/>
      <c r="DG11" s="61"/>
      <c r="DH11" s="61"/>
      <c r="DI11" s="61"/>
      <c r="DJ11" s="61"/>
      <c r="DK11" s="61"/>
      <c r="DL11" s="61"/>
      <c r="DM11" s="61"/>
      <c r="DN11" s="61"/>
      <c r="DO11" s="61"/>
      <c r="DP11" s="61"/>
      <c r="DQ11" s="61"/>
      <c r="DR11" s="61"/>
      <c r="DS11" s="61"/>
      <c r="DT11" s="61"/>
      <c r="DU11" s="61"/>
      <c r="DV11" s="61"/>
      <c r="DW11" s="61"/>
      <c r="DX11" s="61"/>
      <c r="DY11" s="61"/>
      <c r="DZ11" s="61"/>
      <c r="EA11" s="61"/>
      <c r="EB11" s="61"/>
    </row>
    <row r="12" spans="4:145" ht="24" customHeight="1" thickBot="1">
      <c r="D12" s="1465" t="str">
        <f>IF(AR5="국산","차량색상(내장, 외장)","")</f>
        <v>차량색상(내장, 외장)</v>
      </c>
      <c r="E12" s="1465"/>
      <c r="F12" s="1465"/>
      <c r="G12" s="1465"/>
      <c r="H12" s="1465"/>
      <c r="I12" s="1465"/>
      <c r="J12" s="1466"/>
      <c r="K12" s="1775" t="str">
        <f>IF(AR5="국산","외장: "&amp;BN7&amp;" _"&amp;" 내장: "&amp;BN8,"")</f>
        <v xml:space="preserve">외장:  _ 내장: </v>
      </c>
      <c r="L12" s="1585"/>
      <c r="M12" s="1585"/>
      <c r="N12" s="1585"/>
      <c r="O12" s="1585"/>
      <c r="P12" s="1585"/>
      <c r="Q12" s="1585"/>
      <c r="R12" s="1585"/>
      <c r="S12" s="1585"/>
      <c r="T12" s="1585"/>
      <c r="U12" s="1585"/>
      <c r="V12" s="1585"/>
      <c r="W12" s="1585"/>
      <c r="X12" s="1585"/>
      <c r="Y12" s="1585"/>
      <c r="Z12" s="1585"/>
      <c r="AA12" s="1585"/>
      <c r="AB12" s="1585"/>
      <c r="AC12" s="1585"/>
      <c r="AD12" s="1585"/>
      <c r="AE12" s="1585"/>
      <c r="AF12" s="1585"/>
      <c r="AG12" s="1585"/>
      <c r="AL12" s="1196"/>
      <c r="AM12" s="1406" t="s">
        <v>428</v>
      </c>
      <c r="AN12" s="1422"/>
      <c r="AO12" s="1422"/>
      <c r="AP12" s="1422"/>
      <c r="AQ12" s="1422"/>
      <c r="AR12" s="1600">
        <f>IFERROR(IF(VLOOKUP(운용리스_비교!AR48,제휴조건!D5:P27,4,0)="MSRP",SUM(운용리스_비교!AR11+운용리스_비교!BE12)*VLOOKUP(운용리스_비교!AR48,제휴조건!D5:H27,5,0),0),0)</f>
        <v>0</v>
      </c>
      <c r="AS12" s="1600"/>
      <c r="AT12" s="1600"/>
      <c r="AU12" s="1600"/>
      <c r="AV12" s="1600"/>
      <c r="AW12" s="1600"/>
      <c r="AX12" s="1189"/>
      <c r="AY12" s="1189"/>
      <c r="AZ12" s="1622" t="s">
        <v>431</v>
      </c>
      <c r="BA12" s="1623"/>
      <c r="BB12" s="1623"/>
      <c r="BC12" s="1623"/>
      <c r="BD12" s="1829"/>
      <c r="BE12" s="1830">
        <v>0</v>
      </c>
      <c r="BF12" s="1624"/>
      <c r="BG12" s="1624"/>
      <c r="BH12" s="1624"/>
      <c r="BI12" s="1624"/>
      <c r="BJ12" s="1624"/>
      <c r="BK12" s="1624"/>
      <c r="BL12" s="1625"/>
      <c r="BM12" s="1197"/>
      <c r="BO12" s="1886"/>
      <c r="BP12" s="1886"/>
      <c r="BQ12" s="1886"/>
      <c r="BR12" s="1886"/>
      <c r="BS12" s="1886"/>
      <c r="BT12" s="1886"/>
      <c r="BU12" s="1886"/>
      <c r="BV12" s="1886"/>
      <c r="BW12" s="1886"/>
      <c r="BX12" s="1886"/>
      <c r="BY12" s="1886"/>
      <c r="BZ12" s="1886"/>
      <c r="CA12" s="1886"/>
      <c r="CB12" s="1886"/>
      <c r="CC12" s="1886"/>
      <c r="CD12" s="1886"/>
      <c r="CE12" s="1886"/>
      <c r="CF12" s="1886"/>
      <c r="CG12" s="1886"/>
      <c r="CH12" s="1886"/>
      <c r="CI12" s="1886"/>
      <c r="CJ12" s="1886"/>
      <c r="CK12" s="1886"/>
      <c r="CL12" s="1886"/>
      <c r="CM12" s="1886"/>
      <c r="CN12" s="1886"/>
      <c r="CO12" s="1886"/>
      <c r="CP12" s="1886"/>
      <c r="CQ12" s="1886"/>
      <c r="CR12" s="1886"/>
      <c r="CS12" s="1886"/>
      <c r="CT12" s="61"/>
      <c r="CU12" s="61"/>
      <c r="CV12" s="61"/>
      <c r="CW12" s="61"/>
      <c r="CX12" s="61"/>
      <c r="CY12" s="61"/>
      <c r="CZ12" s="61"/>
      <c r="DA12" s="61"/>
      <c r="DB12" s="61"/>
      <c r="DC12" s="61"/>
      <c r="DD12" s="61"/>
      <c r="DE12" s="61"/>
      <c r="DF12" s="61"/>
      <c r="DG12" s="61"/>
      <c r="DH12" s="61"/>
      <c r="DI12" s="61"/>
      <c r="DJ12" s="61"/>
      <c r="DK12" s="61"/>
      <c r="DL12" s="61"/>
      <c r="DM12" s="61"/>
      <c r="DN12" s="61"/>
      <c r="DO12" s="61"/>
      <c r="DP12" s="61"/>
      <c r="DQ12" s="61"/>
      <c r="DR12" s="61"/>
      <c r="DS12" s="61"/>
      <c r="DT12" s="61"/>
      <c r="DU12" s="61"/>
      <c r="DV12" s="61"/>
      <c r="DW12" s="61"/>
      <c r="DX12" s="61"/>
      <c r="DY12" s="61"/>
      <c r="DZ12" s="61"/>
      <c r="EA12" s="61"/>
      <c r="EB12" s="61"/>
    </row>
    <row r="13" spans="4:145" ht="24" customHeight="1">
      <c r="D13" s="1536" t="s">
        <v>279</v>
      </c>
      <c r="E13" s="1537"/>
      <c r="F13" s="1537"/>
      <c r="G13" s="1537"/>
      <c r="H13" s="1537"/>
      <c r="I13" s="1537"/>
      <c r="J13" s="1537"/>
      <c r="K13" s="1766">
        <f>운용리스_비교!AR11</f>
        <v>23260000</v>
      </c>
      <c r="L13" s="1767"/>
      <c r="M13" s="1767"/>
      <c r="N13" s="1767"/>
      <c r="O13" s="1767"/>
      <c r="P13" s="1767"/>
      <c r="Q13" s="1768"/>
      <c r="R13" s="43"/>
      <c r="S13" s="1537" t="s">
        <v>494</v>
      </c>
      <c r="T13" s="1537"/>
      <c r="U13" s="1537"/>
      <c r="V13" s="1537"/>
      <c r="W13" s="1537"/>
      <c r="X13" s="1537"/>
      <c r="Y13" s="1537"/>
      <c r="Z13" s="1767">
        <f>운용리스_비교!AR18</f>
        <v>95810</v>
      </c>
      <c r="AA13" s="1767"/>
      <c r="AB13" s="1767"/>
      <c r="AC13" s="1767"/>
      <c r="AD13" s="1768"/>
      <c r="AE13" s="1826"/>
      <c r="AF13" s="1827"/>
      <c r="AG13" s="1828"/>
      <c r="AL13" s="1196"/>
      <c r="AM13" s="1417" t="s">
        <v>261</v>
      </c>
      <c r="AN13" s="1418"/>
      <c r="AO13" s="1418"/>
      <c r="AP13" s="1418"/>
      <c r="AQ13" s="1418"/>
      <c r="AR13" s="1839">
        <v>0</v>
      </c>
      <c r="AS13" s="1839"/>
      <c r="AT13" s="1839"/>
      <c r="AU13" s="1839"/>
      <c r="AV13" s="1839"/>
      <c r="AW13" s="1839"/>
      <c r="AX13" s="1189"/>
      <c r="AY13" s="1189"/>
      <c r="AZ13" s="1579" t="s">
        <v>432</v>
      </c>
      <c r="BA13" s="1580"/>
      <c r="BB13" s="1580"/>
      <c r="BC13" s="1580"/>
      <c r="BD13" s="1780"/>
      <c r="BE13" s="1781">
        <f>운용리스_비교!AR12+운용리스_비교!AR13</f>
        <v>0</v>
      </c>
      <c r="BF13" s="1782"/>
      <c r="BG13" s="1782"/>
      <c r="BH13" s="1782"/>
      <c r="BI13" s="1782"/>
      <c r="BJ13" s="1782"/>
      <c r="BK13" s="1782"/>
      <c r="BL13" s="1783"/>
      <c r="BM13" s="1197"/>
      <c r="BO13" s="465"/>
      <c r="BP13" s="465"/>
      <c r="BQ13" s="465"/>
    </row>
    <row r="14" spans="4:145" ht="24" customHeight="1">
      <c r="D14" s="1536" t="s">
        <v>277</v>
      </c>
      <c r="E14" s="1537"/>
      <c r="F14" s="1537"/>
      <c r="G14" s="1537"/>
      <c r="H14" s="1537"/>
      <c r="I14" s="1537"/>
      <c r="J14" s="1537"/>
      <c r="K14" s="1766">
        <f>운용리스_비교!BE12</f>
        <v>0</v>
      </c>
      <c r="L14" s="1767"/>
      <c r="M14" s="1767"/>
      <c r="N14" s="1767"/>
      <c r="O14" s="1767"/>
      <c r="P14" s="1767"/>
      <c r="Q14" s="1768"/>
      <c r="R14" s="43"/>
      <c r="S14" s="1537" t="s">
        <v>282</v>
      </c>
      <c r="T14" s="1537"/>
      <c r="U14" s="1537"/>
      <c r="V14" s="1537"/>
      <c r="W14" s="1537"/>
      <c r="X14" s="1537"/>
      <c r="Y14" s="1537"/>
      <c r="Z14" s="1767">
        <f>운용리스_비교!AR22</f>
        <v>0</v>
      </c>
      <c r="AA14" s="1767"/>
      <c r="AB14" s="1767"/>
      <c r="AC14" s="1767"/>
      <c r="AD14" s="1768"/>
      <c r="AE14" s="1826" t="str">
        <f>IF(운용리스_비교!$BQ$20=TRUE,"(포함)","(불포함)")</f>
        <v>(포함)</v>
      </c>
      <c r="AF14" s="1827"/>
      <c r="AG14" s="1828"/>
      <c r="AI14" s="38"/>
      <c r="AJ14" s="38"/>
      <c r="AL14" s="1196"/>
      <c r="AM14" s="1406" t="s">
        <v>429</v>
      </c>
      <c r="AN14" s="1422"/>
      <c r="AO14" s="1422"/>
      <c r="AP14" s="1422"/>
      <c r="AQ14" s="1422"/>
      <c r="AR14" s="1831">
        <f>SUM(AR11,BE12)-BE13-계산_운용리스!C69</f>
        <v>23260000</v>
      </c>
      <c r="AS14" s="1832"/>
      <c r="AT14" s="1832"/>
      <c r="AU14" s="1832"/>
      <c r="AV14" s="1832"/>
      <c r="AW14" s="1832"/>
      <c r="AX14" s="1832"/>
      <c r="AY14" s="1832"/>
      <c r="AZ14" s="1832"/>
      <c r="BA14" s="1832"/>
      <c r="BB14" s="1832"/>
      <c r="BC14" s="1832"/>
      <c r="BD14" s="1832"/>
      <c r="BE14" s="1832"/>
      <c r="BF14" s="1832"/>
      <c r="BG14" s="1832"/>
      <c r="BH14" s="1832"/>
      <c r="BI14" s="1832"/>
      <c r="BJ14" s="1832"/>
      <c r="BK14" s="1832"/>
      <c r="BL14" s="1833"/>
      <c r="BM14" s="1197"/>
      <c r="BN14" s="37"/>
      <c r="BO14" s="465"/>
      <c r="BP14" s="465"/>
      <c r="BQ14" s="465"/>
      <c r="BR14" s="39"/>
      <c r="BS14" s="39"/>
      <c r="BT14" s="39"/>
      <c r="BU14" s="39"/>
      <c r="BV14" s="40"/>
      <c r="BW14" s="40"/>
      <c r="BX14" s="40"/>
      <c r="BY14" s="40"/>
      <c r="CF14" s="36"/>
    </row>
    <row r="15" spans="4:145" ht="24" customHeight="1" thickBot="1">
      <c r="D15" s="1536" t="s">
        <v>276</v>
      </c>
      <c r="E15" s="1537"/>
      <c r="F15" s="1537"/>
      <c r="G15" s="1537"/>
      <c r="H15" s="1537"/>
      <c r="I15" s="1537"/>
      <c r="J15" s="1537"/>
      <c r="K15" s="1766">
        <f>운용리스_비교!BE13</f>
        <v>0</v>
      </c>
      <c r="L15" s="1767"/>
      <c r="M15" s="1767"/>
      <c r="N15" s="1767"/>
      <c r="O15" s="1767"/>
      <c r="P15" s="1767"/>
      <c r="Q15" s="1768"/>
      <c r="R15" s="43"/>
      <c r="S15" s="1537" t="s">
        <v>280</v>
      </c>
      <c r="T15" s="1537"/>
      <c r="U15" s="1537"/>
      <c r="V15" s="1537"/>
      <c r="W15" s="1537"/>
      <c r="X15" s="1537"/>
      <c r="Y15" s="1537"/>
      <c r="Z15" s="1767">
        <f>IF(운용리스_비교!AR23="세금계산서포함",0,운용리스_비교!BC23)</f>
        <v>0</v>
      </c>
      <c r="AA15" s="1767"/>
      <c r="AB15" s="1767"/>
      <c r="AC15" s="1767"/>
      <c r="AD15" s="1768"/>
      <c r="AE15" s="1826" t="str">
        <f>IF(운용리스_비교!BQ21=TRUE,"(포함)","(불포함)")</f>
        <v>(포함)</v>
      </c>
      <c r="AF15" s="1827"/>
      <c r="AG15" s="1828"/>
      <c r="AI15" s="38"/>
      <c r="AJ15" s="38"/>
      <c r="AL15" s="1196"/>
      <c r="AM15" s="1555" t="s">
        <v>253</v>
      </c>
      <c r="AN15" s="1556"/>
      <c r="AO15" s="1556"/>
      <c r="AP15" s="1556"/>
      <c r="AQ15" s="1556"/>
      <c r="AR15" s="1609">
        <f>AR14+IF(BQ21=TRUE,IF(AR5="국산",운용리스_비교!BC23,0))</f>
        <v>23260000</v>
      </c>
      <c r="AS15" s="1610"/>
      <c r="AT15" s="1610"/>
      <c r="AU15" s="1610"/>
      <c r="AV15" s="1610"/>
      <c r="AW15" s="1610"/>
      <c r="AX15" s="1610"/>
      <c r="AY15" s="1610"/>
      <c r="AZ15" s="1610"/>
      <c r="BA15" s="1610"/>
      <c r="BB15" s="1610"/>
      <c r="BC15" s="1610"/>
      <c r="BD15" s="1610"/>
      <c r="BE15" s="1610"/>
      <c r="BF15" s="1610"/>
      <c r="BG15" s="1610"/>
      <c r="BH15" s="1610"/>
      <c r="BI15" s="1610"/>
      <c r="BJ15" s="1610"/>
      <c r="BK15" s="1610"/>
      <c r="BL15" s="1611"/>
      <c r="BM15" s="1197"/>
      <c r="BN15" s="127"/>
      <c r="BO15" s="465"/>
      <c r="BP15" s="465"/>
      <c r="BQ15" s="465"/>
      <c r="BR15" s="129"/>
      <c r="BS15" s="129"/>
      <c r="BT15" s="129"/>
      <c r="BU15" s="129"/>
      <c r="BV15" s="130"/>
      <c r="BW15" s="130"/>
      <c r="BX15" s="130"/>
      <c r="BY15" s="130"/>
      <c r="CF15" s="36"/>
    </row>
    <row r="16" spans="4:145" ht="24" customHeight="1">
      <c r="D16" s="1500" t="s">
        <v>278</v>
      </c>
      <c r="E16" s="1501"/>
      <c r="F16" s="1501"/>
      <c r="G16" s="1501"/>
      <c r="H16" s="1501"/>
      <c r="I16" s="1501"/>
      <c r="J16" s="1501"/>
      <c r="K16" s="1762">
        <f>운용리스_비교!AR15</f>
        <v>23260000</v>
      </c>
      <c r="L16" s="1763"/>
      <c r="M16" s="1763"/>
      <c r="N16" s="1763"/>
      <c r="O16" s="1763"/>
      <c r="P16" s="1763"/>
      <c r="Q16" s="1764"/>
      <c r="R16" s="44"/>
      <c r="S16" s="1537" t="s">
        <v>281</v>
      </c>
      <c r="T16" s="1537"/>
      <c r="U16" s="1537"/>
      <c r="V16" s="1537"/>
      <c r="W16" s="1537"/>
      <c r="X16" s="1537"/>
      <c r="Y16" s="1537"/>
      <c r="Z16" s="1767">
        <f>운용리스_비교!BC24</f>
        <v>0</v>
      </c>
      <c r="AA16" s="1767"/>
      <c r="AB16" s="1767"/>
      <c r="AC16" s="1767"/>
      <c r="AD16" s="1768"/>
      <c r="AE16" s="1826" t="str">
        <f>IF(운용리스_비교!BQ22=TRUE,"(포함)","(불포함)")</f>
        <v>(불포함)</v>
      </c>
      <c r="AF16" s="1827"/>
      <c r="AG16" s="1828"/>
      <c r="AK16" s="38"/>
      <c r="AL16" s="1196"/>
      <c r="AM16" s="1871" t="str">
        <f>IF(RIGHT(AR7,4)="(EV)","전기차 견적은 운용리스_단일 견적시트 이용","■ 초기비용/등록정보")</f>
        <v>■ 초기비용/등록정보</v>
      </c>
      <c r="AN16" s="1871"/>
      <c r="AO16" s="1871"/>
      <c r="AP16" s="1871"/>
      <c r="AQ16" s="1871"/>
      <c r="AR16" s="1871"/>
      <c r="AS16" s="1871"/>
      <c r="AT16" s="1871"/>
      <c r="AU16" s="1871"/>
      <c r="AV16" s="1871"/>
      <c r="AW16" s="1871"/>
      <c r="AX16" s="1871"/>
      <c r="AY16" s="1871"/>
      <c r="AZ16" s="1871"/>
      <c r="BA16" s="1871"/>
      <c r="BB16" s="1871"/>
      <c r="BC16" s="1871"/>
      <c r="BD16" s="1871"/>
      <c r="BE16" s="1871"/>
      <c r="BF16" s="1871"/>
      <c r="BG16" s="1871"/>
      <c r="BH16" s="1871"/>
      <c r="BI16" s="1871"/>
      <c r="BJ16" s="1871"/>
      <c r="BK16" s="1871"/>
      <c r="BL16" s="1871"/>
      <c r="BM16" s="1197"/>
      <c r="BN16" s="128"/>
      <c r="BO16" s="1884" t="s">
        <v>1134</v>
      </c>
      <c r="BP16" s="1885"/>
      <c r="BQ16" s="1885"/>
      <c r="BR16" s="1885"/>
      <c r="BS16" s="1885"/>
      <c r="BT16" s="1885"/>
      <c r="BU16" s="1885"/>
      <c r="BV16" s="1885"/>
      <c r="BW16" s="1885"/>
      <c r="BX16" s="1885"/>
      <c r="BY16" s="1885"/>
      <c r="BZ16" s="1885"/>
      <c r="CA16" s="1885"/>
      <c r="CB16" s="1885"/>
      <c r="CC16" s="1885"/>
      <c r="CD16" s="1885"/>
      <c r="CE16" s="1885"/>
      <c r="CF16" s="1885"/>
      <c r="CG16" s="1885"/>
      <c r="CH16" s="1885"/>
      <c r="CI16" s="1885"/>
      <c r="CJ16" s="1885"/>
      <c r="CK16" s="1885"/>
      <c r="CL16" s="1885"/>
      <c r="CM16" s="1885"/>
      <c r="CN16" s="1885"/>
      <c r="CO16" s="1885"/>
      <c r="CP16" s="1885"/>
      <c r="CQ16" s="1885"/>
      <c r="CR16" s="1885"/>
      <c r="CS16" s="1885"/>
      <c r="CT16" s="61"/>
      <c r="CU16" s="61"/>
      <c r="CV16" s="61"/>
      <c r="CW16" s="61"/>
      <c r="CX16" s="61"/>
      <c r="CY16" s="61"/>
      <c r="CZ16" s="61"/>
      <c r="DA16" s="61"/>
      <c r="DB16" s="61"/>
      <c r="DC16" s="61"/>
      <c r="DD16" s="61"/>
      <c r="DE16" s="61"/>
      <c r="DF16" s="61"/>
      <c r="DG16" s="61"/>
      <c r="DH16" s="61"/>
      <c r="DI16" s="61"/>
      <c r="DJ16" s="61"/>
      <c r="DK16" s="61"/>
      <c r="DL16" s="61"/>
      <c r="DM16" s="61"/>
      <c r="DN16" s="61"/>
      <c r="DO16" s="61"/>
      <c r="DP16" s="61"/>
      <c r="DQ16" s="61"/>
      <c r="DR16" s="61"/>
      <c r="DS16" s="61"/>
      <c r="DT16" s="61"/>
      <c r="DU16" s="61"/>
      <c r="DV16" s="61"/>
      <c r="DW16" s="61"/>
      <c r="DX16" s="61"/>
      <c r="DY16" s="61"/>
      <c r="DZ16" s="61"/>
      <c r="EA16" s="61"/>
      <c r="EB16" s="61"/>
    </row>
    <row r="17" spans="4:135" ht="18" thickBot="1">
      <c r="D17" s="1769" t="s">
        <v>283</v>
      </c>
      <c r="E17" s="1770"/>
      <c r="F17" s="1770"/>
      <c r="G17" s="1770"/>
      <c r="H17" s="1770"/>
      <c r="I17" s="1770"/>
      <c r="J17" s="1770"/>
      <c r="K17" s="1771">
        <f>운용리스_비교!AR26</f>
        <v>23355810</v>
      </c>
      <c r="L17" s="1772"/>
      <c r="M17" s="1772"/>
      <c r="N17" s="1772"/>
      <c r="O17" s="1772"/>
      <c r="P17" s="1772"/>
      <c r="Q17" s="1772"/>
      <c r="R17" s="89"/>
      <c r="S17" s="1765" t="s">
        <v>498</v>
      </c>
      <c r="T17" s="1765"/>
      <c r="U17" s="1765"/>
      <c r="V17" s="1765"/>
      <c r="W17" s="1765"/>
      <c r="X17" s="1765"/>
      <c r="Y17" s="1765"/>
      <c r="Z17" s="1866">
        <f>SUM(Z13:AD16)</f>
        <v>95810</v>
      </c>
      <c r="AA17" s="1866"/>
      <c r="AB17" s="1866"/>
      <c r="AC17" s="1866"/>
      <c r="AD17" s="1867"/>
      <c r="AE17" s="1868"/>
      <c r="AF17" s="1869"/>
      <c r="AG17" s="1870"/>
      <c r="AK17" s="38"/>
      <c r="AL17" s="1196"/>
      <c r="AM17" s="1871"/>
      <c r="AN17" s="1871"/>
      <c r="AO17" s="1871"/>
      <c r="AP17" s="1871"/>
      <c r="AQ17" s="1871"/>
      <c r="AR17" s="1871"/>
      <c r="AS17" s="1871"/>
      <c r="AT17" s="1871"/>
      <c r="AU17" s="1871"/>
      <c r="AV17" s="1871"/>
      <c r="AW17" s="1871"/>
      <c r="AX17" s="1871"/>
      <c r="AY17" s="1871"/>
      <c r="AZ17" s="1871"/>
      <c r="BA17" s="1871"/>
      <c r="BB17" s="1871"/>
      <c r="BC17" s="1871"/>
      <c r="BD17" s="1871"/>
      <c r="BE17" s="1871"/>
      <c r="BF17" s="1871"/>
      <c r="BG17" s="1871"/>
      <c r="BH17" s="1871"/>
      <c r="BI17" s="1871"/>
      <c r="BJ17" s="1871"/>
      <c r="BK17" s="1871"/>
      <c r="BL17" s="1871"/>
      <c r="BM17" s="1197"/>
      <c r="BN17" s="128"/>
      <c r="BO17" s="1886"/>
      <c r="BP17" s="1886"/>
      <c r="BQ17" s="1886"/>
      <c r="BR17" s="1886"/>
      <c r="BS17" s="1886"/>
      <c r="BT17" s="1886"/>
      <c r="BU17" s="1886"/>
      <c r="BV17" s="1886"/>
      <c r="BW17" s="1886"/>
      <c r="BX17" s="1886"/>
      <c r="BY17" s="1886"/>
      <c r="BZ17" s="1886"/>
      <c r="CA17" s="1886"/>
      <c r="CB17" s="1886"/>
      <c r="CC17" s="1886"/>
      <c r="CD17" s="1886"/>
      <c r="CE17" s="1886"/>
      <c r="CF17" s="1886"/>
      <c r="CG17" s="1886"/>
      <c r="CH17" s="1886"/>
      <c r="CI17" s="1886"/>
      <c r="CJ17" s="1886"/>
      <c r="CK17" s="1886"/>
      <c r="CL17" s="1886"/>
      <c r="CM17" s="1886"/>
      <c r="CN17" s="1886"/>
      <c r="CO17" s="1886"/>
      <c r="CP17" s="1886"/>
      <c r="CQ17" s="1886"/>
      <c r="CR17" s="1886"/>
      <c r="CS17" s="1886"/>
      <c r="CT17" s="61"/>
      <c r="CU17" s="61"/>
      <c r="CV17" s="61"/>
      <c r="CW17" s="61"/>
      <c r="CX17" s="61"/>
      <c r="CY17" s="61"/>
      <c r="CZ17" s="61"/>
      <c r="DA17" s="61"/>
      <c r="DB17" s="61"/>
      <c r="DC17" s="61"/>
      <c r="DD17" s="61"/>
      <c r="DE17" s="61"/>
      <c r="DF17" s="61"/>
      <c r="DG17" s="61"/>
      <c r="DH17" s="61"/>
      <c r="DI17" s="61"/>
      <c r="DJ17" s="61"/>
      <c r="DK17" s="61"/>
      <c r="DL17" s="61"/>
      <c r="DM17" s="61"/>
      <c r="DN17" s="61"/>
      <c r="DO17" s="61"/>
      <c r="DP17" s="61"/>
      <c r="DQ17" s="61"/>
      <c r="DR17" s="61"/>
      <c r="DS17" s="61"/>
      <c r="DT17" s="61"/>
      <c r="DU17" s="61"/>
      <c r="DV17" s="61"/>
      <c r="DW17" s="61"/>
      <c r="DX17" s="61"/>
      <c r="DY17" s="61"/>
      <c r="DZ17" s="61"/>
      <c r="EA17" s="61"/>
      <c r="EB17" s="61"/>
    </row>
    <row r="18" spans="4:135">
      <c r="D18" s="82"/>
      <c r="E18" s="82"/>
      <c r="F18" s="82"/>
      <c r="G18" s="82"/>
      <c r="H18" s="82"/>
      <c r="I18" s="82"/>
      <c r="J18" s="82"/>
      <c r="K18" s="83"/>
      <c r="L18" s="83"/>
      <c r="M18" s="83"/>
      <c r="N18" s="83"/>
      <c r="O18" s="83"/>
      <c r="P18" s="83"/>
      <c r="Q18" s="83"/>
      <c r="R18" s="84"/>
      <c r="S18" s="85"/>
      <c r="T18" s="85"/>
      <c r="U18" s="85"/>
      <c r="V18" s="85"/>
      <c r="W18" s="85"/>
      <c r="X18" s="85"/>
      <c r="Y18" s="85"/>
      <c r="Z18" s="86"/>
      <c r="AA18" s="86"/>
      <c r="AB18" s="86"/>
      <c r="AC18" s="86"/>
      <c r="AD18" s="86"/>
      <c r="AE18" s="87"/>
      <c r="AF18" s="87"/>
      <c r="AG18" s="87"/>
      <c r="AK18" s="38"/>
      <c r="AL18" s="1196"/>
      <c r="AM18" s="1522" t="s">
        <v>45</v>
      </c>
      <c r="AN18" s="1522"/>
      <c r="AO18" s="1522"/>
      <c r="AP18" s="1522"/>
      <c r="AQ18" s="1523"/>
      <c r="AR18" s="1634">
        <f>IF($BQ$19=FALSE,계산_운용리스!C8,BC19)</f>
        <v>95810</v>
      </c>
      <c r="AS18" s="1635"/>
      <c r="AT18" s="1635"/>
      <c r="AU18" s="1635"/>
      <c r="AV18" s="1635"/>
      <c r="AW18" s="1635"/>
      <c r="AX18" s="1635"/>
      <c r="AY18" s="1635"/>
      <c r="AZ18" s="1635"/>
      <c r="BA18" s="1635"/>
      <c r="BB18" s="1635"/>
      <c r="BC18" s="1635"/>
      <c r="BD18" s="1635"/>
      <c r="BE18" s="1635"/>
      <c r="BF18" s="1635"/>
      <c r="BG18" s="1635"/>
      <c r="BH18" s="1635"/>
      <c r="BI18" s="1635"/>
      <c r="BJ18" s="1635"/>
      <c r="BK18" s="1635"/>
      <c r="BL18" s="1636"/>
      <c r="BM18" s="1197"/>
      <c r="BN18" s="128"/>
      <c r="BO18" s="128"/>
      <c r="BP18" s="128"/>
      <c r="BQ18" s="131" t="b">
        <v>1</v>
      </c>
      <c r="BR18" s="128"/>
      <c r="BS18" s="128"/>
      <c r="BT18" s="128"/>
      <c r="BU18" s="128"/>
      <c r="BV18" s="128"/>
      <c r="BW18" s="128"/>
      <c r="BX18" s="128"/>
      <c r="BY18" s="128"/>
    </row>
    <row r="19" spans="4:135">
      <c r="D19" s="58" t="s">
        <v>456</v>
      </c>
      <c r="E19" s="47" t="s">
        <v>450</v>
      </c>
      <c r="K19" s="1736" t="s">
        <v>460</v>
      </c>
      <c r="L19" s="1736"/>
      <c r="Q19" s="56"/>
      <c r="S19" s="1736" t="s">
        <v>461</v>
      </c>
      <c r="T19" s="1736"/>
      <c r="U19" s="42"/>
      <c r="W19" s="42"/>
      <c r="X19" s="42"/>
      <c r="Y19" s="60"/>
      <c r="AA19" s="1736" t="s">
        <v>462</v>
      </c>
      <c r="AB19" s="1736"/>
      <c r="AG19" s="56"/>
      <c r="AL19" s="1196"/>
      <c r="AM19" s="1524"/>
      <c r="AN19" s="1524"/>
      <c r="AO19" s="1524"/>
      <c r="AP19" s="1524"/>
      <c r="AQ19" s="1525"/>
      <c r="AR19" s="1910"/>
      <c r="AS19" s="1911"/>
      <c r="AT19" s="1911"/>
      <c r="AU19" s="1911"/>
      <c r="AV19" s="1911"/>
      <c r="AW19" s="1911"/>
      <c r="AX19" s="1911"/>
      <c r="AY19" s="1911"/>
      <c r="AZ19" s="1911"/>
      <c r="BA19" s="1911"/>
      <c r="BB19" s="1911"/>
      <c r="BC19" s="1559">
        <v>0</v>
      </c>
      <c r="BD19" s="1559"/>
      <c r="BE19" s="1559"/>
      <c r="BF19" s="1559"/>
      <c r="BG19" s="1559"/>
      <c r="BH19" s="1559"/>
      <c r="BI19" s="1559"/>
      <c r="BJ19" s="1559"/>
      <c r="BK19" s="1559"/>
      <c r="BL19" s="1560"/>
      <c r="BM19" s="1198"/>
      <c r="BN19" s="129"/>
      <c r="BO19" s="128"/>
      <c r="BP19" s="132" t="s">
        <v>464</v>
      </c>
      <c r="BQ19" s="133" t="b">
        <v>0</v>
      </c>
      <c r="BR19" s="128"/>
      <c r="BS19" s="128"/>
      <c r="BT19" s="128"/>
      <c r="BU19" s="128"/>
      <c r="BV19" s="128"/>
      <c r="BW19" s="128"/>
      <c r="BX19" s="128"/>
      <c r="BY19" s="128"/>
    </row>
    <row r="20" spans="4:135" ht="17.25">
      <c r="D20" s="1500" t="s">
        <v>284</v>
      </c>
      <c r="E20" s="1501"/>
      <c r="F20" s="1501"/>
      <c r="G20" s="1501"/>
      <c r="H20" s="1501"/>
      <c r="I20" s="1501"/>
      <c r="J20" s="1501"/>
      <c r="K20" s="1746">
        <f>운용리스_비교!AR28</f>
        <v>36</v>
      </c>
      <c r="L20" s="1747"/>
      <c r="M20" s="1747"/>
      <c r="N20" s="1747"/>
      <c r="O20" s="1747"/>
      <c r="P20" s="1747"/>
      <c r="Q20" s="1748"/>
      <c r="R20" s="66"/>
      <c r="S20" s="1749">
        <f>운용리스_비교!AY28</f>
        <v>48</v>
      </c>
      <c r="T20" s="1750"/>
      <c r="U20" s="1750"/>
      <c r="V20" s="1750"/>
      <c r="W20" s="1750"/>
      <c r="X20" s="1750"/>
      <c r="Y20" s="1751"/>
      <c r="Z20" s="66"/>
      <c r="AA20" s="1746">
        <f>운용리스_비교!BF28</f>
        <v>60</v>
      </c>
      <c r="AB20" s="1747"/>
      <c r="AC20" s="1747"/>
      <c r="AD20" s="1747"/>
      <c r="AE20" s="1747"/>
      <c r="AF20" s="1747"/>
      <c r="AG20" s="1748"/>
      <c r="AL20" s="1196"/>
      <c r="AM20" s="1406" t="s">
        <v>8</v>
      </c>
      <c r="AN20" s="1422"/>
      <c r="AO20" s="1422"/>
      <c r="AP20" s="1422"/>
      <c r="AQ20" s="1422"/>
      <c r="AR20" s="1912" t="s">
        <v>255</v>
      </c>
      <c r="AS20" s="1808"/>
      <c r="AT20" s="1808"/>
      <c r="AU20" s="1808"/>
      <c r="AV20" s="1808"/>
      <c r="AW20" s="1808"/>
      <c r="AX20" s="1808"/>
      <c r="AY20" s="1808"/>
      <c r="AZ20" s="1808"/>
      <c r="BA20" s="1808"/>
      <c r="BB20" s="1808"/>
      <c r="BC20" s="1808"/>
      <c r="BD20" s="1808"/>
      <c r="BE20" s="1808"/>
      <c r="BF20" s="1808"/>
      <c r="BG20" s="1808"/>
      <c r="BH20" s="1808"/>
      <c r="BI20" s="1808"/>
      <c r="BJ20" s="1808"/>
      <c r="BK20" s="1808"/>
      <c r="BL20" s="1821"/>
      <c r="BM20" s="1197"/>
      <c r="BN20" s="128"/>
      <c r="BO20" s="128"/>
      <c r="BP20" s="132" t="s">
        <v>463</v>
      </c>
      <c r="BQ20" s="133" t="b">
        <v>1</v>
      </c>
      <c r="BR20" s="128"/>
      <c r="BS20" s="128"/>
      <c r="BT20" s="128"/>
      <c r="BU20" s="128"/>
      <c r="BV20" s="128"/>
      <c r="BW20" s="128"/>
      <c r="BX20" s="128"/>
      <c r="BY20" s="128"/>
      <c r="CF20" s="36"/>
      <c r="CG20" s="36"/>
      <c r="CH20" s="36"/>
      <c r="CI20" s="36"/>
      <c r="CJ20" s="36"/>
      <c r="CK20" s="36"/>
      <c r="CL20" s="36"/>
      <c r="CM20" s="36"/>
      <c r="CN20" s="36"/>
      <c r="CO20" s="36"/>
      <c r="CP20" s="36"/>
      <c r="CQ20" s="36"/>
      <c r="CR20" s="36"/>
      <c r="CS20" s="36"/>
      <c r="CT20" s="36"/>
      <c r="CU20" s="36"/>
      <c r="CV20" s="36"/>
      <c r="CW20" s="36"/>
      <c r="CX20" s="36"/>
      <c r="CY20" s="36"/>
      <c r="CZ20" s="36"/>
      <c r="DA20" s="36"/>
      <c r="DB20" s="36"/>
      <c r="DC20" s="36"/>
      <c r="DD20" s="36"/>
      <c r="DE20" s="36"/>
      <c r="DF20" s="36"/>
      <c r="DG20" s="36"/>
      <c r="DH20" s="36"/>
      <c r="DI20" s="36"/>
      <c r="DJ20" s="36"/>
      <c r="DK20" s="36"/>
      <c r="DL20" s="36"/>
      <c r="DM20" s="36"/>
      <c r="DN20" s="36"/>
      <c r="DO20" s="36"/>
    </row>
    <row r="21" spans="4:135" ht="17.25" customHeight="1" thickBot="1">
      <c r="D21" s="1500" t="s">
        <v>529</v>
      </c>
      <c r="E21" s="1501"/>
      <c r="F21" s="1501"/>
      <c r="G21" s="1501"/>
      <c r="H21" s="1501"/>
      <c r="I21" s="1501"/>
      <c r="J21" s="1501"/>
      <c r="K21" s="1754">
        <f>운용리스_비교!AR41</f>
        <v>20000</v>
      </c>
      <c r="L21" s="1755"/>
      <c r="M21" s="1755"/>
      <c r="N21" s="1755"/>
      <c r="O21" s="1755"/>
      <c r="P21" s="1755"/>
      <c r="Q21" s="1756"/>
      <c r="R21" s="66"/>
      <c r="S21" s="1757">
        <f>운용리스_비교!AY41</f>
        <v>20000</v>
      </c>
      <c r="T21" s="1758"/>
      <c r="U21" s="1758"/>
      <c r="V21" s="1758"/>
      <c r="W21" s="1758"/>
      <c r="X21" s="1758"/>
      <c r="Y21" s="1759"/>
      <c r="Z21" s="66"/>
      <c r="AA21" s="1754">
        <f>운용리스_비교!BF41</f>
        <v>20000</v>
      </c>
      <c r="AB21" s="1755"/>
      <c r="AC21" s="1755"/>
      <c r="AD21" s="1755"/>
      <c r="AE21" s="1755"/>
      <c r="AF21" s="1755"/>
      <c r="AG21" s="1756"/>
      <c r="AL21" s="1196"/>
      <c r="AM21" s="1406" t="s">
        <v>52</v>
      </c>
      <c r="AN21" s="1422"/>
      <c r="AO21" s="1422"/>
      <c r="AP21" s="1422"/>
      <c r="AQ21" s="1422"/>
      <c r="AR21" s="1557"/>
      <c r="AS21" s="1558"/>
      <c r="AT21" s="1558"/>
      <c r="AU21" s="1558"/>
      <c r="AV21" s="1558"/>
      <c r="AW21" s="1558"/>
      <c r="AX21" s="1558"/>
      <c r="AY21" s="1558"/>
      <c r="AZ21" s="1558"/>
      <c r="BA21" s="1558"/>
      <c r="BB21" s="1558"/>
      <c r="BC21" s="1900">
        <v>0.1</v>
      </c>
      <c r="BD21" s="1900"/>
      <c r="BE21" s="1900"/>
      <c r="BF21" s="1900"/>
      <c r="BG21" s="1900"/>
      <c r="BH21" s="1900"/>
      <c r="BI21" s="1900"/>
      <c r="BJ21" s="1900"/>
      <c r="BK21" s="1900"/>
      <c r="BL21" s="1901"/>
      <c r="BM21" s="1198"/>
      <c r="BN21" s="128"/>
      <c r="BO21" s="128"/>
      <c r="BP21" s="132" t="s">
        <v>56</v>
      </c>
      <c r="BQ21" s="133" t="b">
        <v>1</v>
      </c>
      <c r="BR21" s="128"/>
      <c r="BS21" s="128"/>
      <c r="BT21" s="128"/>
      <c r="BU21" s="128"/>
      <c r="BV21" s="128"/>
      <c r="BW21" s="128"/>
      <c r="BX21" s="128"/>
      <c r="BY21" s="128"/>
      <c r="CF21" s="36"/>
      <c r="CG21" s="36"/>
      <c r="CH21" s="36"/>
      <c r="CI21" s="36"/>
      <c r="CJ21" s="36"/>
      <c r="CK21" s="36"/>
      <c r="CL21" s="36"/>
      <c r="CM21" s="36"/>
      <c r="CN21" s="36"/>
      <c r="CO21" s="36"/>
      <c r="CP21" s="36"/>
      <c r="CQ21" s="36"/>
      <c r="CR21" s="36"/>
      <c r="CS21" s="36"/>
      <c r="CT21" s="36"/>
      <c r="CU21" s="36"/>
      <c r="CV21" s="36"/>
      <c r="CW21" s="36"/>
      <c r="CX21" s="36"/>
      <c r="CY21" s="36"/>
      <c r="CZ21" s="36"/>
      <c r="DA21" s="36"/>
      <c r="DB21" s="36"/>
      <c r="DC21" s="36"/>
      <c r="DD21" s="36"/>
      <c r="DE21" s="36"/>
      <c r="DF21" s="36"/>
      <c r="DG21" s="36"/>
      <c r="DH21" s="36"/>
      <c r="DI21" s="36"/>
      <c r="DJ21" s="36"/>
      <c r="DK21" s="36"/>
      <c r="DL21" s="36"/>
      <c r="DM21" s="36"/>
      <c r="DN21" s="36"/>
      <c r="DO21" s="36"/>
      <c r="DT21" s="571" t="s">
        <v>929</v>
      </c>
      <c r="DU21" s="572"/>
      <c r="DW21" s="571" t="s">
        <v>938</v>
      </c>
      <c r="DX21" s="571"/>
      <c r="DY21" s="571"/>
      <c r="DZ21" s="571"/>
      <c r="EA21" s="571"/>
      <c r="EB21" s="571"/>
      <c r="EC21" s="581"/>
      <c r="ED21" s="571" t="s">
        <v>939</v>
      </c>
      <c r="EE21" s="581"/>
    </row>
    <row r="22" spans="4:135" ht="16.5" customHeight="1">
      <c r="D22" s="1500" t="s">
        <v>7</v>
      </c>
      <c r="E22" s="1501"/>
      <c r="F22" s="1501"/>
      <c r="G22" s="1501"/>
      <c r="H22" s="1501"/>
      <c r="I22" s="1501"/>
      <c r="J22" s="1501"/>
      <c r="K22" s="1732">
        <f>IF(운용리스_비교!AR29="취득원가기준",운용리스_비교!AU30/운용리스_비교!$AR$26,운용리스_비교!AU30/운용리스_비교!$AR$14)</f>
        <v>0</v>
      </c>
      <c r="L22" s="1733"/>
      <c r="M22" s="1752">
        <f>운용리스_비교!AU30</f>
        <v>0</v>
      </c>
      <c r="N22" s="1752"/>
      <c r="O22" s="1752"/>
      <c r="P22" s="1752"/>
      <c r="Q22" s="1752"/>
      <c r="S22" s="1760">
        <f>IF(운용리스_비교!AY29="취득원가기준",운용리스_비교!BB30/운용리스_비교!$AR$26,운용리스_비교!BB30/운용리스_비교!$AR$14)</f>
        <v>0</v>
      </c>
      <c r="T22" s="1733"/>
      <c r="U22" s="1737">
        <f>운용리스_비교!BB30</f>
        <v>0</v>
      </c>
      <c r="V22" s="1737"/>
      <c r="W22" s="1737"/>
      <c r="X22" s="1737"/>
      <c r="Y22" s="1737"/>
      <c r="AA22" s="1760">
        <f>IF(운용리스_비교!BF29="취득원가기준",운용리스_비교!BI30/운용리스_비교!$AR$26,운용리스_비교!BI30/운용리스_비교!$AR$14)</f>
        <v>0</v>
      </c>
      <c r="AB22" s="1733"/>
      <c r="AC22" s="1752">
        <f>운용리스_비교!BI30</f>
        <v>0</v>
      </c>
      <c r="AD22" s="1752"/>
      <c r="AE22" s="1752"/>
      <c r="AF22" s="1752"/>
      <c r="AG22" s="1752"/>
      <c r="AL22" s="1196"/>
      <c r="AM22" s="1406"/>
      <c r="AN22" s="1422"/>
      <c r="AO22" s="1422"/>
      <c r="AP22" s="1422"/>
      <c r="AQ22" s="1422"/>
      <c r="AR22" s="1902">
        <f>계산_운용리스!C10</f>
        <v>0</v>
      </c>
      <c r="AS22" s="1903"/>
      <c r="AT22" s="1903"/>
      <c r="AU22" s="1903"/>
      <c r="AV22" s="1903"/>
      <c r="AW22" s="1903"/>
      <c r="AX22" s="1903"/>
      <c r="AY22" s="1903"/>
      <c r="AZ22" s="1903"/>
      <c r="BA22" s="1903"/>
      <c r="BB22" s="1903"/>
      <c r="BC22" s="1903"/>
      <c r="BD22" s="1903"/>
      <c r="BE22" s="1903"/>
      <c r="BF22" s="1903"/>
      <c r="BG22" s="1903"/>
      <c r="BH22" s="1903"/>
      <c r="BI22" s="1903"/>
      <c r="BJ22" s="1903"/>
      <c r="BK22" s="1903"/>
      <c r="BL22" s="1904"/>
      <c r="BM22" s="1198"/>
      <c r="BN22" s="128"/>
      <c r="BO22" s="128"/>
      <c r="BP22" s="145" t="s">
        <v>465</v>
      </c>
      <c r="BQ22" s="133" t="b">
        <v>0</v>
      </c>
      <c r="BR22" s="128"/>
      <c r="BS22" s="128"/>
      <c r="BT22" s="128"/>
      <c r="BU22" s="128"/>
      <c r="BV22" s="128"/>
      <c r="BW22" s="128"/>
      <c r="BX22" s="128"/>
      <c r="BY22" s="128"/>
      <c r="CF22" s="36"/>
      <c r="CG22" s="36"/>
      <c r="CH22" s="36"/>
      <c r="CI22" s="36"/>
      <c r="CJ22" s="36"/>
      <c r="CK22" s="36"/>
      <c r="CL22" s="36"/>
      <c r="CM22" s="36"/>
      <c r="CN22" s="36"/>
      <c r="CO22" s="36"/>
      <c r="CP22" s="36"/>
      <c r="CQ22" s="36"/>
      <c r="CR22" s="36"/>
      <c r="CS22" s="36"/>
      <c r="CT22" s="36"/>
      <c r="CU22" s="36"/>
      <c r="CV22" s="36"/>
      <c r="CW22" s="36"/>
      <c r="CX22" s="36"/>
      <c r="CY22" s="36"/>
      <c r="CZ22" s="36"/>
      <c r="DA22" s="36"/>
      <c r="DB22" s="36"/>
      <c r="DC22" s="36"/>
      <c r="DD22" s="36"/>
      <c r="DE22" s="36"/>
      <c r="DF22" s="36"/>
      <c r="DG22" s="36"/>
      <c r="DH22" s="36"/>
      <c r="DI22" s="36"/>
      <c r="DJ22" s="36"/>
      <c r="DK22" s="36"/>
      <c r="DL22" s="36"/>
      <c r="DM22" s="36"/>
      <c r="DN22" s="36"/>
      <c r="DO22" s="36"/>
      <c r="DT22" s="573" t="s">
        <v>930</v>
      </c>
      <c r="DU22" s="574">
        <v>100000</v>
      </c>
      <c r="DW22" s="1898" t="s">
        <v>940</v>
      </c>
      <c r="DX22" s="1899"/>
      <c r="DY22" s="1899"/>
      <c r="DZ22" s="1872">
        <f>SUM(DZ24:EA25,DZ26,DZ27,DZ28,DZ29,DZ30,DZ31,DZ33,DZ34)</f>
        <v>0</v>
      </c>
      <c r="EA22" s="1873"/>
      <c r="EB22" s="582"/>
      <c r="EC22" s="581"/>
      <c r="ED22" s="581"/>
      <c r="EE22" s="582">
        <f>EB22+EE25+EE26</f>
        <v>44000</v>
      </c>
    </row>
    <row r="23" spans="4:135">
      <c r="D23" s="1500"/>
      <c r="E23" s="1501"/>
      <c r="F23" s="1501"/>
      <c r="G23" s="1501"/>
      <c r="H23" s="1501"/>
      <c r="I23" s="1501"/>
      <c r="J23" s="1501"/>
      <c r="K23" s="1734"/>
      <c r="L23" s="1735"/>
      <c r="M23" s="1753"/>
      <c r="N23" s="1753"/>
      <c r="O23" s="1753"/>
      <c r="P23" s="1753"/>
      <c r="Q23" s="1753"/>
      <c r="S23" s="1761"/>
      <c r="T23" s="1735"/>
      <c r="U23" s="1738"/>
      <c r="V23" s="1738"/>
      <c r="W23" s="1738"/>
      <c r="X23" s="1738"/>
      <c r="Y23" s="1738"/>
      <c r="AA23" s="1761"/>
      <c r="AB23" s="1735"/>
      <c r="AC23" s="1753"/>
      <c r="AD23" s="1753"/>
      <c r="AE23" s="1753"/>
      <c r="AF23" s="1753"/>
      <c r="AG23" s="1753"/>
      <c r="AL23" s="1196"/>
      <c r="AM23" s="1406" t="str">
        <f>+IF(AR5="수입","탁 송 료","1차탁송료")</f>
        <v>1차탁송료</v>
      </c>
      <c r="AN23" s="1422"/>
      <c r="AO23" s="1422"/>
      <c r="AP23" s="1422"/>
      <c r="AQ23" s="1422"/>
      <c r="AR23" s="1557"/>
      <c r="AS23" s="1558"/>
      <c r="AT23" s="1558"/>
      <c r="AU23" s="1558"/>
      <c r="AV23" s="1558"/>
      <c r="AW23" s="1558"/>
      <c r="AX23" s="1558"/>
      <c r="AY23" s="1558"/>
      <c r="AZ23" s="1558"/>
      <c r="BA23" s="1558"/>
      <c r="BB23" s="1558"/>
      <c r="BC23" s="1559">
        <v>0</v>
      </c>
      <c r="BD23" s="1559"/>
      <c r="BE23" s="1559"/>
      <c r="BF23" s="1559"/>
      <c r="BG23" s="1559"/>
      <c r="BH23" s="1559"/>
      <c r="BI23" s="1559"/>
      <c r="BJ23" s="1559"/>
      <c r="BK23" s="1559"/>
      <c r="BL23" s="1560"/>
      <c r="BM23" s="1198"/>
      <c r="BN23" s="128"/>
      <c r="BO23" s="128"/>
      <c r="BP23" s="145" t="s">
        <v>466</v>
      </c>
      <c r="BQ23" s="133" t="b">
        <v>0</v>
      </c>
      <c r="BR23" s="128"/>
      <c r="BS23" s="128"/>
      <c r="BT23" s="128"/>
      <c r="BU23" s="128"/>
      <c r="BV23" s="128"/>
      <c r="BW23" s="128"/>
      <c r="BX23" s="128"/>
      <c r="BY23" s="128"/>
      <c r="CF23" s="36"/>
      <c r="CG23" s="36"/>
      <c r="CH23" s="36"/>
      <c r="CI23" s="36"/>
      <c r="CJ23" s="36"/>
      <c r="CK23" s="36"/>
      <c r="CL23" s="36"/>
      <c r="CM23" s="36"/>
      <c r="CN23" s="36"/>
      <c r="CO23" s="36"/>
      <c r="CP23" s="36"/>
      <c r="CQ23" s="36"/>
      <c r="CR23" s="36"/>
      <c r="CS23" s="36"/>
      <c r="CT23" s="36"/>
      <c r="CU23" s="36"/>
      <c r="CV23" s="36"/>
      <c r="CW23" s="36"/>
      <c r="CX23" s="36"/>
      <c r="CY23" s="36"/>
      <c r="CZ23" s="36"/>
      <c r="DA23" s="36"/>
      <c r="DB23" s="36"/>
      <c r="DC23" s="36"/>
      <c r="DD23" s="36"/>
      <c r="DE23" s="36"/>
      <c r="DF23" s="36"/>
      <c r="DG23" s="36"/>
      <c r="DH23" s="36"/>
      <c r="DI23" s="36"/>
      <c r="DJ23" s="36"/>
      <c r="DK23" s="36"/>
      <c r="DL23" s="36"/>
      <c r="DM23" s="36"/>
      <c r="DN23" s="36"/>
      <c r="DO23" s="36"/>
      <c r="DT23" s="575" t="s">
        <v>931</v>
      </c>
      <c r="DU23" s="576">
        <v>110000</v>
      </c>
      <c r="DW23" s="1874"/>
      <c r="DX23" s="583" t="s">
        <v>941</v>
      </c>
      <c r="DY23" s="584"/>
      <c r="DZ23" s="1877">
        <f>SUM(DZ24:EA25)</f>
        <v>0</v>
      </c>
      <c r="EA23" s="1878"/>
      <c r="EB23" s="571"/>
      <c r="EC23" s="581"/>
      <c r="ED23" s="581"/>
      <c r="EE23" s="581"/>
    </row>
    <row r="24" spans="4:135" ht="17.25" thickBot="1">
      <c r="D24" s="1500" t="s">
        <v>258</v>
      </c>
      <c r="E24" s="1501"/>
      <c r="F24" s="1501"/>
      <c r="G24" s="1501"/>
      <c r="H24" s="1501"/>
      <c r="I24" s="1501"/>
      <c r="J24" s="1501"/>
      <c r="K24" s="1732">
        <f>IF(운용리스_비교!AR32="취득원가기준",운용리스_비교!AU33/운용리스_비교!$AR$26,운용리스_비교!AU33/운용리스_비교!$AR$14)</f>
        <v>0</v>
      </c>
      <c r="L24" s="1733"/>
      <c r="M24" s="1752">
        <f>운용리스_비교!AU33</f>
        <v>0</v>
      </c>
      <c r="N24" s="1752"/>
      <c r="O24" s="1752"/>
      <c r="P24" s="1752"/>
      <c r="Q24" s="1752"/>
      <c r="S24" s="1760">
        <f>IF(운용리스_비교!AY32="취득원가기준",운용리스_비교!BB33/운용리스_비교!$AR$26,운용리스_비교!BB33/운용리스_비교!$AR$14)</f>
        <v>0</v>
      </c>
      <c r="T24" s="1733"/>
      <c r="U24" s="1737">
        <f>운용리스_비교!BB33</f>
        <v>0</v>
      </c>
      <c r="V24" s="1737"/>
      <c r="W24" s="1737"/>
      <c r="X24" s="1737"/>
      <c r="Y24" s="1737"/>
      <c r="AA24" s="1760">
        <f>IF(운용리스_비교!BF32="취득원가기준",운용리스_비교!BI33/운용리스_비교!$AR$26,운용리스_비교!BI33/운용리스_비교!$AR$14)</f>
        <v>0</v>
      </c>
      <c r="AB24" s="1733"/>
      <c r="AC24" s="1752">
        <f>운용리스_비교!BI33</f>
        <v>0</v>
      </c>
      <c r="AD24" s="1752"/>
      <c r="AE24" s="1752"/>
      <c r="AF24" s="1752"/>
      <c r="AG24" s="1752"/>
      <c r="AL24" s="1196"/>
      <c r="AM24" s="1406" t="s">
        <v>61</v>
      </c>
      <c r="AN24" s="1422"/>
      <c r="AO24" s="1422"/>
      <c r="AP24" s="1422"/>
      <c r="AQ24" s="1422"/>
      <c r="AR24" s="1557"/>
      <c r="AS24" s="1558"/>
      <c r="AT24" s="1558"/>
      <c r="AU24" s="1558"/>
      <c r="AV24" s="1558"/>
      <c r="AW24" s="1558"/>
      <c r="AX24" s="1558"/>
      <c r="AY24" s="1558"/>
      <c r="AZ24" s="1558"/>
      <c r="BA24" s="1558"/>
      <c r="BB24" s="1558"/>
      <c r="BC24" s="1559">
        <v>0</v>
      </c>
      <c r="BD24" s="1559"/>
      <c r="BE24" s="1559"/>
      <c r="BF24" s="1559"/>
      <c r="BG24" s="1559"/>
      <c r="BH24" s="1559"/>
      <c r="BI24" s="1559"/>
      <c r="BJ24" s="1559"/>
      <c r="BK24" s="1559"/>
      <c r="BL24" s="1560"/>
      <c r="BM24" s="1197"/>
      <c r="BN24" s="128"/>
      <c r="BO24" s="128"/>
      <c r="BP24" s="132" t="s">
        <v>682</v>
      </c>
      <c r="BQ24" s="133" t="b">
        <v>1</v>
      </c>
      <c r="BR24" s="128"/>
      <c r="BS24" s="128"/>
      <c r="BT24" s="128"/>
      <c r="BU24" s="128"/>
      <c r="BV24" s="128"/>
      <c r="BW24" s="128"/>
      <c r="BX24" s="128"/>
      <c r="BY24" s="128"/>
      <c r="CF24" s="36"/>
      <c r="CG24" s="36"/>
      <c r="CH24" s="36"/>
      <c r="CI24" s="36"/>
      <c r="CJ24" s="36"/>
      <c r="CK24" s="36"/>
      <c r="CL24" s="36"/>
      <c r="CM24" s="36"/>
      <c r="CN24" s="36"/>
      <c r="CO24" s="36"/>
      <c r="CP24" s="36"/>
      <c r="CQ24" s="36"/>
      <c r="CR24" s="36"/>
      <c r="CS24" s="36"/>
      <c r="CT24" s="36"/>
      <c r="CU24" s="36"/>
      <c r="CV24" s="36"/>
      <c r="CW24" s="36"/>
      <c r="CX24" s="36"/>
      <c r="CY24" s="36"/>
      <c r="CZ24" s="36"/>
      <c r="DA24" s="36"/>
      <c r="DB24" s="36"/>
      <c r="DC24" s="36"/>
      <c r="DD24" s="36"/>
      <c r="DE24" s="36"/>
      <c r="DF24" s="36"/>
      <c r="DG24" s="36"/>
      <c r="DH24" s="36"/>
      <c r="DI24" s="36"/>
      <c r="DJ24" s="36"/>
      <c r="DK24" s="36"/>
      <c r="DL24" s="36"/>
      <c r="DM24" s="36"/>
      <c r="DN24" s="36"/>
      <c r="DO24" s="36"/>
      <c r="DT24" s="577" t="s">
        <v>932</v>
      </c>
      <c r="DU24" s="578">
        <v>0</v>
      </c>
      <c r="DW24" s="1874"/>
      <c r="DX24" s="1879"/>
      <c r="DY24" s="584" t="s">
        <v>942</v>
      </c>
      <c r="DZ24" s="1877">
        <f>CV23</f>
        <v>0</v>
      </c>
      <c r="EA24" s="1878"/>
      <c r="EB24" s="571"/>
      <c r="EC24" s="581"/>
      <c r="ED24" s="581"/>
      <c r="EE24" s="581"/>
    </row>
    <row r="25" spans="4:135" ht="17.25" thickBot="1">
      <c r="D25" s="1500"/>
      <c r="E25" s="1501"/>
      <c r="F25" s="1501"/>
      <c r="G25" s="1501"/>
      <c r="H25" s="1501"/>
      <c r="I25" s="1501"/>
      <c r="J25" s="1501"/>
      <c r="K25" s="1734"/>
      <c r="L25" s="1735"/>
      <c r="M25" s="1753"/>
      <c r="N25" s="1753"/>
      <c r="O25" s="1753"/>
      <c r="P25" s="1753"/>
      <c r="Q25" s="1753"/>
      <c r="S25" s="1761"/>
      <c r="T25" s="1735"/>
      <c r="U25" s="1738"/>
      <c r="V25" s="1738"/>
      <c r="W25" s="1738"/>
      <c r="X25" s="1738"/>
      <c r="Y25" s="1738"/>
      <c r="AA25" s="1761"/>
      <c r="AB25" s="1735"/>
      <c r="AC25" s="1753"/>
      <c r="AD25" s="1753"/>
      <c r="AE25" s="1753"/>
      <c r="AF25" s="1753"/>
      <c r="AG25" s="1753"/>
      <c r="AL25" s="1196"/>
      <c r="AM25" s="1646" t="s">
        <v>443</v>
      </c>
      <c r="AN25" s="1647"/>
      <c r="AO25" s="1647"/>
      <c r="AP25" s="1647"/>
      <c r="AQ25" s="1647"/>
      <c r="AR25" s="1557"/>
      <c r="AS25" s="1558"/>
      <c r="AT25" s="1558"/>
      <c r="AU25" s="1558"/>
      <c r="AV25" s="1558"/>
      <c r="AW25" s="1558"/>
      <c r="AX25" s="1558"/>
      <c r="AY25" s="1558"/>
      <c r="AZ25" s="1558"/>
      <c r="BA25" s="1558"/>
      <c r="BB25" s="1558"/>
      <c r="BC25" s="1908">
        <f>IF(BQ23=TRUE,ROUNDUP(계산_운용리스!C18/12,-1),0)</f>
        <v>0</v>
      </c>
      <c r="BD25" s="1908"/>
      <c r="BE25" s="1908"/>
      <c r="BF25" s="1908"/>
      <c r="BG25" s="1908"/>
      <c r="BH25" s="1908"/>
      <c r="BI25" s="1908"/>
      <c r="BJ25" s="1908"/>
      <c r="BK25" s="1908"/>
      <c r="BL25" s="1909"/>
      <c r="BM25" s="1197"/>
      <c r="BN25" s="128"/>
      <c r="BO25" s="128"/>
      <c r="BP25" s="128"/>
      <c r="BQ25" s="128" t="b">
        <f>OR(IF(운용리스_비교!M22+운용리스_비교!M24+운용리스_비교!M26&gt;(K17*95%),1,0))</f>
        <v>0</v>
      </c>
      <c r="BR25" s="134"/>
      <c r="BS25" s="134"/>
      <c r="BT25" s="134"/>
      <c r="BU25" s="128"/>
      <c r="BV25" s="128"/>
      <c r="BW25" s="128"/>
      <c r="BX25" s="128"/>
      <c r="BY25" s="128"/>
      <c r="CF25" s="36"/>
      <c r="CG25" s="36"/>
      <c r="CH25" s="36"/>
      <c r="CI25" s="36"/>
      <c r="CJ25" s="36"/>
      <c r="CK25" s="36"/>
      <c r="CL25" s="36"/>
      <c r="CM25" s="36"/>
      <c r="CN25" s="36"/>
      <c r="CO25" s="36"/>
      <c r="CP25" s="36"/>
      <c r="CQ25" s="36"/>
      <c r="CR25" s="36"/>
      <c r="CS25" s="36"/>
      <c r="CT25" s="36"/>
      <c r="CU25" s="36"/>
      <c r="CV25" s="36"/>
      <c r="CW25" s="36"/>
      <c r="CX25" s="36"/>
      <c r="CY25" s="36"/>
      <c r="CZ25" s="36"/>
      <c r="DA25" s="36"/>
      <c r="DB25" s="36"/>
      <c r="DC25" s="36"/>
      <c r="DD25" s="36"/>
      <c r="DE25" s="36"/>
      <c r="DF25" s="36"/>
      <c r="DG25" s="36"/>
      <c r="DH25" s="36"/>
      <c r="DI25" s="36"/>
      <c r="DJ25" s="36"/>
      <c r="DK25" s="36"/>
      <c r="DL25" s="36"/>
      <c r="DM25" s="36"/>
      <c r="DN25" s="36"/>
      <c r="DO25" s="36"/>
      <c r="DW25" s="1874"/>
      <c r="DX25" s="1880"/>
      <c r="DY25" s="583" t="s">
        <v>943</v>
      </c>
      <c r="DZ25" s="1887">
        <f>DZ24*10%</f>
        <v>0</v>
      </c>
      <c r="EA25" s="1888"/>
      <c r="EB25" s="571"/>
      <c r="EC25" s="581"/>
      <c r="ED25" s="581"/>
      <c r="EE25" s="585">
        <v>33000</v>
      </c>
    </row>
    <row r="26" spans="4:135" ht="18" customHeight="1" thickBot="1">
      <c r="D26" s="1500" t="s">
        <v>286</v>
      </c>
      <c r="E26" s="1501"/>
      <c r="F26" s="1501"/>
      <c r="G26" s="1501"/>
      <c r="H26" s="1501"/>
      <c r="I26" s="1501"/>
      <c r="J26" s="1501"/>
      <c r="K26" s="1732">
        <f>IF(운용리스_비교!AR35="취득원가기준",운용리스_비교!AU36/운용리스_비교!$AR$26,운용리스_비교!AU36/운용리스_비교!$AR$14)</f>
        <v>0.6</v>
      </c>
      <c r="L26" s="1733"/>
      <c r="M26" s="1752">
        <f>운용리스_비교!AU36</f>
        <v>13956000</v>
      </c>
      <c r="N26" s="1752"/>
      <c r="O26" s="1752"/>
      <c r="P26" s="1752"/>
      <c r="Q26" s="1752"/>
      <c r="R26" s="46"/>
      <c r="S26" s="1760">
        <f>IF(운용리스_비교!AY35="취득원가기준",운용리스_비교!BB36/운용리스_비교!$AR$26,운용리스_비교!BB36/운용리스_비교!$AR$14)</f>
        <v>0.52996560619088562</v>
      </c>
      <c r="T26" s="1733"/>
      <c r="U26" s="1737">
        <f>운용리스_비교!BB36</f>
        <v>12327000</v>
      </c>
      <c r="V26" s="1737"/>
      <c r="W26" s="1737"/>
      <c r="X26" s="1737"/>
      <c r="Y26" s="1737"/>
      <c r="Z26" s="46"/>
      <c r="AA26" s="1760">
        <f>IF(운용리스_비교!BF35="취득원가기준",운용리스_비교!BI36/운용리스_비교!$AR$26,운용리스_비교!BI36/운용리스_비교!$AR$14)</f>
        <v>0.45</v>
      </c>
      <c r="AB26" s="1733"/>
      <c r="AC26" s="1752">
        <f>운용리스_비교!BI36</f>
        <v>10467000</v>
      </c>
      <c r="AD26" s="1752"/>
      <c r="AE26" s="1752"/>
      <c r="AF26" s="1752"/>
      <c r="AG26" s="1752"/>
      <c r="AL26" s="1196"/>
      <c r="AM26" s="1425" t="s">
        <v>42</v>
      </c>
      <c r="AN26" s="1426"/>
      <c r="AO26" s="1426"/>
      <c r="AP26" s="1426"/>
      <c r="AQ26" s="1426"/>
      <c r="AR26" s="1519">
        <f>계산_운용리스!C28</f>
        <v>23355810</v>
      </c>
      <c r="AS26" s="1520"/>
      <c r="AT26" s="1520"/>
      <c r="AU26" s="1520"/>
      <c r="AV26" s="1520"/>
      <c r="AW26" s="1520"/>
      <c r="AX26" s="1520"/>
      <c r="AY26" s="1520"/>
      <c r="AZ26" s="1520"/>
      <c r="BA26" s="1520"/>
      <c r="BB26" s="1520"/>
      <c r="BC26" s="1520"/>
      <c r="BD26" s="1520"/>
      <c r="BE26" s="1520"/>
      <c r="BF26" s="1520"/>
      <c r="BG26" s="1520"/>
      <c r="BH26" s="1520"/>
      <c r="BI26" s="1520"/>
      <c r="BJ26" s="1520"/>
      <c r="BK26" s="1520"/>
      <c r="BL26" s="1521"/>
      <c r="BM26" s="1197"/>
      <c r="BN26" s="135"/>
      <c r="BO26" s="128"/>
      <c r="BP26" s="128" t="s">
        <v>543</v>
      </c>
      <c r="BQ26" s="136" t="b">
        <f>IF(AR5="수입",IF(BC24&lt;=100000,TRUE,FALSE),TRUE)</f>
        <v>1</v>
      </c>
      <c r="BR26" s="128"/>
      <c r="BS26" s="128"/>
      <c r="BT26" s="128"/>
      <c r="BU26" s="128"/>
      <c r="BV26" s="128"/>
      <c r="BW26" s="128"/>
      <c r="BX26" s="128"/>
      <c r="BY26" s="128"/>
      <c r="CF26" s="36"/>
      <c r="CG26" s="36"/>
      <c r="CH26" s="36"/>
      <c r="CI26" s="36"/>
      <c r="CJ26" s="36"/>
      <c r="CK26" s="36"/>
      <c r="CL26" s="36"/>
      <c r="CM26" s="36"/>
      <c r="CN26" s="36"/>
      <c r="CO26" s="36"/>
      <c r="CP26" s="36"/>
      <c r="CQ26" s="36"/>
      <c r="CR26" s="36"/>
      <c r="CS26" s="36"/>
      <c r="CT26" s="36"/>
      <c r="CU26" s="36"/>
      <c r="CV26" s="36"/>
      <c r="CW26" s="36"/>
      <c r="CX26" s="36"/>
      <c r="CY26" s="36"/>
      <c r="CZ26" s="36"/>
      <c r="DA26" s="36"/>
      <c r="DB26" s="36"/>
      <c r="DC26" s="36"/>
      <c r="DD26" s="36"/>
      <c r="DE26" s="36"/>
      <c r="DF26" s="36"/>
      <c r="DG26" s="36"/>
      <c r="DH26" s="36"/>
      <c r="DI26" s="36"/>
      <c r="DJ26" s="36"/>
      <c r="DK26" s="36"/>
      <c r="DL26" s="36"/>
      <c r="DM26" s="36"/>
      <c r="DN26" s="36"/>
      <c r="DO26" s="36"/>
      <c r="DT26" s="571" t="s">
        <v>933</v>
      </c>
      <c r="DW26" s="1875"/>
      <c r="DX26" s="1889" t="s">
        <v>980</v>
      </c>
      <c r="DY26" s="1890"/>
      <c r="DZ26" s="1891" t="str">
        <f>IF(CN22="제휴탁송사",44000,"")</f>
        <v/>
      </c>
      <c r="EA26" s="1892"/>
      <c r="EB26" s="586"/>
      <c r="EC26" s="587">
        <f>EB26*10%</f>
        <v>0</v>
      </c>
      <c r="ED26" s="581"/>
      <c r="EE26" s="585">
        <v>11000</v>
      </c>
    </row>
    <row r="27" spans="4:135" ht="17.25" thickBot="1">
      <c r="D27" s="1500"/>
      <c r="E27" s="1501"/>
      <c r="F27" s="1501"/>
      <c r="G27" s="1501"/>
      <c r="H27" s="1501"/>
      <c r="I27" s="1501"/>
      <c r="J27" s="1501"/>
      <c r="K27" s="1734"/>
      <c r="L27" s="1735"/>
      <c r="M27" s="1753"/>
      <c r="N27" s="1753"/>
      <c r="O27" s="1753"/>
      <c r="P27" s="1753"/>
      <c r="Q27" s="1753"/>
      <c r="S27" s="1761"/>
      <c r="T27" s="1735"/>
      <c r="U27" s="1738"/>
      <c r="V27" s="1738"/>
      <c r="W27" s="1738"/>
      <c r="X27" s="1738"/>
      <c r="Y27" s="1738"/>
      <c r="AA27" s="1761"/>
      <c r="AB27" s="1735"/>
      <c r="AC27" s="1753"/>
      <c r="AD27" s="1753"/>
      <c r="AE27" s="1753"/>
      <c r="AF27" s="1753"/>
      <c r="AG27" s="1753"/>
      <c r="AL27" s="1196"/>
      <c r="AM27" s="1190" t="s">
        <v>256</v>
      </c>
      <c r="AN27" s="1191"/>
      <c r="AO27" s="1191"/>
      <c r="AP27" s="1191"/>
      <c r="AQ27" s="1191"/>
      <c r="AR27" s="1191"/>
      <c r="AS27" s="1191"/>
      <c r="AT27" s="1191"/>
      <c r="AU27" s="1191"/>
      <c r="AV27" s="1191"/>
      <c r="AW27" s="1191"/>
      <c r="AX27" s="1191"/>
      <c r="AY27" s="1191"/>
      <c r="AZ27" s="1191"/>
      <c r="BA27" s="1191"/>
      <c r="BB27" s="1191"/>
      <c r="BC27" s="1191"/>
      <c r="BD27" s="1191"/>
      <c r="BE27" s="1191"/>
      <c r="BF27" s="1191"/>
      <c r="BG27" s="1191"/>
      <c r="BH27" s="1191"/>
      <c r="BI27" s="1191"/>
      <c r="BJ27" s="1191"/>
      <c r="BK27" s="1191"/>
      <c r="BL27" s="1191"/>
      <c r="BM27" s="1197"/>
      <c r="BN27" s="135"/>
      <c r="BO27" s="128"/>
      <c r="BP27" s="128"/>
      <c r="BQ27" s="136"/>
      <c r="BR27" s="137"/>
      <c r="BS27" s="128"/>
      <c r="BT27" s="128"/>
      <c r="BU27" s="128"/>
      <c r="BV27" s="128"/>
      <c r="BW27" s="128"/>
      <c r="BX27" s="128"/>
      <c r="BY27" s="128"/>
      <c r="CF27" s="36"/>
      <c r="CG27" s="36"/>
      <c r="CH27" s="36"/>
      <c r="CI27" s="36"/>
      <c r="CJ27" s="36"/>
      <c r="CK27" s="36"/>
      <c r="CL27" s="36"/>
      <c r="CM27" s="36"/>
      <c r="CN27" s="36"/>
      <c r="CO27" s="36"/>
      <c r="CP27" s="36"/>
      <c r="CQ27" s="36"/>
      <c r="CR27" s="36"/>
      <c r="CS27" s="36"/>
      <c r="CT27" s="36"/>
      <c r="CU27" s="36"/>
      <c r="CV27" s="36"/>
      <c r="CW27" s="36"/>
      <c r="CX27" s="36"/>
      <c r="CY27" s="36"/>
      <c r="CZ27" s="36"/>
      <c r="DA27" s="36"/>
      <c r="DB27" s="36"/>
      <c r="DC27" s="36"/>
      <c r="DD27" s="36"/>
      <c r="DE27" s="36"/>
      <c r="DF27" s="36"/>
      <c r="DG27" s="36"/>
      <c r="DH27" s="36"/>
      <c r="DI27" s="36"/>
      <c r="DJ27" s="36"/>
      <c r="DK27" s="36"/>
      <c r="DL27" s="36"/>
      <c r="DM27" s="36"/>
      <c r="DN27" s="36"/>
      <c r="DO27" s="36"/>
      <c r="DT27" s="579" t="s">
        <v>934</v>
      </c>
      <c r="DW27" s="1875"/>
      <c r="DX27" s="1893" t="s">
        <v>983</v>
      </c>
      <c r="DY27" s="1894"/>
      <c r="DZ27" s="1895">
        <f>+INDEX($DZ$41:$EA$42,MATCH(DX41,$DZ$40:$EA$40,0),MATCH($DX$42,$DY$41:$DY$42,0))</f>
        <v>0</v>
      </c>
      <c r="EA27" s="1896"/>
      <c r="EB27" s="588"/>
      <c r="EC27" s="587">
        <f>EB27*10%</f>
        <v>0</v>
      </c>
      <c r="ED27" s="581"/>
      <c r="EE27" s="581"/>
    </row>
    <row r="28" spans="4:135" ht="18" thickBot="1">
      <c r="D28" s="1741" t="s">
        <v>454</v>
      </c>
      <c r="E28" s="1742"/>
      <c r="F28" s="1742"/>
      <c r="G28" s="1742"/>
      <c r="H28" s="1742"/>
      <c r="I28" s="1742"/>
      <c r="J28" s="1742"/>
      <c r="K28" s="1743">
        <f>IF(계산_운용리스!AD11=FALSE,FALSE,IF(계산_운용리스!AD12=FALSE,FALSE,IF(계산_운용리스!AD13=FALSE,FALSE,IF(계산_운용리스!AD14=FALSE,FALSE,(계산_운용리스!AD17)))))</f>
        <v>396200</v>
      </c>
      <c r="L28" s="1744"/>
      <c r="M28" s="1744"/>
      <c r="N28" s="1744"/>
      <c r="O28" s="1744"/>
      <c r="P28" s="1744"/>
      <c r="Q28" s="1745"/>
      <c r="S28" s="1743">
        <f>IF(계산_운용리스!AH11=FALSE,FALSE,IF(계산_운용리스!AH12=FALSE,FALSE,IF(계산_운용리스!AH13=FALSE,FALSE,IF(계산_운용리스!AH14=FALSE,FALSE,(계산_운용리스!AH17)))))</f>
        <v>353800</v>
      </c>
      <c r="T28" s="1744"/>
      <c r="U28" s="1744"/>
      <c r="V28" s="1744"/>
      <c r="W28" s="1744"/>
      <c r="X28" s="1744"/>
      <c r="Y28" s="1745"/>
      <c r="AA28" s="1743">
        <f>IF(계산_운용리스!AL11=FALSE,FALSE,IF(계산_운용리스!AL12=FALSE,FALSE,IF(계산_운용리스!AL13=FALSE,FALSE,IF(계산_운용리스!AL14=FALSE,FALSE,(계산_운용리스!AL17)))))</f>
        <v>330100</v>
      </c>
      <c r="AB28" s="1744"/>
      <c r="AC28" s="1744"/>
      <c r="AD28" s="1744"/>
      <c r="AE28" s="1744"/>
      <c r="AF28" s="1744"/>
      <c r="AG28" s="1745"/>
      <c r="AL28" s="1196"/>
      <c r="AM28" s="1431" t="s">
        <v>9</v>
      </c>
      <c r="AN28" s="1432"/>
      <c r="AO28" s="1432"/>
      <c r="AP28" s="1432"/>
      <c r="AQ28" s="1432"/>
      <c r="AR28" s="1794">
        <v>36</v>
      </c>
      <c r="AS28" s="1790"/>
      <c r="AT28" s="1790"/>
      <c r="AU28" s="1790"/>
      <c r="AV28" s="1790"/>
      <c r="AW28" s="1790"/>
      <c r="AX28" s="1790"/>
      <c r="AY28" s="1790">
        <v>48</v>
      </c>
      <c r="AZ28" s="1790"/>
      <c r="BA28" s="1790"/>
      <c r="BB28" s="1790"/>
      <c r="BC28" s="1790"/>
      <c r="BD28" s="1790"/>
      <c r="BE28" s="1790"/>
      <c r="BF28" s="1789">
        <v>60</v>
      </c>
      <c r="BG28" s="1790"/>
      <c r="BH28" s="1790"/>
      <c r="BI28" s="1790"/>
      <c r="BJ28" s="1790"/>
      <c r="BK28" s="1790"/>
      <c r="BL28" s="1791"/>
      <c r="BM28" s="1197"/>
      <c r="BN28" s="135"/>
      <c r="BO28" s="128"/>
      <c r="BP28" s="128"/>
      <c r="BQ28" s="136"/>
      <c r="BR28" s="128"/>
      <c r="BS28" s="128" t="s">
        <v>548</v>
      </c>
      <c r="BT28" s="128"/>
      <c r="BU28" s="128"/>
      <c r="BV28" s="128"/>
      <c r="BW28" s="128"/>
      <c r="BX28" s="128"/>
      <c r="BY28" s="128"/>
      <c r="DT28" s="580" t="s">
        <v>935</v>
      </c>
      <c r="DW28" s="1875"/>
      <c r="DX28" s="1893" t="s">
        <v>945</v>
      </c>
      <c r="DY28" s="1894"/>
      <c r="DZ28" s="1895" t="str">
        <f>+IF(CN22="제휴탁송사",2500,"")</f>
        <v/>
      </c>
      <c r="EA28" s="1896"/>
      <c r="EB28" s="589"/>
      <c r="EC28" s="581"/>
      <c r="ED28" s="581"/>
      <c r="EE28" s="581"/>
    </row>
    <row r="29" spans="4:135">
      <c r="D29" s="1500" t="s">
        <v>308</v>
      </c>
      <c r="E29" s="1501"/>
      <c r="F29" s="1501"/>
      <c r="G29" s="1501"/>
      <c r="H29" s="1501"/>
      <c r="I29" s="1501"/>
      <c r="J29" s="1501"/>
      <c r="K29" s="1851">
        <f>운용리스_비교!$BC$25</f>
        <v>0</v>
      </c>
      <c r="L29" s="1852"/>
      <c r="M29" s="1852"/>
      <c r="N29" s="1852"/>
      <c r="O29" s="1852"/>
      <c r="P29" s="1852"/>
      <c r="Q29" s="1853"/>
      <c r="S29" s="1848">
        <f>운용리스_비교!$BC$25</f>
        <v>0</v>
      </c>
      <c r="T29" s="1849"/>
      <c r="U29" s="1849"/>
      <c r="V29" s="1849"/>
      <c r="W29" s="1849"/>
      <c r="X29" s="1849"/>
      <c r="Y29" s="1850"/>
      <c r="AA29" s="1851">
        <f>운용리스_비교!$BC$25</f>
        <v>0</v>
      </c>
      <c r="AB29" s="1852"/>
      <c r="AC29" s="1852"/>
      <c r="AD29" s="1852"/>
      <c r="AE29" s="1852"/>
      <c r="AF29" s="1852"/>
      <c r="AG29" s="1853"/>
      <c r="AL29" s="1196"/>
      <c r="AM29" s="1405" t="s">
        <v>7</v>
      </c>
      <c r="AN29" s="1405"/>
      <c r="AO29" s="1405"/>
      <c r="AP29" s="1405"/>
      <c r="AQ29" s="1406"/>
      <c r="AR29" s="1807" t="s">
        <v>257</v>
      </c>
      <c r="AS29" s="1808"/>
      <c r="AT29" s="1808"/>
      <c r="AU29" s="1808"/>
      <c r="AV29" s="1808"/>
      <c r="AW29" s="1808"/>
      <c r="AX29" s="1808"/>
      <c r="AY29" s="1808" t="s">
        <v>257</v>
      </c>
      <c r="AZ29" s="1808"/>
      <c r="BA29" s="1808"/>
      <c r="BB29" s="1808"/>
      <c r="BC29" s="1808"/>
      <c r="BD29" s="1808"/>
      <c r="BE29" s="1808"/>
      <c r="BF29" s="1808" t="s">
        <v>257</v>
      </c>
      <c r="BG29" s="1808"/>
      <c r="BH29" s="1808"/>
      <c r="BI29" s="1808"/>
      <c r="BJ29" s="1808"/>
      <c r="BK29" s="1808"/>
      <c r="BL29" s="1821"/>
      <c r="BM29" s="1197"/>
      <c r="BN29" s="135"/>
      <c r="BO29" s="128"/>
      <c r="BP29" s="128" t="s">
        <v>475</v>
      </c>
      <c r="BQ29" s="138">
        <v>0.65</v>
      </c>
      <c r="BR29" s="128" t="s">
        <v>545</v>
      </c>
      <c r="BS29" s="139">
        <f>ROUNDDOWN(AR14*65%,-3)</f>
        <v>15119000</v>
      </c>
      <c r="BT29" s="139" t="s">
        <v>580</v>
      </c>
      <c r="BU29" s="128"/>
      <c r="BV29" s="128"/>
      <c r="BW29" s="128" t="s">
        <v>547</v>
      </c>
      <c r="BX29" s="128" t="s">
        <v>581</v>
      </c>
      <c r="BY29" s="128"/>
      <c r="DW29" s="1875"/>
      <c r="DX29" s="1893" t="s">
        <v>981</v>
      </c>
      <c r="DY29" s="1894"/>
      <c r="DZ29" s="1895" t="str">
        <f>+IF(CN22="제휴탁송사",11000,"")</f>
        <v/>
      </c>
      <c r="EA29" s="1896"/>
      <c r="EB29" s="588"/>
      <c r="EC29" s="581"/>
      <c r="ED29" s="581"/>
      <c r="EE29" s="581"/>
    </row>
    <row r="30" spans="4:135" ht="17.25" thickBot="1">
      <c r="D30" s="1857" t="s">
        <v>287</v>
      </c>
      <c r="E30" s="1858"/>
      <c r="F30" s="1858"/>
      <c r="G30" s="1858"/>
      <c r="H30" s="1858"/>
      <c r="I30" s="1858"/>
      <c r="J30" s="1858"/>
      <c r="K30" s="1854">
        <f ca="1">IF(AU39=FALSE,FALSE,IF(운용리스_단일!EK18&gt;=0,"시효경과",IF(계산_운용리스!S84="취급불가","48/60 3만 취급불가",IF(BY30=TRUE,FALSE,IF(BT30=TRUE,FALSE,IF(계산_운용리스!AD11=FALSE,FALSE,IF(계산_운용리스!AD12=FALSE,FALSE,IF(계산_운용리스!AD13=FALSE,FALSE,IF(계산_운용리스!AD14=FALSE,FALSE,(계산_운용리스!AD15+운용리스_비교!K29))))))))))</f>
        <v>396200</v>
      </c>
      <c r="L30" s="1855"/>
      <c r="M30" s="1855"/>
      <c r="N30" s="1855"/>
      <c r="O30" s="1855"/>
      <c r="P30" s="1855"/>
      <c r="Q30" s="1856"/>
      <c r="S30" s="1862">
        <f ca="1">IF(BB39=FALSE,FALSE,IF(운용리스_단일!EK18&gt;=0,"시효경과",IF(계산_운용리스!W84="취급불가","48/60 3만 취급불가",IF(BY31=TRUE,FALSE,IF(BT31=TRUE,FALSE,IF(계산_운용리스!AH11=FALSE,FALSE,IF(계산_운용리스!AH12=FALSE,FALSE,IF(계산_운용리스!AH13=FALSE,FALSE,IF(계산_운용리스!AH14=FALSE,FALSE,(계산_운용리스!AH25+운용리스_비교!S29))))))))))</f>
        <v>353800</v>
      </c>
      <c r="T30" s="1863"/>
      <c r="U30" s="1863"/>
      <c r="V30" s="1863"/>
      <c r="W30" s="1863"/>
      <c r="X30" s="1863"/>
      <c r="Y30" s="1864"/>
      <c r="AA30" s="1859">
        <f ca="1">IF(BI39=FALSE,FALSE,IF(운용리스_단일!EK18&gt;=0,"시효경과",IF(계산_운용리스!AA84="취급불가","48/60 3만 취급불가",IF(BY32=TRUE,FALSE,IF(BT32=TRUE,FALSE,IF(계산_운용리스!AL11=FALSE,FALSE,IF(계산_운용리스!AL12=FALSE,FALSE,IF(계산_운용리스!AL13=FALSE,FALSE,IF(계산_운용리스!AL14=FALSE,FALSE,(계산_운용리스!AL25+운용리스_비교!AA29))))))))))</f>
        <v>330100</v>
      </c>
      <c r="AB30" s="1860"/>
      <c r="AC30" s="1860"/>
      <c r="AD30" s="1860"/>
      <c r="AE30" s="1860"/>
      <c r="AF30" s="1860"/>
      <c r="AG30" s="1861"/>
      <c r="AL30" s="1196"/>
      <c r="AM30" s="1405"/>
      <c r="AN30" s="1405"/>
      <c r="AO30" s="1405"/>
      <c r="AP30" s="1405"/>
      <c r="AQ30" s="1406"/>
      <c r="AR30" s="1795">
        <v>0</v>
      </c>
      <c r="AS30" s="1793"/>
      <c r="AT30" s="1793"/>
      <c r="AU30" s="1897">
        <f>IF(AR29="직접입력",AR31,ROUNDDOWN(IF(AR29="차량가기준",AR30*운용리스_비교!$AR$14,운용리스_비교!$AR$26*AR30),-3))</f>
        <v>0</v>
      </c>
      <c r="AV30" s="1897"/>
      <c r="AW30" s="1897"/>
      <c r="AX30" s="1897"/>
      <c r="AY30" s="1793">
        <v>0</v>
      </c>
      <c r="AZ30" s="1793"/>
      <c r="BA30" s="1793"/>
      <c r="BB30" s="1792">
        <f>IF(AY29="직접입력",AY31,ROUNDDOWN(IF(AY29="차량가기준",AY30*운용리스_비교!$AR$14,운용리스_비교!$AR$26*AY30),-3))</f>
        <v>0</v>
      </c>
      <c r="BC30" s="1792"/>
      <c r="BD30" s="1792"/>
      <c r="BE30" s="1792"/>
      <c r="BF30" s="1793">
        <v>0</v>
      </c>
      <c r="BG30" s="1793"/>
      <c r="BH30" s="1793"/>
      <c r="BI30" s="1792">
        <f>IF(BF29="직접입력",BF31,ROUNDDOWN(IF(BF29="차량가기준",BF30*운용리스_비교!$AR$14,운용리스_비교!$AR$26*BF30),-3))</f>
        <v>0</v>
      </c>
      <c r="BJ30" s="1792"/>
      <c r="BK30" s="1792"/>
      <c r="BL30" s="1459"/>
      <c r="BM30" s="1197"/>
      <c r="BN30" s="135"/>
      <c r="BO30" s="128"/>
      <c r="BP30" s="132" t="s">
        <v>471</v>
      </c>
      <c r="BQ30" s="132" t="b">
        <v>1</v>
      </c>
      <c r="BR30" s="128" t="s">
        <v>474</v>
      </c>
      <c r="BS30" s="140">
        <f>AU30+AU33</f>
        <v>0</v>
      </c>
      <c r="BT30" s="140" t="b">
        <f>BS30&gt;$BS$29</f>
        <v>0</v>
      </c>
      <c r="BU30" s="141">
        <f>BS30-BS29</f>
        <v>-15119000</v>
      </c>
      <c r="BV30" s="128" t="s">
        <v>546</v>
      </c>
      <c r="BW30" s="135">
        <f>ROUNDDOWN(AR14*AR38,-3)</f>
        <v>13956000</v>
      </c>
      <c r="BX30" s="135">
        <f>AU36</f>
        <v>13956000</v>
      </c>
      <c r="BY30" s="128" t="b">
        <f>BX30&gt;BW30</f>
        <v>0</v>
      </c>
      <c r="DT30" s="571" t="s">
        <v>949</v>
      </c>
      <c r="DW30" s="1875"/>
      <c r="DX30" s="1893" t="s">
        <v>982</v>
      </c>
      <c r="DY30" s="1894"/>
      <c r="DZ30" s="1895" t="str">
        <f>+IF(CN22="제휴탁송사",9900,"")</f>
        <v/>
      </c>
      <c r="EA30" s="1896"/>
      <c r="EB30" s="590"/>
      <c r="EC30" s="581"/>
      <c r="ED30" s="581"/>
      <c r="EE30" s="581"/>
    </row>
    <row r="31" spans="4:135">
      <c r="D31" s="1857"/>
      <c r="E31" s="1858"/>
      <c r="F31" s="1858"/>
      <c r="G31" s="1858"/>
      <c r="H31" s="1858"/>
      <c r="I31" s="1858"/>
      <c r="J31" s="1858"/>
      <c r="K31" s="1854"/>
      <c r="L31" s="1855"/>
      <c r="M31" s="1855"/>
      <c r="N31" s="1855"/>
      <c r="O31" s="1855"/>
      <c r="P31" s="1855"/>
      <c r="Q31" s="1856"/>
      <c r="S31" s="1862"/>
      <c r="T31" s="1863"/>
      <c r="U31" s="1863"/>
      <c r="V31" s="1863"/>
      <c r="W31" s="1863"/>
      <c r="X31" s="1863"/>
      <c r="Y31" s="1864"/>
      <c r="AA31" s="1859"/>
      <c r="AB31" s="1860"/>
      <c r="AC31" s="1860"/>
      <c r="AD31" s="1860"/>
      <c r="AE31" s="1860"/>
      <c r="AF31" s="1860"/>
      <c r="AG31" s="1861"/>
      <c r="AL31" s="1196"/>
      <c r="AM31" s="1405"/>
      <c r="AN31" s="1405"/>
      <c r="AO31" s="1405"/>
      <c r="AP31" s="1405"/>
      <c r="AQ31" s="1406"/>
      <c r="AR31" s="1824">
        <v>0</v>
      </c>
      <c r="AS31" s="1818"/>
      <c r="AT31" s="1818"/>
      <c r="AU31" s="1818"/>
      <c r="AV31" s="1818"/>
      <c r="AW31" s="1819">
        <f>AR31/AR14</f>
        <v>0</v>
      </c>
      <c r="AX31" s="1819"/>
      <c r="AY31" s="1818">
        <v>0</v>
      </c>
      <c r="AZ31" s="1818"/>
      <c r="BA31" s="1818"/>
      <c r="BB31" s="1818"/>
      <c r="BC31" s="1818"/>
      <c r="BD31" s="1819">
        <f>AY31/AR14</f>
        <v>0</v>
      </c>
      <c r="BE31" s="1819"/>
      <c r="BF31" s="1818">
        <v>0</v>
      </c>
      <c r="BG31" s="1818"/>
      <c r="BH31" s="1818"/>
      <c r="BI31" s="1818"/>
      <c r="BJ31" s="1818"/>
      <c r="BK31" s="1819">
        <f>BF31/AR14</f>
        <v>0</v>
      </c>
      <c r="BL31" s="1820"/>
      <c r="BM31" s="1197"/>
      <c r="BN31" s="135"/>
      <c r="BO31" s="128"/>
      <c r="BP31" s="132" t="s">
        <v>472</v>
      </c>
      <c r="BQ31" s="132" t="b">
        <v>0</v>
      </c>
      <c r="BR31" s="128" t="s">
        <v>474</v>
      </c>
      <c r="BS31" s="142">
        <f>BB30+BB33</f>
        <v>0</v>
      </c>
      <c r="BT31" s="140" t="b">
        <f>BS31&gt;$BS$29</f>
        <v>0</v>
      </c>
      <c r="BU31" s="135">
        <f>BS29-BS31</f>
        <v>15119000</v>
      </c>
      <c r="BV31" s="128" t="s">
        <v>549</v>
      </c>
      <c r="BW31" s="135">
        <f>ROUNDDOWN(AR14*AY38,-3)</f>
        <v>12327000</v>
      </c>
      <c r="BX31" s="135">
        <f>BB36</f>
        <v>12327000</v>
      </c>
      <c r="BY31" s="128" t="b">
        <f>BX31&gt;BW31</f>
        <v>0</v>
      </c>
      <c r="DT31" s="599" t="s">
        <v>763</v>
      </c>
      <c r="DW31" s="1875"/>
      <c r="DX31" s="1927" t="s">
        <v>758</v>
      </c>
      <c r="DY31" s="1893"/>
      <c r="DZ31" s="1928" t="str">
        <f>+IF(CN22="제휴탁송사",10000,"")</f>
        <v/>
      </c>
      <c r="EA31" s="1929"/>
      <c r="EB31" s="591"/>
      <c r="EC31" s="581"/>
      <c r="ED31" s="581"/>
      <c r="EE31" s="581"/>
    </row>
    <row r="32" spans="4:135" ht="17.25" thickBot="1">
      <c r="AL32" s="1196"/>
      <c r="AM32" s="1405" t="s">
        <v>258</v>
      </c>
      <c r="AN32" s="1405"/>
      <c r="AO32" s="1405"/>
      <c r="AP32" s="1405"/>
      <c r="AQ32" s="1406"/>
      <c r="AR32" s="1807" t="s">
        <v>3278</v>
      </c>
      <c r="AS32" s="1808"/>
      <c r="AT32" s="1808"/>
      <c r="AU32" s="1808"/>
      <c r="AV32" s="1808"/>
      <c r="AW32" s="1808"/>
      <c r="AX32" s="1808"/>
      <c r="AY32" s="1808" t="s">
        <v>3278</v>
      </c>
      <c r="AZ32" s="1808"/>
      <c r="BA32" s="1808"/>
      <c r="BB32" s="1808"/>
      <c r="BC32" s="1808"/>
      <c r="BD32" s="1808"/>
      <c r="BE32" s="1808"/>
      <c r="BF32" s="1808" t="s">
        <v>3278</v>
      </c>
      <c r="BG32" s="1808"/>
      <c r="BH32" s="1808"/>
      <c r="BI32" s="1808"/>
      <c r="BJ32" s="1808"/>
      <c r="BK32" s="1808"/>
      <c r="BL32" s="1821"/>
      <c r="BM32" s="1197"/>
      <c r="BN32" s="143"/>
      <c r="BO32" s="144"/>
      <c r="BP32" s="145" t="s">
        <v>473</v>
      </c>
      <c r="BQ32" s="132" t="b">
        <v>0</v>
      </c>
      <c r="BR32" s="128" t="s">
        <v>474</v>
      </c>
      <c r="BS32" s="136">
        <f>BI30+BI33</f>
        <v>0</v>
      </c>
      <c r="BT32" s="140" t="b">
        <f>BS32&gt;$BS$29</f>
        <v>0</v>
      </c>
      <c r="BU32" s="135">
        <f>BS29-BS32</f>
        <v>15119000</v>
      </c>
      <c r="BV32" s="128" t="s">
        <v>550</v>
      </c>
      <c r="BW32" s="135">
        <f>ROUNDDOWN(AR14*BF38,-3)</f>
        <v>10467000</v>
      </c>
      <c r="BX32" s="135">
        <f>BI36</f>
        <v>10467000</v>
      </c>
      <c r="BY32" s="128" t="b">
        <f>BX32&gt;BW32</f>
        <v>0</v>
      </c>
      <c r="DT32" s="600" t="s">
        <v>764</v>
      </c>
      <c r="DW32" s="1875"/>
      <c r="DX32" s="1919" t="s">
        <v>984</v>
      </c>
      <c r="DY32" s="1920"/>
      <c r="DZ32" s="1921">
        <f>+SUM(DZ26:EA31)</f>
        <v>0</v>
      </c>
      <c r="EA32" s="1922"/>
      <c r="EB32" s="592"/>
      <c r="EC32" s="581"/>
      <c r="ED32" s="581"/>
      <c r="EE32" s="581"/>
    </row>
    <row r="33" spans="1:135" ht="19.5">
      <c r="D33" s="1865" t="s">
        <v>290</v>
      </c>
      <c r="E33" s="1865"/>
      <c r="F33" s="1865"/>
      <c r="G33" s="1865"/>
      <c r="H33" s="1865"/>
      <c r="I33" s="1865"/>
      <c r="J33" s="1865"/>
      <c r="K33" s="1800">
        <f>운용리스_비교!M22+운용리스_비교!M24+IF(운용리스_비교!$AE$14="(불포함)",운용리스_비교!$Z$14,0)+IF(운용리스_비교!$AE$15="(불포함)",운용리스_비교!$Z$15,0)+IF(운용리스_비교!$AE$16="(불포함)",운용리스_비교!$Z$16,0)</f>
        <v>0</v>
      </c>
      <c r="L33" s="1800"/>
      <c r="M33" s="1800"/>
      <c r="N33" s="1800"/>
      <c r="O33" s="1800"/>
      <c r="P33" s="1800"/>
      <c r="Q33" s="1800"/>
      <c r="S33" s="1799">
        <f>운용리스_비교!U22+운용리스_비교!U24+IF(운용리스_비교!$AE$14="(불포함)",운용리스_비교!$Z$14,0)+IF(운용리스_비교!$AE$15="(불포함)",운용리스_비교!$Z$15,0)+IF(운용리스_비교!$AE$16="(불포함)",운용리스_비교!$Z$16,0)</f>
        <v>0</v>
      </c>
      <c r="T33" s="1799"/>
      <c r="U33" s="1799"/>
      <c r="V33" s="1799"/>
      <c r="W33" s="1799"/>
      <c r="X33" s="1799"/>
      <c r="Y33" s="1799"/>
      <c r="AA33" s="1800">
        <f>운용리스_비교!AC22+운용리스_비교!AC24+IF(운용리스_비교!$AE$14="(불포함)",운용리스_비교!$Z$14,0)+IF(운용리스_비교!$AE$15="(불포함)",운용리스_비교!$Z$15,0)+IF(운용리스_비교!$AE$16="(불포함)",운용리스_비교!$Z$16,0)</f>
        <v>0</v>
      </c>
      <c r="AB33" s="1800"/>
      <c r="AC33" s="1800"/>
      <c r="AD33" s="1800"/>
      <c r="AE33" s="1800"/>
      <c r="AF33" s="1800"/>
      <c r="AG33" s="1800"/>
      <c r="AL33" s="1196"/>
      <c r="AM33" s="1405"/>
      <c r="AN33" s="1405"/>
      <c r="AO33" s="1405"/>
      <c r="AP33" s="1405"/>
      <c r="AQ33" s="1406"/>
      <c r="AR33" s="1795">
        <v>0</v>
      </c>
      <c r="AS33" s="1793"/>
      <c r="AT33" s="1793"/>
      <c r="AU33" s="1792">
        <f>IF(AR32="직접입력",AR34,ROUNDDOWN(IF(AR32="차량가기준",AR33*운용리스_비교!$AR$14,운용리스_비교!$AR$26*AR33),-3))</f>
        <v>0</v>
      </c>
      <c r="AV33" s="1792"/>
      <c r="AW33" s="1792"/>
      <c r="AX33" s="1792"/>
      <c r="AY33" s="1793">
        <v>0</v>
      </c>
      <c r="AZ33" s="1793"/>
      <c r="BA33" s="1793"/>
      <c r="BB33" s="1792">
        <f>IF(AY32="직접입력",AY34,ROUNDDOWN(IF(AY32="차량가기준",AY33*운용리스_비교!$AR$14,운용리스_비교!$AR$26*AY33),-3))</f>
        <v>0</v>
      </c>
      <c r="BC33" s="1792"/>
      <c r="BD33" s="1792"/>
      <c r="BE33" s="1792"/>
      <c r="BF33" s="1793">
        <v>0</v>
      </c>
      <c r="BG33" s="1793"/>
      <c r="BH33" s="1793"/>
      <c r="BI33" s="1792">
        <f>IF(BF32="직접입력",BF34,ROUNDDOWN(IF(BF32="차량가기준",BF33*운용리스_비교!$AR$14,운용리스_비교!$AR$26*BF33),-3))</f>
        <v>0</v>
      </c>
      <c r="BJ33" s="1792"/>
      <c r="BK33" s="1792"/>
      <c r="BL33" s="1459"/>
      <c r="BM33" s="1197"/>
      <c r="BN33" s="144"/>
      <c r="BO33" s="128"/>
      <c r="BP33" s="128"/>
      <c r="BQ33" s="135">
        <f>AU39</f>
        <v>13956000</v>
      </c>
      <c r="BR33" s="128"/>
      <c r="BS33" s="128"/>
      <c r="BT33" s="128"/>
      <c r="BU33" s="128"/>
      <c r="BV33" s="128"/>
      <c r="BW33" s="128"/>
      <c r="BX33" s="128"/>
      <c r="BY33" s="128"/>
      <c r="DT33" s="600" t="s">
        <v>765</v>
      </c>
      <c r="DW33" s="1874"/>
      <c r="DX33" s="593" t="s">
        <v>946</v>
      </c>
      <c r="DY33" s="584" t="s">
        <v>947</v>
      </c>
      <c r="DZ33" s="1923">
        <f>CV24</f>
        <v>0</v>
      </c>
      <c r="EA33" s="1924"/>
      <c r="EB33" s="594"/>
      <c r="EC33" s="595">
        <f>EB33*10%</f>
        <v>0</v>
      </c>
      <c r="ED33" s="596"/>
      <c r="EE33" s="596"/>
    </row>
    <row r="34" spans="1:135">
      <c r="D34" s="58"/>
      <c r="E34" s="88"/>
      <c r="AL34" s="1196"/>
      <c r="AM34" s="1405"/>
      <c r="AN34" s="1405"/>
      <c r="AO34" s="1405"/>
      <c r="AP34" s="1405"/>
      <c r="AQ34" s="1406"/>
      <c r="AR34" s="1824">
        <v>0</v>
      </c>
      <c r="AS34" s="1818"/>
      <c r="AT34" s="1818"/>
      <c r="AU34" s="1818"/>
      <c r="AV34" s="1818"/>
      <c r="AW34" s="1819">
        <f>AR34/AR14</f>
        <v>0</v>
      </c>
      <c r="AX34" s="1819"/>
      <c r="AY34" s="1818">
        <v>0</v>
      </c>
      <c r="AZ34" s="1818"/>
      <c r="BA34" s="1818"/>
      <c r="BB34" s="1818"/>
      <c r="BC34" s="1818"/>
      <c r="BD34" s="1819">
        <f>AY34/AR14</f>
        <v>0</v>
      </c>
      <c r="BE34" s="1819"/>
      <c r="BF34" s="1818">
        <v>0</v>
      </c>
      <c r="BG34" s="1818"/>
      <c r="BH34" s="1818"/>
      <c r="BI34" s="1818"/>
      <c r="BJ34" s="1818"/>
      <c r="BK34" s="1819">
        <f>BF34/AR14</f>
        <v>0</v>
      </c>
      <c r="BL34" s="1820"/>
      <c r="BM34" s="1197"/>
      <c r="BN34" s="1043"/>
      <c r="BO34" s="128"/>
      <c r="BP34" s="146">
        <f>AU30</f>
        <v>0</v>
      </c>
      <c r="BQ34" s="135">
        <f>BB39</f>
        <v>12327000</v>
      </c>
      <c r="BR34" s="128"/>
      <c r="BS34" s="128"/>
      <c r="BT34" s="128"/>
      <c r="BU34" s="128"/>
      <c r="BV34" s="128"/>
      <c r="BW34" s="128"/>
      <c r="BX34" s="128"/>
      <c r="BY34" s="128"/>
      <c r="DT34" s="600" t="s">
        <v>766</v>
      </c>
      <c r="DW34" s="1876"/>
      <c r="DX34" s="1879"/>
      <c r="DY34" s="584" t="s">
        <v>948</v>
      </c>
      <c r="DZ34" s="1895">
        <f>CV25</f>
        <v>0</v>
      </c>
      <c r="EA34" s="1896"/>
      <c r="EB34" s="594"/>
      <c r="EC34" s="596"/>
      <c r="ED34" s="596"/>
      <c r="EE34" s="596"/>
    </row>
    <row r="35" spans="1:135" ht="17.25" thickBot="1">
      <c r="D35" s="1463" t="s">
        <v>495</v>
      </c>
      <c r="E35" s="1464"/>
      <c r="F35" s="1464"/>
      <c r="G35" s="1464"/>
      <c r="H35" s="1464"/>
      <c r="I35" s="1464"/>
      <c r="J35" s="1463" t="s">
        <v>496</v>
      </c>
      <c r="K35" s="1464"/>
      <c r="L35" s="1464"/>
      <c r="M35" s="1464"/>
      <c r="N35" s="1464"/>
      <c r="O35" s="1463" t="s">
        <v>280</v>
      </c>
      <c r="P35" s="1464"/>
      <c r="Q35" s="1464"/>
      <c r="R35" s="1464"/>
      <c r="S35" s="1464"/>
      <c r="T35" s="1696" t="s">
        <v>281</v>
      </c>
      <c r="U35" s="1697"/>
      <c r="V35" s="1697"/>
      <c r="W35" s="1697"/>
      <c r="X35" s="1697"/>
      <c r="Y35" s="1697"/>
      <c r="Z35" s="88"/>
      <c r="AA35" s="1798" t="s">
        <v>497</v>
      </c>
      <c r="AB35" s="1798"/>
      <c r="AC35" s="1798"/>
      <c r="AD35" s="1798"/>
      <c r="AE35" s="1798"/>
      <c r="AF35" s="1798"/>
      <c r="AG35" s="1798"/>
      <c r="AL35" s="1196"/>
      <c r="AM35" s="1405" t="s">
        <v>20</v>
      </c>
      <c r="AN35" s="1405"/>
      <c r="AO35" s="1405"/>
      <c r="AP35" s="1405"/>
      <c r="AQ35" s="1406"/>
      <c r="AR35" s="1807" t="s">
        <v>257</v>
      </c>
      <c r="AS35" s="1808"/>
      <c r="AT35" s="1808"/>
      <c r="AU35" s="1808"/>
      <c r="AV35" s="1808"/>
      <c r="AW35" s="1808"/>
      <c r="AX35" s="1808"/>
      <c r="AY35" s="1808" t="s">
        <v>257</v>
      </c>
      <c r="AZ35" s="1808"/>
      <c r="BA35" s="1808"/>
      <c r="BB35" s="1808"/>
      <c r="BC35" s="1808"/>
      <c r="BD35" s="1808"/>
      <c r="BE35" s="1808"/>
      <c r="BF35" s="1808" t="s">
        <v>257</v>
      </c>
      <c r="BG35" s="1808"/>
      <c r="BH35" s="1808"/>
      <c r="BI35" s="1808"/>
      <c r="BJ35" s="1808"/>
      <c r="BK35" s="1808"/>
      <c r="BL35" s="1821"/>
      <c r="BM35" s="1197"/>
      <c r="BN35" s="147"/>
      <c r="BO35" s="128"/>
      <c r="BP35" s="128"/>
      <c r="BQ35" s="135">
        <f>BI39</f>
        <v>10467000</v>
      </c>
      <c r="BR35" s="128"/>
      <c r="BS35" s="135">
        <f>AR15*39%</f>
        <v>9071400</v>
      </c>
      <c r="BT35" s="135"/>
      <c r="BU35" s="128"/>
      <c r="BV35" s="128"/>
      <c r="BW35" s="128"/>
      <c r="BX35" s="128"/>
      <c r="BY35" s="128"/>
      <c r="DT35" s="600" t="s">
        <v>767</v>
      </c>
      <c r="DW35" s="597" t="b">
        <v>1</v>
      </c>
      <c r="DX35" s="1925"/>
      <c r="DY35" s="598" t="s">
        <v>272</v>
      </c>
      <c r="DZ35" s="1921">
        <f>+SUM(DZ33:EA34)</f>
        <v>0</v>
      </c>
      <c r="EA35" s="1922"/>
      <c r="EB35" s="594"/>
      <c r="EC35" s="596"/>
      <c r="ED35" s="596"/>
      <c r="EE35" s="596"/>
    </row>
    <row r="36" spans="1:135">
      <c r="D36" s="1667">
        <v>0</v>
      </c>
      <c r="E36" s="1668"/>
      <c r="F36" s="1668"/>
      <c r="G36" s="1668"/>
      <c r="H36" s="1668"/>
      <c r="I36" s="1668"/>
      <c r="J36" s="1668">
        <f>IF(BQ20=FALSE,AR22,0)</f>
        <v>0</v>
      </c>
      <c r="K36" s="1668"/>
      <c r="L36" s="1668"/>
      <c r="M36" s="1668"/>
      <c r="N36" s="1668"/>
      <c r="O36" s="1668">
        <f>IF(BQ21=FALSE,BC23,0)</f>
        <v>0</v>
      </c>
      <c r="P36" s="1668"/>
      <c r="Q36" s="1668"/>
      <c r="R36" s="1668"/>
      <c r="S36" s="1668"/>
      <c r="T36" s="1668">
        <f>IF(BQ22=FALSE,BC24,0)</f>
        <v>0</v>
      </c>
      <c r="U36" s="1668"/>
      <c r="V36" s="1668"/>
      <c r="W36" s="1668"/>
      <c r="X36" s="1668"/>
      <c r="Y36" s="1669"/>
      <c r="AA36" s="1806">
        <f>D36+J36+O36+T36</f>
        <v>0</v>
      </c>
      <c r="AB36" s="1806"/>
      <c r="AC36" s="1806"/>
      <c r="AD36" s="1806"/>
      <c r="AE36" s="1806"/>
      <c r="AF36" s="1806"/>
      <c r="AG36" s="1806"/>
      <c r="AL36" s="1196"/>
      <c r="AM36" s="1405"/>
      <c r="AN36" s="1405"/>
      <c r="AO36" s="1405"/>
      <c r="AP36" s="1405"/>
      <c r="AQ36" s="1406"/>
      <c r="AR36" s="1795">
        <f>AR38</f>
        <v>0.60000000000000009</v>
      </c>
      <c r="AS36" s="1793"/>
      <c r="AT36" s="1793"/>
      <c r="AU36" s="1792">
        <f>IF(AR35="직접입력",AR37,ROUNDDOWN(IF(AR35="차량가기준",AR36*운용리스_비교!$AR$14,운용리스_비교!$AR$26*AR36),-3))</f>
        <v>13956000</v>
      </c>
      <c r="AV36" s="1792"/>
      <c r="AW36" s="1792"/>
      <c r="AX36" s="1792"/>
      <c r="AY36" s="1793">
        <f>+AY38</f>
        <v>0.53</v>
      </c>
      <c r="AZ36" s="1793"/>
      <c r="BA36" s="1793"/>
      <c r="BB36" s="1792">
        <f>IF(AY35="직접입력",AY37,ROUNDDOWN(IF(AY35="차량가기준",AY36*운용리스_비교!$AR$14,운용리스_비교!$AR$26*AY36),-3))</f>
        <v>12327000</v>
      </c>
      <c r="BC36" s="1792"/>
      <c r="BD36" s="1792"/>
      <c r="BE36" s="1792"/>
      <c r="BF36" s="1793">
        <f>+BF38</f>
        <v>0.45</v>
      </c>
      <c r="BG36" s="1793"/>
      <c r="BH36" s="1793"/>
      <c r="BI36" s="1792">
        <f>IF(BF35="직접입력",BF37,ROUNDDOWN(IF(BF35="차량가기준",BF36*운용리스_비교!$AR$14,운용리스_비교!$AR$26*BF36),-3))</f>
        <v>10467000</v>
      </c>
      <c r="BJ36" s="1792"/>
      <c r="BK36" s="1792"/>
      <c r="BL36" s="1459"/>
      <c r="BM36" s="1197"/>
      <c r="BN36" s="148"/>
      <c r="BO36" s="149"/>
      <c r="BP36" s="149"/>
      <c r="BQ36" s="149">
        <f>AR30</f>
        <v>0</v>
      </c>
      <c r="BR36" s="128"/>
      <c r="BS36" s="128"/>
      <c r="BT36" s="128"/>
      <c r="BU36" s="128"/>
      <c r="BV36" s="128"/>
      <c r="BW36" s="128"/>
      <c r="BX36" s="128"/>
      <c r="BY36" s="128"/>
      <c r="DT36" s="600" t="s">
        <v>950</v>
      </c>
      <c r="DW36" s="597" t="str">
        <f>LEFT(CN25,1)</f>
        <v/>
      </c>
    </row>
    <row r="37" spans="1:135">
      <c r="AL37" s="1196"/>
      <c r="AM37" s="1405"/>
      <c r="AN37" s="1405"/>
      <c r="AO37" s="1405"/>
      <c r="AP37" s="1405"/>
      <c r="AQ37" s="1406"/>
      <c r="AR37" s="1824">
        <v>0</v>
      </c>
      <c r="AS37" s="1818"/>
      <c r="AT37" s="1818"/>
      <c r="AU37" s="1818"/>
      <c r="AV37" s="1818"/>
      <c r="AW37" s="1819">
        <f>AR37/AR14</f>
        <v>0</v>
      </c>
      <c r="AX37" s="1819"/>
      <c r="AY37" s="1818">
        <v>0</v>
      </c>
      <c r="AZ37" s="1818"/>
      <c r="BA37" s="1818"/>
      <c r="BB37" s="1818"/>
      <c r="BC37" s="1818"/>
      <c r="BD37" s="1819">
        <f>AY37/AR14</f>
        <v>0</v>
      </c>
      <c r="BE37" s="1819"/>
      <c r="BF37" s="1818">
        <v>0</v>
      </c>
      <c r="BG37" s="1818"/>
      <c r="BH37" s="1818"/>
      <c r="BI37" s="1818"/>
      <c r="BJ37" s="1818"/>
      <c r="BK37" s="1819">
        <f>BF37/AR14</f>
        <v>0</v>
      </c>
      <c r="BL37" s="1820"/>
      <c r="BM37" s="1197"/>
      <c r="BN37" s="478"/>
      <c r="BO37" s="478"/>
      <c r="BP37" s="478"/>
      <c r="BQ37" s="151">
        <f>AW34</f>
        <v>0</v>
      </c>
      <c r="BR37" s="128"/>
      <c r="BS37" s="150"/>
      <c r="BT37" s="150"/>
      <c r="BU37" s="150"/>
      <c r="BV37" s="128"/>
      <c r="BW37" s="128"/>
      <c r="BX37" s="128"/>
      <c r="BY37" s="128"/>
      <c r="DT37" s="600" t="s">
        <v>769</v>
      </c>
      <c r="DW37" s="120" t="str">
        <f>+IF(DW35=TRUE,"필름","일반")</f>
        <v>필름</v>
      </c>
      <c r="DY37" s="120" t="s">
        <v>985</v>
      </c>
      <c r="DZ37" s="624">
        <f>SUM(DZ26:EA31)</f>
        <v>0</v>
      </c>
    </row>
    <row r="38" spans="1:135">
      <c r="D38" s="1500" t="s">
        <v>288</v>
      </c>
      <c r="E38" s="1501"/>
      <c r="F38" s="1501"/>
      <c r="G38" s="1501"/>
      <c r="H38" s="1501"/>
      <c r="I38" s="1501"/>
      <c r="J38" s="1501"/>
      <c r="K38" s="1739">
        <f>계산_운용리스!AB30</f>
        <v>0</v>
      </c>
      <c r="L38" s="1740"/>
      <c r="M38" s="1766">
        <f>계산_운용리스!AD30</f>
        <v>0</v>
      </c>
      <c r="N38" s="1767"/>
      <c r="O38" s="1767"/>
      <c r="P38" s="1767"/>
      <c r="Q38" s="1768"/>
      <c r="S38" s="1804">
        <f>계산_운용리스!AF30</f>
        <v>0</v>
      </c>
      <c r="T38" s="1805"/>
      <c r="U38" s="1801">
        <f>계산_운용리스!AH30</f>
        <v>0</v>
      </c>
      <c r="V38" s="1802"/>
      <c r="W38" s="1802"/>
      <c r="X38" s="1802"/>
      <c r="Y38" s="1803"/>
      <c r="AA38" s="1739">
        <f>계산_운용리스!AJ30</f>
        <v>0</v>
      </c>
      <c r="AB38" s="1740"/>
      <c r="AC38" s="1766">
        <f>계산_운용리스!AL30</f>
        <v>0</v>
      </c>
      <c r="AD38" s="1767"/>
      <c r="AE38" s="1767"/>
      <c r="AF38" s="1767"/>
      <c r="AG38" s="1768"/>
      <c r="AL38" s="1196"/>
      <c r="AM38" s="1405"/>
      <c r="AN38" s="1405"/>
      <c r="AO38" s="1405"/>
      <c r="AP38" s="1405"/>
      <c r="AQ38" s="1406"/>
      <c r="AR38" s="1796">
        <f>계산_운용리스!S6</f>
        <v>0.60000000000000009</v>
      </c>
      <c r="AS38" s="1797"/>
      <c r="AT38" s="1797"/>
      <c r="AU38" s="1797"/>
      <c r="AV38" s="1797"/>
      <c r="AW38" s="1797"/>
      <c r="AX38" s="1797"/>
      <c r="AY38" s="1797">
        <f>계산_운용리스!W6</f>
        <v>0.53</v>
      </c>
      <c r="AZ38" s="1797"/>
      <c r="BA38" s="1797"/>
      <c r="BB38" s="1797"/>
      <c r="BC38" s="1797"/>
      <c r="BD38" s="1797"/>
      <c r="BE38" s="1797"/>
      <c r="BF38" s="1797">
        <f>계산_운용리스!AA6</f>
        <v>0.45</v>
      </c>
      <c r="BG38" s="1797"/>
      <c r="BH38" s="1797"/>
      <c r="BI38" s="1797"/>
      <c r="BJ38" s="1797"/>
      <c r="BK38" s="1797"/>
      <c r="BL38" s="1809"/>
      <c r="BM38" s="1197"/>
      <c r="BN38" s="128"/>
      <c r="BO38" s="128"/>
      <c r="BP38" s="128"/>
      <c r="BQ38" s="151">
        <f>K24</f>
        <v>0</v>
      </c>
      <c r="BR38" s="128"/>
      <c r="BS38" s="128"/>
      <c r="BT38" s="128"/>
      <c r="BU38" s="128"/>
      <c r="BV38" s="128"/>
      <c r="BW38" s="128"/>
      <c r="BX38" s="128"/>
      <c r="BY38" s="128"/>
      <c r="DT38" s="600" t="s">
        <v>770</v>
      </c>
      <c r="DW38" s="120">
        <f>+IF(CN22="제휴탁송사",1,2)</f>
        <v>2</v>
      </c>
      <c r="DY38" s="120" t="s">
        <v>986</v>
      </c>
      <c r="DZ38" s="624">
        <f>+DZ33+DZ34</f>
        <v>0</v>
      </c>
    </row>
    <row r="39" spans="1:135" ht="17.25" thickBot="1">
      <c r="D39" s="1500" t="s">
        <v>289</v>
      </c>
      <c r="E39" s="1501"/>
      <c r="F39" s="1501"/>
      <c r="G39" s="1501"/>
      <c r="H39" s="1501"/>
      <c r="I39" s="1501"/>
      <c r="J39" s="1501"/>
      <c r="K39" s="1739">
        <f>계산_운용리스!AB29</f>
        <v>0</v>
      </c>
      <c r="L39" s="1740"/>
      <c r="M39" s="1766">
        <f>계산_운용리스!AD29</f>
        <v>0</v>
      </c>
      <c r="N39" s="1767"/>
      <c r="O39" s="1767"/>
      <c r="P39" s="1767"/>
      <c r="Q39" s="1768"/>
      <c r="R39" s="41"/>
      <c r="S39" s="1804">
        <f>계산_운용리스!AF29</f>
        <v>0</v>
      </c>
      <c r="T39" s="1805"/>
      <c r="U39" s="1801">
        <f>계산_운용리스!AH29</f>
        <v>0</v>
      </c>
      <c r="V39" s="1802"/>
      <c r="W39" s="1802"/>
      <c r="X39" s="1802"/>
      <c r="Y39" s="1803"/>
      <c r="Z39" s="41"/>
      <c r="AA39" s="1739">
        <f>계산_운용리스!AJ29</f>
        <v>0</v>
      </c>
      <c r="AB39" s="1740"/>
      <c r="AC39" s="1766">
        <f>계산_운용리스!AL29</f>
        <v>0</v>
      </c>
      <c r="AD39" s="1767"/>
      <c r="AE39" s="1767"/>
      <c r="AF39" s="1767"/>
      <c r="AG39" s="1768"/>
      <c r="AL39" s="1196"/>
      <c r="AM39" s="1418" t="s">
        <v>272</v>
      </c>
      <c r="AN39" s="1418"/>
      <c r="AO39" s="1418"/>
      <c r="AP39" s="1418"/>
      <c r="AQ39" s="1418"/>
      <c r="AR39" s="1815">
        <f>IF(AU39="ERROR",FALSE,AU39/AR14)</f>
        <v>0.6</v>
      </c>
      <c r="AS39" s="1816"/>
      <c r="AT39" s="1816"/>
      <c r="AU39" s="1725">
        <f>IF(AU30+AU33+AU36&gt;운용리스_비교!AR14,FALSE,AU30+AU33+AU36)</f>
        <v>13956000</v>
      </c>
      <c r="AV39" s="1725"/>
      <c r="AW39" s="1725"/>
      <c r="AX39" s="1725"/>
      <c r="AY39" s="1816">
        <f>IF(BB39="ERROR",FALSE,BB39/운용리스_비교!$AR$14)</f>
        <v>0.52996560619088562</v>
      </c>
      <c r="AZ39" s="1816"/>
      <c r="BA39" s="1816"/>
      <c r="BB39" s="1725">
        <f>IF(BB30+BB33+BB36&gt;운용리스_비교!AR14,FALSE,BB30+BB33+BB36)</f>
        <v>12327000</v>
      </c>
      <c r="BC39" s="1725"/>
      <c r="BD39" s="1725"/>
      <c r="BE39" s="1725"/>
      <c r="BF39" s="1816">
        <f>IF(BI39="ERROR",FALSE,BI39/AR15)</f>
        <v>0.45</v>
      </c>
      <c r="BG39" s="1816"/>
      <c r="BH39" s="1816"/>
      <c r="BI39" s="1725">
        <f>IF(BI30+BI33+BI36&gt;운용리스_비교!AR14,FALSE,BI30+BI33+BI36)</f>
        <v>10467000</v>
      </c>
      <c r="BJ39" s="1725"/>
      <c r="BK39" s="1725"/>
      <c r="BL39" s="1726"/>
      <c r="BM39" s="1197"/>
      <c r="BN39" s="128"/>
      <c r="BO39" s="128"/>
      <c r="BP39" s="128"/>
      <c r="BQ39" s="149"/>
      <c r="BR39" s="128"/>
      <c r="BS39" s="128"/>
      <c r="BT39" s="128"/>
      <c r="BU39" s="128"/>
      <c r="BV39" s="128"/>
      <c r="BW39" s="128"/>
      <c r="BX39" s="128"/>
      <c r="BY39" s="128"/>
      <c r="DT39" s="601" t="s">
        <v>771</v>
      </c>
    </row>
    <row r="40" spans="1:135" ht="17.25" thickBot="1">
      <c r="D40" s="1188" t="s">
        <v>444</v>
      </c>
      <c r="AL40" s="1196"/>
      <c r="AM40" s="1418"/>
      <c r="AN40" s="1418"/>
      <c r="AO40" s="1418"/>
      <c r="AP40" s="1418"/>
      <c r="AQ40" s="1418"/>
      <c r="AR40" s="1815"/>
      <c r="AS40" s="1816"/>
      <c r="AT40" s="1816"/>
      <c r="AU40" s="1725"/>
      <c r="AV40" s="1725"/>
      <c r="AW40" s="1725"/>
      <c r="AX40" s="1725"/>
      <c r="AY40" s="1816"/>
      <c r="AZ40" s="1816"/>
      <c r="BA40" s="1816"/>
      <c r="BB40" s="1725"/>
      <c r="BC40" s="1725"/>
      <c r="BD40" s="1725"/>
      <c r="BE40" s="1725"/>
      <c r="BF40" s="1816"/>
      <c r="BG40" s="1816"/>
      <c r="BH40" s="1816"/>
      <c r="BI40" s="1725"/>
      <c r="BJ40" s="1725"/>
      <c r="BK40" s="1725"/>
      <c r="BL40" s="1726"/>
      <c r="BM40" s="1197"/>
      <c r="BN40" s="128"/>
      <c r="BO40" s="128"/>
      <c r="BP40" s="128"/>
      <c r="BQ40" s="149"/>
      <c r="BR40" s="128"/>
      <c r="BS40" s="128"/>
      <c r="BT40" s="128"/>
      <c r="BU40" s="128"/>
      <c r="BV40" s="128"/>
      <c r="BW40" s="128"/>
      <c r="BX40" s="128"/>
      <c r="BY40" s="128"/>
      <c r="DY40" s="628" t="s">
        <v>990</v>
      </c>
      <c r="DZ40" s="628">
        <v>1</v>
      </c>
      <c r="EA40" s="628">
        <v>2</v>
      </c>
    </row>
    <row r="41" spans="1:135" ht="16.5" customHeight="1">
      <c r="D41" s="57"/>
      <c r="Q41" s="90"/>
      <c r="Y41" s="90"/>
      <c r="AG41" s="90"/>
      <c r="AL41" s="1196"/>
      <c r="AM41" s="1446" t="s">
        <v>528</v>
      </c>
      <c r="AN41" s="1447"/>
      <c r="AO41" s="1447"/>
      <c r="AP41" s="1447"/>
      <c r="AQ41" s="1447"/>
      <c r="AR41" s="1926">
        <v>20000</v>
      </c>
      <c r="AS41" s="1776"/>
      <c r="AT41" s="1776"/>
      <c r="AU41" s="1776"/>
      <c r="AV41" s="1776"/>
      <c r="AW41" s="1776"/>
      <c r="AX41" s="1776"/>
      <c r="AY41" s="1776">
        <v>20000</v>
      </c>
      <c r="AZ41" s="1776"/>
      <c r="BA41" s="1776"/>
      <c r="BB41" s="1776"/>
      <c r="BC41" s="1776"/>
      <c r="BD41" s="1776"/>
      <c r="BE41" s="1776"/>
      <c r="BF41" s="1776">
        <v>20000</v>
      </c>
      <c r="BG41" s="1776"/>
      <c r="BH41" s="1776"/>
      <c r="BI41" s="1776"/>
      <c r="BJ41" s="1776"/>
      <c r="BK41" s="1776"/>
      <c r="BL41" s="1777"/>
      <c r="BM41" s="1197"/>
      <c r="BN41" s="128"/>
      <c r="BO41" s="1913" t="s">
        <v>2662</v>
      </c>
      <c r="BP41" s="1914"/>
      <c r="BQ41" s="1914"/>
      <c r="BR41" s="1914"/>
      <c r="BS41" s="1914"/>
      <c r="BT41" s="1914"/>
      <c r="BU41" s="1914"/>
      <c r="BV41" s="1914"/>
      <c r="BW41" s="1914"/>
      <c r="BX41" s="1914"/>
      <c r="BY41" s="1914"/>
      <c r="BZ41" s="1914"/>
      <c r="CA41" s="1914"/>
      <c r="CB41" s="1914"/>
      <c r="CC41" s="1914"/>
      <c r="CD41" s="1914"/>
      <c r="CE41" s="1914"/>
      <c r="CF41" s="1914"/>
      <c r="CG41" s="1914"/>
      <c r="CH41" s="1914"/>
      <c r="CI41" s="1914"/>
      <c r="CJ41" s="1914"/>
      <c r="CK41" s="1914"/>
      <c r="CL41" s="1914"/>
      <c r="CM41" s="1914"/>
      <c r="CN41" s="1914"/>
      <c r="CO41" s="1914"/>
      <c r="CP41" s="1914"/>
      <c r="CQ41" s="1914"/>
      <c r="CR41" s="1914"/>
      <c r="CS41" s="1914"/>
      <c r="DX41" s="120">
        <f>+IF(CN22="제휴탁송사",1,2)</f>
        <v>2</v>
      </c>
      <c r="DY41" s="120">
        <v>1</v>
      </c>
      <c r="DZ41" s="629">
        <v>20800</v>
      </c>
      <c r="EA41" s="629">
        <v>9100</v>
      </c>
    </row>
    <row r="42" spans="1:135" ht="17.25" customHeight="1" thickBot="1">
      <c r="AG42" s="67"/>
      <c r="AL42" s="1196"/>
      <c r="AM42" s="1715" t="s">
        <v>1466</v>
      </c>
      <c r="AN42" s="1713"/>
      <c r="AO42" s="1713"/>
      <c r="AP42" s="1713"/>
      <c r="AQ42" s="1713"/>
      <c r="AR42" s="1917">
        <v>0</v>
      </c>
      <c r="AS42" s="1917"/>
      <c r="AT42" s="1917"/>
      <c r="AU42" s="1917"/>
      <c r="AV42" s="1917"/>
      <c r="AW42" s="1917"/>
      <c r="AX42" s="1917"/>
      <c r="AY42" s="1917">
        <v>0</v>
      </c>
      <c r="AZ42" s="1917"/>
      <c r="BA42" s="1917"/>
      <c r="BB42" s="1917"/>
      <c r="BC42" s="1917"/>
      <c r="BD42" s="1917"/>
      <c r="BE42" s="1917"/>
      <c r="BF42" s="1917">
        <v>0</v>
      </c>
      <c r="BG42" s="1917"/>
      <c r="BH42" s="1917"/>
      <c r="BI42" s="1917"/>
      <c r="BJ42" s="1917"/>
      <c r="BK42" s="1917"/>
      <c r="BL42" s="1918"/>
      <c r="BM42" s="1197"/>
      <c r="BN42" s="136"/>
      <c r="BO42" s="1915"/>
      <c r="BP42" s="1915"/>
      <c r="BQ42" s="1915"/>
      <c r="BR42" s="1915"/>
      <c r="BS42" s="1915"/>
      <c r="BT42" s="1915"/>
      <c r="BU42" s="1915"/>
      <c r="BV42" s="1915"/>
      <c r="BW42" s="1915"/>
      <c r="BX42" s="1915"/>
      <c r="BY42" s="1915"/>
      <c r="BZ42" s="1915"/>
      <c r="CA42" s="1915"/>
      <c r="CB42" s="1915"/>
      <c r="CC42" s="1915"/>
      <c r="CD42" s="1915"/>
      <c r="CE42" s="1915"/>
      <c r="CF42" s="1915"/>
      <c r="CG42" s="1915"/>
      <c r="CH42" s="1915"/>
      <c r="CI42" s="1915"/>
      <c r="CJ42" s="1915"/>
      <c r="CK42" s="1915"/>
      <c r="CL42" s="1915"/>
      <c r="CM42" s="1915"/>
      <c r="CN42" s="1915"/>
      <c r="CO42" s="1915"/>
      <c r="CP42" s="1915"/>
      <c r="CQ42" s="1915"/>
      <c r="CR42" s="1915"/>
      <c r="CS42" s="1915"/>
      <c r="DT42" s="36"/>
      <c r="DU42" s="36"/>
      <c r="DV42" s="36"/>
      <c r="DW42" s="36"/>
      <c r="DX42" s="36">
        <f>IF(DW37="필름",1,2)</f>
        <v>1</v>
      </c>
      <c r="DY42" s="627">
        <v>2</v>
      </c>
      <c r="DZ42" s="630">
        <v>0</v>
      </c>
      <c r="EA42" s="630">
        <v>0</v>
      </c>
      <c r="EB42" s="36"/>
    </row>
    <row r="43" spans="1:135" ht="17.25" customHeight="1" thickBot="1">
      <c r="D43" s="59" t="s">
        <v>457</v>
      </c>
      <c r="E43" s="47" t="s">
        <v>451</v>
      </c>
      <c r="T43" s="59" t="s">
        <v>456</v>
      </c>
      <c r="U43" s="47" t="s">
        <v>453</v>
      </c>
      <c r="AL43" s="1196"/>
      <c r="AM43" s="1190" t="s">
        <v>259</v>
      </c>
      <c r="AN43" s="1191"/>
      <c r="AO43" s="1191"/>
      <c r="AP43" s="1191"/>
      <c r="AQ43" s="1191"/>
      <c r="AR43" s="1191"/>
      <c r="AS43" s="1191"/>
      <c r="AT43" s="1191"/>
      <c r="AU43" s="1191"/>
      <c r="AV43" s="1191"/>
      <c r="AW43" s="1191"/>
      <c r="AX43" s="1191"/>
      <c r="AY43" s="1191"/>
      <c r="AZ43" s="1191"/>
      <c r="BA43" s="1191"/>
      <c r="BB43" s="1191"/>
      <c r="BC43" s="1191"/>
      <c r="BD43" s="1191"/>
      <c r="BE43" s="1191"/>
      <c r="BF43" s="1191"/>
      <c r="BG43" s="1191"/>
      <c r="BH43" s="1191"/>
      <c r="BI43" s="1191"/>
      <c r="BJ43" s="1191"/>
      <c r="BK43" s="1191"/>
      <c r="BL43" s="1191"/>
      <c r="BM43" s="1199"/>
      <c r="BO43" s="1915"/>
      <c r="BP43" s="1915"/>
      <c r="BQ43" s="1915"/>
      <c r="BR43" s="1915"/>
      <c r="BS43" s="1915"/>
      <c r="BT43" s="1915"/>
      <c r="BU43" s="1915"/>
      <c r="BV43" s="1915"/>
      <c r="BW43" s="1915"/>
      <c r="BX43" s="1915"/>
      <c r="BY43" s="1915"/>
      <c r="BZ43" s="1915"/>
      <c r="CA43" s="1915"/>
      <c r="CB43" s="1915"/>
      <c r="CC43" s="1915"/>
      <c r="CD43" s="1915"/>
      <c r="CE43" s="1915"/>
      <c r="CF43" s="1915"/>
      <c r="CG43" s="1915"/>
      <c r="CH43" s="1915"/>
      <c r="CI43" s="1915"/>
      <c r="CJ43" s="1915"/>
      <c r="CK43" s="1915"/>
      <c r="CL43" s="1915"/>
      <c r="CM43" s="1915"/>
      <c r="CN43" s="1915"/>
      <c r="CO43" s="1915"/>
      <c r="CP43" s="1915"/>
      <c r="CQ43" s="1915"/>
      <c r="CR43" s="1915"/>
      <c r="CS43" s="1915"/>
    </row>
    <row r="44" spans="1:135" ht="16.5" customHeight="1">
      <c r="D44" s="1466" t="str">
        <f>운용리스_비교!AR48&amp;" "&amp;운용리스_비교!AR49</f>
        <v xml:space="preserve">기타 </v>
      </c>
      <c r="E44" s="1691"/>
      <c r="F44" s="1691"/>
      <c r="G44" s="1691"/>
      <c r="H44" s="1691"/>
      <c r="I44" s="1691"/>
      <c r="J44" s="1691"/>
      <c r="K44" s="1691"/>
      <c r="L44" s="1691"/>
      <c r="M44" s="1691"/>
      <c r="N44" s="1691"/>
      <c r="O44" s="1691"/>
      <c r="P44" s="1691"/>
      <c r="Q44" s="1692"/>
      <c r="T44" s="1466" t="str">
        <f>운용리스_비교!BE48</f>
        <v>iM캐피탈</v>
      </c>
      <c r="U44" s="1691"/>
      <c r="V44" s="1691"/>
      <c r="W44" s="1691"/>
      <c r="X44" s="1691"/>
      <c r="Y44" s="1691"/>
      <c r="Z44" s="1691"/>
      <c r="AA44" s="1691"/>
      <c r="AB44" s="1691"/>
      <c r="AC44" s="1691"/>
      <c r="AD44" s="1691"/>
      <c r="AE44" s="1691"/>
      <c r="AF44" s="1691"/>
      <c r="AG44" s="1692"/>
      <c r="AL44" s="1196"/>
      <c r="AM44" s="1450" t="s">
        <v>260</v>
      </c>
      <c r="AN44" s="1451"/>
      <c r="AO44" s="1451"/>
      <c r="AP44" s="1451"/>
      <c r="AQ44" s="1451"/>
      <c r="AR44" s="1452">
        <v>0.03</v>
      </c>
      <c r="AS44" s="1453"/>
      <c r="AT44" s="1453"/>
      <c r="AU44" s="1812">
        <f>운용리스_비교!$AR$26*AR44</f>
        <v>700674.29999999993</v>
      </c>
      <c r="AV44" s="1812"/>
      <c r="AW44" s="1812"/>
      <c r="AX44" s="1812"/>
      <c r="AY44" s="1453">
        <v>0.03</v>
      </c>
      <c r="AZ44" s="1453"/>
      <c r="BA44" s="1453"/>
      <c r="BB44" s="1812">
        <f>운용리스_비교!$AR$26*AY44</f>
        <v>700674.29999999993</v>
      </c>
      <c r="BC44" s="1812"/>
      <c r="BD44" s="1812"/>
      <c r="BE44" s="1812"/>
      <c r="BF44" s="1453">
        <v>0.03</v>
      </c>
      <c r="BG44" s="1453"/>
      <c r="BH44" s="1453"/>
      <c r="BI44" s="1812">
        <f>운용리스_비교!$AR$26*BF44</f>
        <v>700674.29999999993</v>
      </c>
      <c r="BJ44" s="1812"/>
      <c r="BK44" s="1812"/>
      <c r="BL44" s="1817"/>
      <c r="BM44" s="1197"/>
      <c r="BO44" s="1915"/>
      <c r="BP44" s="1915"/>
      <c r="BQ44" s="1915"/>
      <c r="BR44" s="1915"/>
      <c r="BS44" s="1915"/>
      <c r="BT44" s="1915"/>
      <c r="BU44" s="1915"/>
      <c r="BV44" s="1915"/>
      <c r="BW44" s="1915"/>
      <c r="BX44" s="1915"/>
      <c r="BY44" s="1915"/>
      <c r="BZ44" s="1915"/>
      <c r="CA44" s="1915"/>
      <c r="CB44" s="1915"/>
      <c r="CC44" s="1915"/>
      <c r="CD44" s="1915"/>
      <c r="CE44" s="1915"/>
      <c r="CF44" s="1915"/>
      <c r="CG44" s="1915"/>
      <c r="CH44" s="1915"/>
      <c r="CI44" s="1915"/>
      <c r="CJ44" s="1915"/>
      <c r="CK44" s="1915"/>
      <c r="CL44" s="1915"/>
      <c r="CM44" s="1915"/>
      <c r="CN44" s="1915"/>
      <c r="CO44" s="1915"/>
      <c r="CP44" s="1915"/>
      <c r="CQ44" s="1915"/>
      <c r="CR44" s="1915"/>
      <c r="CS44" s="1915"/>
    </row>
    <row r="45" spans="1:135">
      <c r="D45" s="1465" t="str">
        <f>AM50&amp;" "&amp;AR50</f>
        <v xml:space="preserve">판 매 사 원 </v>
      </c>
      <c r="E45" s="1465"/>
      <c r="F45" s="1465"/>
      <c r="G45" s="1465"/>
      <c r="H45" s="1465"/>
      <c r="I45" s="1465"/>
      <c r="J45" s="1466"/>
      <c r="K45" s="1468">
        <f>+AR51</f>
        <v>0</v>
      </c>
      <c r="L45" s="1469"/>
      <c r="M45" s="1469"/>
      <c r="N45" s="1469"/>
      <c r="O45" s="1469"/>
      <c r="P45" s="1469"/>
      <c r="Q45" s="1469"/>
      <c r="T45" s="1465" t="str">
        <f>AZ50&amp;" "&amp;BE50</f>
        <v xml:space="preserve">금융담당자 </v>
      </c>
      <c r="U45" s="1465"/>
      <c r="V45" s="1465"/>
      <c r="W45" s="1465"/>
      <c r="X45" s="1465"/>
      <c r="Y45" s="1465"/>
      <c r="Z45" s="1466"/>
      <c r="AA45" s="1468">
        <f>+BE51</f>
        <v>0</v>
      </c>
      <c r="AB45" s="1469"/>
      <c r="AC45" s="1469"/>
      <c r="AD45" s="1469"/>
      <c r="AE45" s="1469"/>
      <c r="AF45" s="1469"/>
      <c r="AG45" s="1469"/>
      <c r="AL45" s="1196"/>
      <c r="AM45" s="1406" t="s">
        <v>434</v>
      </c>
      <c r="AN45" s="1422"/>
      <c r="AO45" s="1422"/>
      <c r="AP45" s="1422"/>
      <c r="AQ45" s="1422"/>
      <c r="AR45" s="1823">
        <f>ROUNDDOWN(계산_운용리스!C58,3)</f>
        <v>0.122</v>
      </c>
      <c r="AS45" s="1813"/>
      <c r="AT45" s="1813"/>
      <c r="AU45" s="1813"/>
      <c r="AV45" s="1813"/>
      <c r="AW45" s="1813"/>
      <c r="AX45" s="1813"/>
      <c r="AY45" s="1813">
        <f>ROUNDDOWN(계산_운용리스!H58,3)</f>
        <v>0.122</v>
      </c>
      <c r="AZ45" s="1813"/>
      <c r="BA45" s="1813"/>
      <c r="BB45" s="1813"/>
      <c r="BC45" s="1813"/>
      <c r="BD45" s="1813"/>
      <c r="BE45" s="1813"/>
      <c r="BF45" s="1813">
        <f>ROUNDDOWN(계산_운용리스!M58,3)</f>
        <v>0.122</v>
      </c>
      <c r="BG45" s="1813"/>
      <c r="BH45" s="1813"/>
      <c r="BI45" s="1813"/>
      <c r="BJ45" s="1813"/>
      <c r="BK45" s="1813"/>
      <c r="BL45" s="1814"/>
      <c r="BM45" s="1197"/>
      <c r="BO45" s="1915"/>
      <c r="BP45" s="1915"/>
      <c r="BQ45" s="1915"/>
      <c r="BR45" s="1915"/>
      <c r="BS45" s="1915"/>
      <c r="BT45" s="1915"/>
      <c r="BU45" s="1915"/>
      <c r="BV45" s="1915"/>
      <c r="BW45" s="1915"/>
      <c r="BX45" s="1915"/>
      <c r="BY45" s="1915"/>
      <c r="BZ45" s="1915"/>
      <c r="CA45" s="1915"/>
      <c r="CB45" s="1915"/>
      <c r="CC45" s="1915"/>
      <c r="CD45" s="1915"/>
      <c r="CE45" s="1915"/>
      <c r="CF45" s="1915"/>
      <c r="CG45" s="1915"/>
      <c r="CH45" s="1915"/>
      <c r="CI45" s="1915"/>
      <c r="CJ45" s="1915"/>
      <c r="CK45" s="1915"/>
      <c r="CL45" s="1915"/>
      <c r="CM45" s="1915"/>
      <c r="CN45" s="1915"/>
      <c r="CO45" s="1915"/>
      <c r="CP45" s="1915"/>
      <c r="CQ45" s="1915"/>
      <c r="CR45" s="1915"/>
      <c r="CS45" s="1915"/>
    </row>
    <row r="46" spans="1:135" ht="17.25" thickBot="1">
      <c r="D46" s="62" t="s">
        <v>458</v>
      </c>
      <c r="E46" s="1424" t="s">
        <v>459</v>
      </c>
      <c r="F46" s="1424"/>
      <c r="G46" s="1424"/>
      <c r="H46" s="1424"/>
      <c r="I46" s="1424"/>
      <c r="J46" s="1424"/>
      <c r="K46" s="1424"/>
      <c r="L46" s="1424"/>
      <c r="M46" s="1424"/>
      <c r="N46" s="1424"/>
      <c r="O46" s="1424"/>
      <c r="P46" s="1424"/>
      <c r="Q46" s="1424"/>
      <c r="R46" s="1424"/>
      <c r="S46" s="1424"/>
      <c r="T46" s="1424"/>
      <c r="U46" s="1424"/>
      <c r="V46" s="1424"/>
      <c r="W46" s="1424"/>
      <c r="X46" s="1424"/>
      <c r="Y46" s="1424"/>
      <c r="Z46" s="1424"/>
      <c r="AA46" s="1424"/>
      <c r="AB46" s="1424"/>
      <c r="AC46" s="1424"/>
      <c r="AD46" s="1424"/>
      <c r="AE46" s="1424"/>
      <c r="AF46" s="1424"/>
      <c r="AG46" s="1424"/>
      <c r="AL46" s="1196"/>
      <c r="AM46" s="1425" t="s">
        <v>435</v>
      </c>
      <c r="AN46" s="1426"/>
      <c r="AO46" s="1426"/>
      <c r="AP46" s="1426"/>
      <c r="AQ46" s="1426"/>
      <c r="AR46" s="1822">
        <f>계산_운용리스!AD28</f>
        <v>8.5389999999999994E-2</v>
      </c>
      <c r="AS46" s="1778"/>
      <c r="AT46" s="1778"/>
      <c r="AU46" s="1778"/>
      <c r="AV46" s="1778"/>
      <c r="AW46" s="1778"/>
      <c r="AX46" s="1778"/>
      <c r="AY46" s="1778">
        <f>계산_운용리스!AH28</f>
        <v>8.1540000000000001E-2</v>
      </c>
      <c r="AZ46" s="1778"/>
      <c r="BA46" s="1778"/>
      <c r="BB46" s="1778"/>
      <c r="BC46" s="1778"/>
      <c r="BD46" s="1778"/>
      <c r="BE46" s="1778"/>
      <c r="BF46" s="1778">
        <f>계산_운용리스!AL28</f>
        <v>7.9320000000000002E-2</v>
      </c>
      <c r="BG46" s="1778"/>
      <c r="BH46" s="1778"/>
      <c r="BI46" s="1778"/>
      <c r="BJ46" s="1778"/>
      <c r="BK46" s="1778"/>
      <c r="BL46" s="1779"/>
      <c r="BM46" s="1197"/>
      <c r="BO46" s="1916"/>
      <c r="BP46" s="1916"/>
      <c r="BQ46" s="1916"/>
      <c r="BR46" s="1916"/>
      <c r="BS46" s="1916"/>
      <c r="BT46" s="1916"/>
      <c r="BU46" s="1916"/>
      <c r="BV46" s="1916"/>
      <c r="BW46" s="1916"/>
      <c r="BX46" s="1916"/>
      <c r="BY46" s="1916"/>
      <c r="BZ46" s="1916"/>
      <c r="CA46" s="1916"/>
      <c r="CB46" s="1916"/>
      <c r="CC46" s="1916"/>
      <c r="CD46" s="1916"/>
      <c r="CE46" s="1916"/>
      <c r="CF46" s="1916"/>
      <c r="CG46" s="1916"/>
      <c r="CH46" s="1916"/>
      <c r="CI46" s="1916"/>
      <c r="CJ46" s="1916"/>
      <c r="CK46" s="1916"/>
      <c r="CL46" s="1916"/>
      <c r="CM46" s="1916"/>
      <c r="CN46" s="1916"/>
      <c r="CO46" s="1916"/>
      <c r="CP46" s="1916"/>
      <c r="CQ46" s="1916"/>
      <c r="CR46" s="1916"/>
      <c r="CS46" s="1916"/>
    </row>
    <row r="47" spans="1:135" ht="17.25" thickBot="1">
      <c r="A47" s="56"/>
      <c r="D47" s="62" t="s">
        <v>458</v>
      </c>
      <c r="E47" s="1427" t="s">
        <v>3055</v>
      </c>
      <c r="F47" s="1427"/>
      <c r="G47" s="1427"/>
      <c r="H47" s="1427"/>
      <c r="I47" s="1427"/>
      <c r="J47" s="1427"/>
      <c r="K47" s="1427"/>
      <c r="L47" s="1427"/>
      <c r="M47" s="1427"/>
      <c r="N47" s="1427"/>
      <c r="O47" s="1427"/>
      <c r="P47" s="1427"/>
      <c r="Q47" s="1427"/>
      <c r="R47" s="1427"/>
      <c r="S47" s="1427"/>
      <c r="T47" s="1427"/>
      <c r="U47" s="1427"/>
      <c r="V47" s="1427"/>
      <c r="W47" s="1427"/>
      <c r="X47" s="1427"/>
      <c r="Y47" s="1427"/>
      <c r="Z47" s="1427"/>
      <c r="AA47" s="1427"/>
      <c r="AB47" s="1427"/>
      <c r="AC47" s="1427"/>
      <c r="AD47" s="1427"/>
      <c r="AE47" s="1427"/>
      <c r="AF47" s="1427"/>
      <c r="AG47" s="1427"/>
      <c r="AL47" s="1196"/>
      <c r="AM47" s="1190" t="s">
        <v>423</v>
      </c>
      <c r="AN47" s="1191"/>
      <c r="AO47" s="1191"/>
      <c r="AP47" s="1191"/>
      <c r="AQ47" s="1191"/>
      <c r="AR47" s="1191"/>
      <c r="AS47" s="1191"/>
      <c r="AT47" s="1191"/>
      <c r="AU47" s="1191"/>
      <c r="AV47" s="1191"/>
      <c r="AW47" s="1191"/>
      <c r="AX47" s="1191"/>
      <c r="AY47" s="1191"/>
      <c r="AZ47" s="1190" t="s">
        <v>424</v>
      </c>
      <c r="BA47" s="1191"/>
      <c r="BB47" s="1191"/>
      <c r="BC47" s="1191"/>
      <c r="BD47" s="1191"/>
      <c r="BE47" s="1191"/>
      <c r="BF47" s="1191"/>
      <c r="BG47" s="1191"/>
      <c r="BH47" s="1191"/>
      <c r="BI47" s="1191"/>
      <c r="BJ47" s="1191"/>
      <c r="BK47" s="1191"/>
      <c r="BL47" s="1191"/>
      <c r="BM47" s="1197"/>
    </row>
    <row r="48" spans="1:135">
      <c r="AL48" s="1196"/>
      <c r="AM48" s="1438" t="s">
        <v>436</v>
      </c>
      <c r="AN48" s="1439"/>
      <c r="AO48" s="1439"/>
      <c r="AP48" s="1439"/>
      <c r="AQ48" s="1439"/>
      <c r="AR48" s="1433" t="str">
        <f>'AG 입력시트'!S9</f>
        <v>기타</v>
      </c>
      <c r="AS48" s="1434"/>
      <c r="AT48" s="1434"/>
      <c r="AU48" s="1434"/>
      <c r="AV48" s="1434"/>
      <c r="AW48" s="1434"/>
      <c r="AX48" s="1434"/>
      <c r="AY48" s="1825"/>
      <c r="AZ48" s="1431" t="s">
        <v>438</v>
      </c>
      <c r="BA48" s="1432"/>
      <c r="BB48" s="1432"/>
      <c r="BC48" s="1432"/>
      <c r="BD48" s="1432"/>
      <c r="BE48" s="1433" t="s">
        <v>3050</v>
      </c>
      <c r="BF48" s="1434"/>
      <c r="BG48" s="1434"/>
      <c r="BH48" s="1434"/>
      <c r="BI48" s="1434"/>
      <c r="BJ48" s="1434"/>
      <c r="BK48" s="1434"/>
      <c r="BL48" s="1435"/>
      <c r="BM48" s="1197"/>
    </row>
    <row r="49" spans="6:65">
      <c r="AL49" s="1196"/>
      <c r="AM49" s="1810" t="s">
        <v>441</v>
      </c>
      <c r="AN49" s="1811"/>
      <c r="AO49" s="1811"/>
      <c r="AP49" s="1811"/>
      <c r="AQ49" s="1811"/>
      <c r="AR49" s="1414"/>
      <c r="AS49" s="1415"/>
      <c r="AT49" s="1415"/>
      <c r="AU49" s="1415"/>
      <c r="AV49" s="1415"/>
      <c r="AW49" s="1415"/>
      <c r="AX49" s="1415"/>
      <c r="AY49" s="1787"/>
      <c r="AZ49" s="1417" t="s">
        <v>1661</v>
      </c>
      <c r="BA49" s="1418"/>
      <c r="BB49" s="1418"/>
      <c r="BC49" s="1418"/>
      <c r="BD49" s="1418"/>
      <c r="BE49" s="1414"/>
      <c r="BF49" s="1415"/>
      <c r="BG49" s="1415"/>
      <c r="BH49" s="1415"/>
      <c r="BI49" s="1415"/>
      <c r="BJ49" s="1415"/>
      <c r="BK49" s="1415"/>
      <c r="BL49" s="1423"/>
      <c r="BM49" s="1197"/>
    </row>
    <row r="50" spans="6:65" ht="16.5" customHeight="1">
      <c r="AL50" s="1196"/>
      <c r="AM50" s="1417" t="s">
        <v>1662</v>
      </c>
      <c r="AN50" s="1418"/>
      <c r="AO50" s="1418"/>
      <c r="AP50" s="1418"/>
      <c r="AQ50" s="1418"/>
      <c r="AR50" s="1414"/>
      <c r="AS50" s="1415"/>
      <c r="AT50" s="1415"/>
      <c r="AU50" s="1415"/>
      <c r="AV50" s="1415"/>
      <c r="AW50" s="1415"/>
      <c r="AX50" s="1415"/>
      <c r="AY50" s="1787"/>
      <c r="AZ50" s="1405" t="s">
        <v>339</v>
      </c>
      <c r="BA50" s="1405"/>
      <c r="BB50" s="1405"/>
      <c r="BC50" s="1405"/>
      <c r="BD50" s="1406"/>
      <c r="BE50" s="1414"/>
      <c r="BF50" s="1415"/>
      <c r="BG50" s="1415"/>
      <c r="BH50" s="1415"/>
      <c r="BI50" s="1415"/>
      <c r="BJ50" s="1415"/>
      <c r="BK50" s="1415"/>
      <c r="BL50" s="1423"/>
      <c r="BM50" s="1197"/>
    </row>
    <row r="51" spans="6:65" ht="17.25" thickBot="1">
      <c r="AL51" s="1196"/>
      <c r="AM51" s="1425" t="s">
        <v>1663</v>
      </c>
      <c r="AN51" s="1426"/>
      <c r="AO51" s="1426"/>
      <c r="AP51" s="1426"/>
      <c r="AQ51" s="1426"/>
      <c r="AR51" s="1710"/>
      <c r="AS51" s="1711"/>
      <c r="AT51" s="1711"/>
      <c r="AU51" s="1711"/>
      <c r="AV51" s="1711"/>
      <c r="AW51" s="1711"/>
      <c r="AX51" s="1711"/>
      <c r="AY51" s="1788"/>
      <c r="AZ51" s="1713" t="s">
        <v>1664</v>
      </c>
      <c r="BA51" s="1713"/>
      <c r="BB51" s="1713"/>
      <c r="BC51" s="1713"/>
      <c r="BD51" s="1555"/>
      <c r="BE51" s="1784"/>
      <c r="BF51" s="1785"/>
      <c r="BG51" s="1785"/>
      <c r="BH51" s="1785"/>
      <c r="BI51" s="1785"/>
      <c r="BJ51" s="1785"/>
      <c r="BK51" s="1785"/>
      <c r="BL51" s="1786"/>
      <c r="BM51" s="1197"/>
    </row>
    <row r="52" spans="6:65" ht="17.25" thickBot="1">
      <c r="F52" s="46"/>
      <c r="AL52" s="1200"/>
      <c r="AM52" s="1201"/>
      <c r="AN52" s="1201"/>
      <c r="AO52" s="1201"/>
      <c r="AP52" s="1201"/>
      <c r="AQ52" s="1201"/>
      <c r="AR52" s="1201"/>
      <c r="AS52" s="1201"/>
      <c r="AT52" s="1201"/>
      <c r="AU52" s="1201"/>
      <c r="AV52" s="1201"/>
      <c r="AW52" s="1201"/>
      <c r="AX52" s="1201"/>
      <c r="AY52" s="1201"/>
      <c r="AZ52" s="1201"/>
      <c r="BA52" s="1201"/>
      <c r="BB52" s="1201"/>
      <c r="BC52" s="1201"/>
      <c r="BD52" s="1201"/>
      <c r="BE52" s="1201"/>
      <c r="BF52" s="1201"/>
      <c r="BG52" s="1201"/>
      <c r="BH52" s="1201"/>
      <c r="BI52" s="1201"/>
      <c r="BJ52" s="1201"/>
      <c r="BK52" s="1201"/>
      <c r="BL52" s="1201"/>
      <c r="BM52" s="1202"/>
    </row>
    <row r="53" spans="6:65">
      <c r="F53" s="46"/>
    </row>
    <row r="54" spans="6:65">
      <c r="F54" s="46"/>
    </row>
    <row r="55" spans="6:65"/>
    <row r="56" spans="6:65"/>
    <row r="57" spans="6:65"/>
    <row r="58" spans="6:65"/>
    <row r="59" spans="6:65"/>
    <row r="60" spans="6:65"/>
    <row r="61" spans="6:65"/>
    <row r="62" spans="6:65"/>
    <row r="63" spans="6:65"/>
    <row r="64" spans="6:65"/>
    <row r="65"/>
    <row r="66"/>
  </sheetData>
  <dataConsolidate/>
  <mergeCells count="300">
    <mergeCell ref="BO41:CS46"/>
    <mergeCell ref="D12:J12"/>
    <mergeCell ref="K12:AG12"/>
    <mergeCell ref="AR42:AX42"/>
    <mergeCell ref="AY42:BE42"/>
    <mergeCell ref="BF42:BL42"/>
    <mergeCell ref="AM42:AQ42"/>
    <mergeCell ref="DX32:DY32"/>
    <mergeCell ref="DZ32:EA32"/>
    <mergeCell ref="DZ33:EA33"/>
    <mergeCell ref="DX34:DX35"/>
    <mergeCell ref="DZ34:EA34"/>
    <mergeCell ref="DZ35:EA35"/>
    <mergeCell ref="AR41:AX41"/>
    <mergeCell ref="AY35:BE35"/>
    <mergeCell ref="BF34:BJ34"/>
    <mergeCell ref="BK34:BL34"/>
    <mergeCell ref="BF32:BL32"/>
    <mergeCell ref="DX30:DY30"/>
    <mergeCell ref="DZ30:EA30"/>
    <mergeCell ref="DX31:DY31"/>
    <mergeCell ref="DZ31:EA31"/>
    <mergeCell ref="S28:Y28"/>
    <mergeCell ref="AA28:AG28"/>
    <mergeCell ref="BN7:CK7"/>
    <mergeCell ref="BN8:CK8"/>
    <mergeCell ref="BN3:BN4"/>
    <mergeCell ref="BF31:BJ31"/>
    <mergeCell ref="BK31:BL31"/>
    <mergeCell ref="BC21:BL21"/>
    <mergeCell ref="AR21:BB21"/>
    <mergeCell ref="AR22:BL22"/>
    <mergeCell ref="AR23:BB23"/>
    <mergeCell ref="BC23:BL23"/>
    <mergeCell ref="BI30:BL30"/>
    <mergeCell ref="AR26:BL26"/>
    <mergeCell ref="AY29:BE29"/>
    <mergeCell ref="AY28:BE28"/>
    <mergeCell ref="BF29:BL29"/>
    <mergeCell ref="AY31:BC31"/>
    <mergeCell ref="AR7:BL7"/>
    <mergeCell ref="AR25:BB25"/>
    <mergeCell ref="BC25:BL25"/>
    <mergeCell ref="AR24:BB24"/>
    <mergeCell ref="BC24:BL24"/>
    <mergeCell ref="AR19:BB19"/>
    <mergeCell ref="AR20:BL20"/>
    <mergeCell ref="DZ22:EA22"/>
    <mergeCell ref="DW23:DW34"/>
    <mergeCell ref="DZ23:EA23"/>
    <mergeCell ref="DX24:DX25"/>
    <mergeCell ref="AR8:BL8"/>
    <mergeCell ref="BO16:CS17"/>
    <mergeCell ref="BO11:CS12"/>
    <mergeCell ref="DZ24:EA24"/>
    <mergeCell ref="DZ25:EA25"/>
    <mergeCell ref="DX26:DY26"/>
    <mergeCell ref="DZ26:EA26"/>
    <mergeCell ref="DX27:DY27"/>
    <mergeCell ref="DZ27:EA27"/>
    <mergeCell ref="DX28:DY28"/>
    <mergeCell ref="DZ28:EA28"/>
    <mergeCell ref="DX29:DY29"/>
    <mergeCell ref="BD31:BE31"/>
    <mergeCell ref="AU30:AX30"/>
    <mergeCell ref="AR34:AV34"/>
    <mergeCell ref="AW34:AX34"/>
    <mergeCell ref="DZ29:EA29"/>
    <mergeCell ref="AR15:BL15"/>
    <mergeCell ref="AR18:BL18"/>
    <mergeCell ref="DW22:DY22"/>
    <mergeCell ref="Z15:AD15"/>
    <mergeCell ref="Z16:AD16"/>
    <mergeCell ref="AE16:AG16"/>
    <mergeCell ref="AM26:AQ26"/>
    <mergeCell ref="AM18:AQ19"/>
    <mergeCell ref="Z17:AD17"/>
    <mergeCell ref="AE17:AG17"/>
    <mergeCell ref="AM24:AQ24"/>
    <mergeCell ref="AM23:AQ23"/>
    <mergeCell ref="AM20:AQ20"/>
    <mergeCell ref="AM21:AQ22"/>
    <mergeCell ref="AA26:AB27"/>
    <mergeCell ref="AE15:AG15"/>
    <mergeCell ref="AM16:BL17"/>
    <mergeCell ref="BC19:BL19"/>
    <mergeCell ref="BI36:BL36"/>
    <mergeCell ref="M26:Q27"/>
    <mergeCell ref="AY34:BC34"/>
    <mergeCell ref="BD34:BE34"/>
    <mergeCell ref="D26:J27"/>
    <mergeCell ref="U24:Y25"/>
    <mergeCell ref="S24:T25"/>
    <mergeCell ref="U26:Y27"/>
    <mergeCell ref="S26:T27"/>
    <mergeCell ref="AR29:AX29"/>
    <mergeCell ref="AM28:AQ28"/>
    <mergeCell ref="AR31:AV31"/>
    <mergeCell ref="AW31:AX31"/>
    <mergeCell ref="O35:S35"/>
    <mergeCell ref="D35:I35"/>
    <mergeCell ref="J35:N35"/>
    <mergeCell ref="AC24:AG25"/>
    <mergeCell ref="AC26:AG27"/>
    <mergeCell ref="K26:L27"/>
    <mergeCell ref="D24:J25"/>
    <mergeCell ref="AA24:AB25"/>
    <mergeCell ref="M24:Q25"/>
    <mergeCell ref="AM32:AQ34"/>
    <mergeCell ref="AR32:AX32"/>
    <mergeCell ref="E46:AG46"/>
    <mergeCell ref="E47:AG47"/>
    <mergeCell ref="D44:Q44"/>
    <mergeCell ref="T44:AG44"/>
    <mergeCell ref="S29:Y29"/>
    <mergeCell ref="AA29:AG29"/>
    <mergeCell ref="D29:J29"/>
    <mergeCell ref="K29:Q29"/>
    <mergeCell ref="K30:Q31"/>
    <mergeCell ref="D39:J39"/>
    <mergeCell ref="M39:Q39"/>
    <mergeCell ref="K39:L39"/>
    <mergeCell ref="U39:Y39"/>
    <mergeCell ref="S39:T39"/>
    <mergeCell ref="AC39:AG39"/>
    <mergeCell ref="D30:J31"/>
    <mergeCell ref="AA30:AG31"/>
    <mergeCell ref="S30:Y31"/>
    <mergeCell ref="D33:J33"/>
    <mergeCell ref="K33:Q33"/>
    <mergeCell ref="D45:J45"/>
    <mergeCell ref="K45:Q45"/>
    <mergeCell ref="T45:Z45"/>
    <mergeCell ref="AA45:AG45"/>
    <mergeCell ref="AM1:BL2"/>
    <mergeCell ref="K11:AC11"/>
    <mergeCell ref="AD11:AG11"/>
    <mergeCell ref="K10:AG10"/>
    <mergeCell ref="AR13:AW13"/>
    <mergeCell ref="AM13:AQ13"/>
    <mergeCell ref="AR11:BL11"/>
    <mergeCell ref="AM5:AQ5"/>
    <mergeCell ref="AM6:AQ6"/>
    <mergeCell ref="AM4:AQ4"/>
    <mergeCell ref="AR4:BL4"/>
    <mergeCell ref="AR5:BL5"/>
    <mergeCell ref="AR6:BL6"/>
    <mergeCell ref="Z13:AD13"/>
    <mergeCell ref="AE13:AG13"/>
    <mergeCell ref="AM7:AQ7"/>
    <mergeCell ref="AM8:AQ8"/>
    <mergeCell ref="Z14:AD14"/>
    <mergeCell ref="AE14:AG14"/>
    <mergeCell ref="AM9:AQ9"/>
    <mergeCell ref="AR9:BL9"/>
    <mergeCell ref="AZ12:BD12"/>
    <mergeCell ref="BE12:BL12"/>
    <mergeCell ref="AR12:AW12"/>
    <mergeCell ref="AM12:AQ12"/>
    <mergeCell ref="AM11:AQ11"/>
    <mergeCell ref="AR14:BL14"/>
    <mergeCell ref="AM51:AQ51"/>
    <mergeCell ref="AM46:AQ46"/>
    <mergeCell ref="AY33:BA33"/>
    <mergeCell ref="BB33:BE33"/>
    <mergeCell ref="AY32:BE32"/>
    <mergeCell ref="AR46:AX46"/>
    <mergeCell ref="AZ49:BD49"/>
    <mergeCell ref="AY38:BE38"/>
    <mergeCell ref="AY36:BA36"/>
    <mergeCell ref="BB36:BE36"/>
    <mergeCell ref="AR36:AT36"/>
    <mergeCell ref="BB44:BE44"/>
    <mergeCell ref="AR45:AX45"/>
    <mergeCell ref="AY45:BE45"/>
    <mergeCell ref="AU39:AX40"/>
    <mergeCell ref="AY39:BA40"/>
    <mergeCell ref="BB39:BE40"/>
    <mergeCell ref="AY41:BE41"/>
    <mergeCell ref="AR37:AV37"/>
    <mergeCell ref="AW37:AX37"/>
    <mergeCell ref="AY37:BC37"/>
    <mergeCell ref="BD37:BE37"/>
    <mergeCell ref="AR48:AY48"/>
    <mergeCell ref="AR49:AY49"/>
    <mergeCell ref="BE49:BL49"/>
    <mergeCell ref="BF38:BL38"/>
    <mergeCell ref="BF30:BH30"/>
    <mergeCell ref="AM45:AQ45"/>
    <mergeCell ref="AM44:AQ44"/>
    <mergeCell ref="AM49:AQ49"/>
    <mergeCell ref="AR44:AT44"/>
    <mergeCell ref="AU44:AX44"/>
    <mergeCell ref="AY44:BA44"/>
    <mergeCell ref="BF45:BL45"/>
    <mergeCell ref="AM48:AQ48"/>
    <mergeCell ref="AY46:BE46"/>
    <mergeCell ref="BF33:BH33"/>
    <mergeCell ref="AM41:AQ41"/>
    <mergeCell ref="AM39:AQ40"/>
    <mergeCell ref="AR39:AT40"/>
    <mergeCell ref="BI44:BL44"/>
    <mergeCell ref="BI39:BL40"/>
    <mergeCell ref="BF44:BH44"/>
    <mergeCell ref="BF39:BH40"/>
    <mergeCell ref="BF36:BH36"/>
    <mergeCell ref="BF37:BJ37"/>
    <mergeCell ref="BK37:BL37"/>
    <mergeCell ref="BF35:BL35"/>
    <mergeCell ref="AR38:AX38"/>
    <mergeCell ref="D38:J38"/>
    <mergeCell ref="O36:S36"/>
    <mergeCell ref="D36:I36"/>
    <mergeCell ref="J36:N36"/>
    <mergeCell ref="AA35:AG35"/>
    <mergeCell ref="T35:Y35"/>
    <mergeCell ref="S33:Y33"/>
    <mergeCell ref="AA33:AG33"/>
    <mergeCell ref="M38:Q38"/>
    <mergeCell ref="K38:L38"/>
    <mergeCell ref="U38:Y38"/>
    <mergeCell ref="S38:T38"/>
    <mergeCell ref="AC38:AG38"/>
    <mergeCell ref="AA38:AB38"/>
    <mergeCell ref="T36:Y36"/>
    <mergeCell ref="AA36:AG36"/>
    <mergeCell ref="AU36:AX36"/>
    <mergeCell ref="AR35:AX35"/>
    <mergeCell ref="AR33:AT33"/>
    <mergeCell ref="AU33:AX33"/>
    <mergeCell ref="AM50:AQ50"/>
    <mergeCell ref="BF41:BL41"/>
    <mergeCell ref="BF46:BL46"/>
    <mergeCell ref="AM15:AQ15"/>
    <mergeCell ref="AZ13:BD13"/>
    <mergeCell ref="BE13:BL13"/>
    <mergeCell ref="AM14:AQ14"/>
    <mergeCell ref="AZ51:BD51"/>
    <mergeCell ref="BE50:BL50"/>
    <mergeCell ref="BE51:BL51"/>
    <mergeCell ref="AM25:AQ25"/>
    <mergeCell ref="AR50:AY50"/>
    <mergeCell ref="AR51:AY51"/>
    <mergeCell ref="BE48:BL48"/>
    <mergeCell ref="BF28:BL28"/>
    <mergeCell ref="AZ50:BD50"/>
    <mergeCell ref="AZ48:BD48"/>
    <mergeCell ref="BI33:BL33"/>
    <mergeCell ref="AY30:BA30"/>
    <mergeCell ref="BB30:BE30"/>
    <mergeCell ref="AM35:AQ38"/>
    <mergeCell ref="AR28:AX28"/>
    <mergeCell ref="AM29:AQ31"/>
    <mergeCell ref="AR30:AT30"/>
    <mergeCell ref="D11:J11"/>
    <mergeCell ref="D3:AH5"/>
    <mergeCell ref="AB7:AG7"/>
    <mergeCell ref="D9:J9"/>
    <mergeCell ref="D10:J10"/>
    <mergeCell ref="K9:AG9"/>
    <mergeCell ref="AG6:AH6"/>
    <mergeCell ref="Y7:AA7"/>
    <mergeCell ref="Y6:AF6"/>
    <mergeCell ref="D16:J16"/>
    <mergeCell ref="K16:Q16"/>
    <mergeCell ref="S15:Y15"/>
    <mergeCell ref="S16:Y16"/>
    <mergeCell ref="S13:Y13"/>
    <mergeCell ref="S14:Y14"/>
    <mergeCell ref="S17:Y17"/>
    <mergeCell ref="D13:J13"/>
    <mergeCell ref="D14:J14"/>
    <mergeCell ref="D15:J15"/>
    <mergeCell ref="K13:Q13"/>
    <mergeCell ref="K14:Q14"/>
    <mergeCell ref="K15:Q15"/>
    <mergeCell ref="D17:J17"/>
    <mergeCell ref="K17:Q17"/>
    <mergeCell ref="K24:L25"/>
    <mergeCell ref="D22:J23"/>
    <mergeCell ref="K19:L19"/>
    <mergeCell ref="S19:T19"/>
    <mergeCell ref="AA19:AB19"/>
    <mergeCell ref="U22:Y23"/>
    <mergeCell ref="AA39:AB39"/>
    <mergeCell ref="D28:J28"/>
    <mergeCell ref="K28:Q28"/>
    <mergeCell ref="D20:J20"/>
    <mergeCell ref="K20:Q20"/>
    <mergeCell ref="S20:Y20"/>
    <mergeCell ref="AA20:AG20"/>
    <mergeCell ref="M22:Q23"/>
    <mergeCell ref="K22:L23"/>
    <mergeCell ref="K21:Q21"/>
    <mergeCell ref="S21:Y21"/>
    <mergeCell ref="AA21:AG21"/>
    <mergeCell ref="D21:J21"/>
    <mergeCell ref="AA22:AB23"/>
    <mergeCell ref="AC22:AG23"/>
    <mergeCell ref="S22:T23"/>
  </mergeCells>
  <phoneticPr fontId="2" type="noConversion"/>
  <conditionalFormatting sqref="BC19:BL19">
    <cfRule type="expression" dxfId="109" priority="191">
      <formula>$BQ$19=FALSE</formula>
    </cfRule>
  </conditionalFormatting>
  <conditionalFormatting sqref="K19:Q33">
    <cfRule type="expression" dxfId="108" priority="187">
      <formula>$BQ$30=FALSE</formula>
    </cfRule>
  </conditionalFormatting>
  <conditionalFormatting sqref="AA19:AG33">
    <cfRule type="expression" dxfId="107" priority="186">
      <formula>$BQ$32=FALSE</formula>
    </cfRule>
  </conditionalFormatting>
  <conditionalFormatting sqref="S19:Y33">
    <cfRule type="expression" dxfId="106" priority="185">
      <formula>$BQ$31=FALSE</formula>
    </cfRule>
  </conditionalFormatting>
  <conditionalFormatting sqref="K33">
    <cfRule type="expression" dxfId="105" priority="184">
      <formula>$BQ$30=FALSE</formula>
    </cfRule>
  </conditionalFormatting>
  <conditionalFormatting sqref="AA33">
    <cfRule type="expression" dxfId="104" priority="183">
      <formula>$BQ$32=FALSE</formula>
    </cfRule>
  </conditionalFormatting>
  <conditionalFormatting sqref="S33">
    <cfRule type="expression" dxfId="103" priority="182">
      <formula>$BQ$31=FALSE</formula>
    </cfRule>
  </conditionalFormatting>
  <conditionalFormatting sqref="S38:Y39">
    <cfRule type="expression" dxfId="102" priority="175">
      <formula>$BQ$31=FALSE</formula>
    </cfRule>
  </conditionalFormatting>
  <conditionalFormatting sqref="K38:Q39">
    <cfRule type="expression" dxfId="101" priority="177">
      <formula>$BQ$30=FALSE</formula>
    </cfRule>
  </conditionalFormatting>
  <conditionalFormatting sqref="AA38:AG39">
    <cfRule type="expression" dxfId="100" priority="176">
      <formula>$BQ$32=FALSE</formula>
    </cfRule>
  </conditionalFormatting>
  <conditionalFormatting sqref="D30:Q31">
    <cfRule type="expression" dxfId="99" priority="122">
      <formula>$BQ$33=FALSE</formula>
    </cfRule>
  </conditionalFormatting>
  <conditionalFormatting sqref="D30:J31 S30:Y31">
    <cfRule type="expression" dxfId="98" priority="121">
      <formula>$BQ$34=FALSE</formula>
    </cfRule>
  </conditionalFormatting>
  <conditionalFormatting sqref="AA30:AG31 D30:J31">
    <cfRule type="expression" dxfId="97" priority="120">
      <formula>$BI$39=FALSE</formula>
    </cfRule>
  </conditionalFormatting>
  <conditionalFormatting sqref="S30:Y31">
    <cfRule type="expression" dxfId="96" priority="119">
      <formula>$S$30=FALSE</formula>
    </cfRule>
  </conditionalFormatting>
  <conditionalFormatting sqref="AA30:AG31">
    <cfRule type="expression" dxfId="95" priority="118">
      <formula>$AA$30=FALSE</formula>
    </cfRule>
  </conditionalFormatting>
  <conditionalFormatting sqref="K30:Q31">
    <cfRule type="expression" dxfId="94" priority="117">
      <formula>$K$30=FALSE</formula>
    </cfRule>
  </conditionalFormatting>
  <conditionalFormatting sqref="BN22:BO23">
    <cfRule type="expression" dxfId="93" priority="116">
      <formula>$AR$5="수입"</formula>
    </cfRule>
  </conditionalFormatting>
  <conditionalFormatting sqref="AM8:AR8">
    <cfRule type="expression" dxfId="92" priority="115">
      <formula>$AR$5="수입"</formula>
    </cfRule>
  </conditionalFormatting>
  <conditionalFormatting sqref="BM7:BM8">
    <cfRule type="expression" dxfId="91" priority="114">
      <formula>$AR$5="수입"</formula>
    </cfRule>
  </conditionalFormatting>
  <conditionalFormatting sqref="D12:AG12">
    <cfRule type="expression" dxfId="90" priority="113">
      <formula>$AR$5="수입"</formula>
    </cfRule>
  </conditionalFormatting>
  <conditionalFormatting sqref="AM16">
    <cfRule type="expression" dxfId="89" priority="111">
      <formula>RIGHT($AR$7,4)="(EV)"</formula>
    </cfRule>
  </conditionalFormatting>
  <conditionalFormatting sqref="AY33:BA33">
    <cfRule type="expression" dxfId="88" priority="56">
      <formula>$AY$32="직접입력"</formula>
    </cfRule>
  </conditionalFormatting>
  <conditionalFormatting sqref="AR34">
    <cfRule type="expression" dxfId="87" priority="54">
      <formula>$AR$32="취득원가기준"</formula>
    </cfRule>
    <cfRule type="expression" dxfId="86" priority="55">
      <formula>$AR$32="직접입력"</formula>
    </cfRule>
  </conditionalFormatting>
  <conditionalFormatting sqref="AR34:AX34">
    <cfRule type="expression" dxfId="85" priority="53">
      <formula>$AR$32="차량가기준"</formula>
    </cfRule>
  </conditionalFormatting>
  <conditionalFormatting sqref="AY34">
    <cfRule type="expression" dxfId="84" priority="51">
      <formula>$AY$32="취득원가기준"</formula>
    </cfRule>
    <cfRule type="expression" dxfId="83" priority="52">
      <formula>$AY$32="직접입력"</formula>
    </cfRule>
  </conditionalFormatting>
  <conditionalFormatting sqref="AY34:BE34">
    <cfRule type="expression" dxfId="82" priority="50">
      <formula>$AY$32="차량가기준"</formula>
    </cfRule>
  </conditionalFormatting>
  <conditionalFormatting sqref="AR33">
    <cfRule type="expression" dxfId="81" priority="49">
      <formula>$AR$32="직접입력"</formula>
    </cfRule>
  </conditionalFormatting>
  <conditionalFormatting sqref="AU33:AX33">
    <cfRule type="expression" dxfId="80" priority="47">
      <formula>$AR$32="차량가기준"</formula>
    </cfRule>
    <cfRule type="expression" dxfId="79" priority="48">
      <formula>$AR$32="직접입력"</formula>
    </cfRule>
  </conditionalFormatting>
  <conditionalFormatting sqref="BB33:BE33">
    <cfRule type="expression" dxfId="78" priority="45">
      <formula>$AY$32="차량가기준"</formula>
    </cfRule>
    <cfRule type="expression" dxfId="77" priority="46">
      <formula>$AY$32="직접입력"</formula>
    </cfRule>
  </conditionalFormatting>
  <conditionalFormatting sqref="BF33:BH33">
    <cfRule type="expression" dxfId="76" priority="44">
      <formula>$BF$32="직접입력"</formula>
    </cfRule>
  </conditionalFormatting>
  <conditionalFormatting sqref="BI33:BL33">
    <cfRule type="expression" dxfId="75" priority="42">
      <formula>$BF$32="차량가기준"</formula>
    </cfRule>
    <cfRule type="expression" dxfId="74" priority="43">
      <formula>$BF$32="직접입력"</formula>
    </cfRule>
  </conditionalFormatting>
  <conditionalFormatting sqref="BF34">
    <cfRule type="expression" dxfId="73" priority="40">
      <formula>$BF$32="취득원가기준"</formula>
    </cfRule>
    <cfRule type="expression" dxfId="72" priority="41">
      <formula>$BF$32="직접입력"</formula>
    </cfRule>
  </conditionalFormatting>
  <conditionalFormatting sqref="BF34:BL34">
    <cfRule type="expression" dxfId="71" priority="39">
      <formula>$BF$32="차량가기준"</formula>
    </cfRule>
  </conditionalFormatting>
  <conditionalFormatting sqref="AY36:BA36">
    <cfRule type="expression" dxfId="70" priority="38">
      <formula>$AY$35="직접입력"</formula>
    </cfRule>
  </conditionalFormatting>
  <conditionalFormatting sqref="AR37">
    <cfRule type="expression" dxfId="69" priority="36">
      <formula>$AR$35="취득원가기준"</formula>
    </cfRule>
    <cfRule type="expression" dxfId="68" priority="37">
      <formula>$AR$35="직접입력"</formula>
    </cfRule>
  </conditionalFormatting>
  <conditionalFormatting sqref="AR37:AX37">
    <cfRule type="expression" dxfId="67" priority="35">
      <formula>$AR$35="차량가기준"</formula>
    </cfRule>
  </conditionalFormatting>
  <conditionalFormatting sqref="AY37">
    <cfRule type="expression" dxfId="66" priority="33">
      <formula>$AY$35="취득원가기준"</formula>
    </cfRule>
    <cfRule type="expression" dxfId="65" priority="34">
      <formula>$AY$35="직접입력"</formula>
    </cfRule>
  </conditionalFormatting>
  <conditionalFormatting sqref="AY37:BE37">
    <cfRule type="expression" dxfId="64" priority="32">
      <formula>$AY$35="차량가기준"</formula>
    </cfRule>
  </conditionalFormatting>
  <conditionalFormatting sqref="AR36">
    <cfRule type="expression" dxfId="63" priority="31">
      <formula>$AR$35="직접입력"</formula>
    </cfRule>
  </conditionalFormatting>
  <conditionalFormatting sqref="AU36:AX36">
    <cfRule type="expression" dxfId="62" priority="29">
      <formula>$AR$35="차량가기준"</formula>
    </cfRule>
    <cfRule type="expression" dxfId="61" priority="30">
      <formula>$AR$35="직접입력"</formula>
    </cfRule>
  </conditionalFormatting>
  <conditionalFormatting sqref="BB36:BE36">
    <cfRule type="expression" dxfId="60" priority="27">
      <formula>$AY$35="차량가기준"</formula>
    </cfRule>
    <cfRule type="expression" dxfId="59" priority="28">
      <formula>$AY$35="직접입력"</formula>
    </cfRule>
  </conditionalFormatting>
  <conditionalFormatting sqref="BF36:BH36">
    <cfRule type="expression" dxfId="58" priority="26">
      <formula>$BF$35="직접입력"</formula>
    </cfRule>
  </conditionalFormatting>
  <conditionalFormatting sqref="BI36:BL36">
    <cfRule type="expression" dxfId="57" priority="24">
      <formula>$BF$35="차량가기준"</formula>
    </cfRule>
    <cfRule type="expression" dxfId="56" priority="25">
      <formula>$BF$35="직접입력"</formula>
    </cfRule>
  </conditionalFormatting>
  <conditionalFormatting sqref="BF37">
    <cfRule type="expression" dxfId="55" priority="22">
      <formula>$BF$35="취득원가기준"</formula>
    </cfRule>
    <cfRule type="expression" dxfId="54" priority="23">
      <formula>$BF$35="직접입력"</formula>
    </cfRule>
  </conditionalFormatting>
  <conditionalFormatting sqref="BF37:BL37">
    <cfRule type="expression" dxfId="53" priority="21">
      <formula>$BF$35="차량가기준"</formula>
    </cfRule>
  </conditionalFormatting>
  <conditionalFormatting sqref="AY30:BA30">
    <cfRule type="expression" dxfId="52" priority="19">
      <formula>$AY$29="직접입력"</formula>
    </cfRule>
  </conditionalFormatting>
  <conditionalFormatting sqref="AR31">
    <cfRule type="expression" dxfId="51" priority="18">
      <formula>$AR$29="취득원가기준"</formula>
    </cfRule>
    <cfRule type="expression" dxfId="50" priority="20">
      <formula>$AR$29="직접입력"</formula>
    </cfRule>
  </conditionalFormatting>
  <conditionalFormatting sqref="AR31:AX31">
    <cfRule type="expression" dxfId="49" priority="17">
      <formula>$AR$29="차량가기준"</formula>
    </cfRule>
  </conditionalFormatting>
  <conditionalFormatting sqref="AY31">
    <cfRule type="expression" dxfId="48" priority="15">
      <formula>$AY$29="취득원가기준"</formula>
    </cfRule>
    <cfRule type="expression" dxfId="47" priority="16">
      <formula>$AY$29="직접입력"</formula>
    </cfRule>
  </conditionalFormatting>
  <conditionalFormatting sqref="AY31:BE31">
    <cfRule type="expression" dxfId="46" priority="14">
      <formula>$AY$29="차량가기준"</formula>
    </cfRule>
  </conditionalFormatting>
  <conditionalFormatting sqref="AR30">
    <cfRule type="expression" dxfId="45" priority="13">
      <formula>$AR$29="직접입력"</formula>
    </cfRule>
  </conditionalFormatting>
  <conditionalFormatting sqref="AU30:AX30">
    <cfRule type="expression" dxfId="44" priority="11">
      <formula>$AR$29="차량가기준"</formula>
    </cfRule>
    <cfRule type="expression" dxfId="43" priority="12">
      <formula>$AR$29="직접입력"</formula>
    </cfRule>
  </conditionalFormatting>
  <conditionalFormatting sqref="BB30:BE30">
    <cfRule type="expression" dxfId="42" priority="9">
      <formula>$AY$29="차량가기준"</formula>
    </cfRule>
    <cfRule type="expression" dxfId="41" priority="10">
      <formula>$AY$29="직접입력"</formula>
    </cfRule>
  </conditionalFormatting>
  <conditionalFormatting sqref="BF30:BH30">
    <cfRule type="expression" dxfId="40" priority="8">
      <formula>$BF$29="직접입력"</formula>
    </cfRule>
  </conditionalFormatting>
  <conditionalFormatting sqref="BI30:BL30">
    <cfRule type="expression" dxfId="39" priority="6">
      <formula>$BF$29="차량가기준"</formula>
    </cfRule>
    <cfRule type="expression" dxfId="38" priority="7">
      <formula>$BF$29="직접입력"</formula>
    </cfRule>
  </conditionalFormatting>
  <conditionalFormatting sqref="BF31">
    <cfRule type="expression" dxfId="37" priority="4">
      <formula>$BF$29="취득원가기준"</formula>
    </cfRule>
    <cfRule type="expression" dxfId="36" priority="5">
      <formula>$BF$29="직접입력"</formula>
    </cfRule>
  </conditionalFormatting>
  <conditionalFormatting sqref="BF31:BL31">
    <cfRule type="expression" dxfId="35" priority="3">
      <formula>$BF$29="차량가기준"</formula>
    </cfRule>
  </conditionalFormatting>
  <conditionalFormatting sqref="BN7:CK7">
    <cfRule type="expression" dxfId="34" priority="2">
      <formula>$AR$5="수입"</formula>
    </cfRule>
  </conditionalFormatting>
  <conditionalFormatting sqref="BN8:CK8">
    <cfRule type="expression" dxfId="33" priority="1">
      <formula>$AR$5="수입"</formula>
    </cfRule>
  </conditionalFormatting>
  <dataValidations count="10">
    <dataValidation type="list" allowBlank="1" showInputMessage="1" showErrorMessage="1" sqref="AR7" xr:uid="{00000000-0002-0000-0100-000000000000}">
      <formula1>INDIRECT($AR$6)</formula1>
    </dataValidation>
    <dataValidation type="decimal" allowBlank="1" showInputMessage="1" showErrorMessage="1" sqref="BC21" xr:uid="{00000000-0002-0000-0100-000001000000}">
      <formula1>0</formula1>
      <formula2>0.9</formula2>
    </dataValidation>
    <dataValidation errorStyle="warning" allowBlank="1" showInputMessage="1" showErrorMessage="1" errorTitle="잔존가치 오류" error="잔존가치를 확인하세요." sqref="AW37" xr:uid="{00000000-0002-0000-0100-000002000000}"/>
    <dataValidation type="custom" allowBlank="1" showInputMessage="1" showErrorMessage="1" errorTitle="잔존가치 오류" error="잔존가치를 확인하세요." sqref="BF38:BL38" xr:uid="{00000000-0002-0000-0100-000003000000}">
      <formula1>"BH37=&lt;BH39"</formula1>
    </dataValidation>
    <dataValidation type="custom" allowBlank="1" showInputMessage="1" showErrorMessage="1" errorTitle="수수료를 확인하세요." error="수수료 상한선 초과" sqref="AR44:AT44" xr:uid="{00000000-0002-0000-0100-000004000000}">
      <formula1>AR44&lt;=AR45</formula1>
    </dataValidation>
    <dataValidation type="custom" allowBlank="1" showInputMessage="1" showErrorMessage="1" errorTitle="수수료를 확인하세요" error="수수료 상한선 초과" sqref="AY44:BA44 BF44:BH44" xr:uid="{00000000-0002-0000-0100-000005000000}">
      <formula1>AY44&lt;=AY45</formula1>
    </dataValidation>
    <dataValidation type="list" allowBlank="1" showInputMessage="1" showErrorMessage="1" sqref="AR32:BL32 AR29:BL29 AR35:BL35" xr:uid="{00000000-0002-0000-0100-000006000000}">
      <formula1>"차량가기준, 직접입력"</formula1>
    </dataValidation>
    <dataValidation type="custom" allowBlank="1" showInputMessage="1" showErrorMessage="1" sqref="BC24:BE24" xr:uid="{00000000-0002-0000-0100-000007000000}">
      <formula1>BQ26=TRUE</formula1>
    </dataValidation>
    <dataValidation type="custom" allowBlank="1" showInputMessage="1" showErrorMessage="1" sqref="BF24:BL24" xr:uid="{00000000-0002-0000-0100-000008000000}">
      <formula1>BU26=TRUE</formula1>
    </dataValidation>
    <dataValidation type="list" allowBlank="1" showInputMessage="1" showErrorMessage="1" sqref="AR42:BL42" xr:uid="{00000000-0002-0000-0100-000009000000}">
      <formula1>"0%, -1%, -2%, -3%, -4%, -5%, -6%, -7%, -8%, -9%, -10%"</formula1>
    </dataValidation>
  </dataValidations>
  <pageMargins left="0" right="0" top="0.39370078740157483" bottom="0" header="0" footer="0"/>
  <pageSetup paperSize="9" scale="84" orientation="portrait" cellComments="atEnd" r:id="rId1"/>
  <colBreaks count="2" manualBreakCount="2">
    <brk id="36" max="1048575" man="1"/>
    <brk id="68"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156" r:id="rId4" name="Check Box 60">
              <controlPr defaultSize="0" autoFill="0" autoLine="0" autoPict="0">
                <anchor moveWithCells="1">
                  <from>
                    <xdr:col>51</xdr:col>
                    <xdr:colOff>209550</xdr:colOff>
                    <xdr:row>25</xdr:row>
                    <xdr:rowOff>238125</xdr:rowOff>
                  </from>
                  <to>
                    <xdr:col>54</xdr:col>
                    <xdr:colOff>133350</xdr:colOff>
                    <xdr:row>27</xdr:row>
                    <xdr:rowOff>57150</xdr:rowOff>
                  </to>
                </anchor>
              </controlPr>
            </control>
          </mc:Choice>
        </mc:AlternateContent>
        <mc:AlternateContent xmlns:mc="http://schemas.openxmlformats.org/markup-compatibility/2006">
          <mc:Choice Requires="x14">
            <control shapeId="4157" r:id="rId5" name="Check Box 61">
              <controlPr defaultSize="0" autoFill="0" autoLine="0" autoPict="0">
                <anchor moveWithCells="1">
                  <from>
                    <xdr:col>58</xdr:col>
                    <xdr:colOff>171450</xdr:colOff>
                    <xdr:row>26</xdr:row>
                    <xdr:rowOff>0</xdr:rowOff>
                  </from>
                  <to>
                    <xdr:col>61</xdr:col>
                    <xdr:colOff>104775</xdr:colOff>
                    <xdr:row>27</xdr:row>
                    <xdr:rowOff>38100</xdr:rowOff>
                  </to>
                </anchor>
              </controlPr>
            </control>
          </mc:Choice>
        </mc:AlternateContent>
        <mc:AlternateContent xmlns:mc="http://schemas.openxmlformats.org/markup-compatibility/2006">
          <mc:Choice Requires="x14">
            <control shapeId="4158" r:id="rId6" name="Check Box 62">
              <controlPr defaultSize="0" autoFill="0" autoLine="0" autoPict="0" altText="견적1">
                <anchor moveWithCells="1">
                  <from>
                    <xdr:col>45</xdr:col>
                    <xdr:colOff>9525</xdr:colOff>
                    <xdr:row>25</xdr:row>
                    <xdr:rowOff>238125</xdr:rowOff>
                  </from>
                  <to>
                    <xdr:col>47</xdr:col>
                    <xdr:colOff>133350</xdr:colOff>
                    <xdr:row>27</xdr:row>
                    <xdr:rowOff>47625</xdr:rowOff>
                  </to>
                </anchor>
              </controlPr>
            </control>
          </mc:Choice>
        </mc:AlternateContent>
        <mc:AlternateContent xmlns:mc="http://schemas.openxmlformats.org/markup-compatibility/2006">
          <mc:Choice Requires="x14">
            <control shapeId="4162" r:id="rId7" name="Check Box 66">
              <controlPr defaultSize="0" autoFill="0" autoLine="0" autoPict="0">
                <anchor moveWithCells="1">
                  <from>
                    <xdr:col>46</xdr:col>
                    <xdr:colOff>38100</xdr:colOff>
                    <xdr:row>18</xdr:row>
                    <xdr:rowOff>9525</xdr:rowOff>
                  </from>
                  <to>
                    <xdr:col>49</xdr:col>
                    <xdr:colOff>104775</xdr:colOff>
                    <xdr:row>19</xdr:row>
                    <xdr:rowOff>47625</xdr:rowOff>
                  </to>
                </anchor>
              </controlPr>
            </control>
          </mc:Choice>
        </mc:AlternateContent>
        <mc:AlternateContent xmlns:mc="http://schemas.openxmlformats.org/markup-compatibility/2006">
          <mc:Choice Requires="x14">
            <control shapeId="4163" r:id="rId8" name="Check Box 67">
              <controlPr defaultSize="0" autoFill="0" autoLine="0" autoPict="0">
                <anchor moveWithCells="1">
                  <from>
                    <xdr:col>46</xdr:col>
                    <xdr:colOff>38100</xdr:colOff>
                    <xdr:row>20</xdr:row>
                    <xdr:rowOff>28575</xdr:rowOff>
                  </from>
                  <to>
                    <xdr:col>50</xdr:col>
                    <xdr:colOff>180975</xdr:colOff>
                    <xdr:row>21</xdr:row>
                    <xdr:rowOff>9525</xdr:rowOff>
                  </to>
                </anchor>
              </controlPr>
            </control>
          </mc:Choice>
        </mc:AlternateContent>
        <mc:AlternateContent xmlns:mc="http://schemas.openxmlformats.org/markup-compatibility/2006">
          <mc:Choice Requires="x14">
            <control shapeId="4166" r:id="rId9" name="Check Box 70">
              <controlPr defaultSize="0" autoFill="0" autoLine="0" autoPict="0" altText="  취득원가 포함">
                <anchor moveWithCells="1">
                  <from>
                    <xdr:col>46</xdr:col>
                    <xdr:colOff>38100</xdr:colOff>
                    <xdr:row>22</xdr:row>
                    <xdr:rowOff>9525</xdr:rowOff>
                  </from>
                  <to>
                    <xdr:col>50</xdr:col>
                    <xdr:colOff>142875</xdr:colOff>
                    <xdr:row>23</xdr:row>
                    <xdr:rowOff>47625</xdr:rowOff>
                  </to>
                </anchor>
              </controlPr>
            </control>
          </mc:Choice>
        </mc:AlternateContent>
        <mc:AlternateContent xmlns:mc="http://schemas.openxmlformats.org/markup-compatibility/2006">
          <mc:Choice Requires="x14">
            <control shapeId="4170" r:id="rId10" name="Check Box 74">
              <controlPr defaultSize="0" autoFill="0" autoLine="0" autoPict="0">
                <anchor moveWithCells="1">
                  <from>
                    <xdr:col>46</xdr:col>
                    <xdr:colOff>38100</xdr:colOff>
                    <xdr:row>23</xdr:row>
                    <xdr:rowOff>9525</xdr:rowOff>
                  </from>
                  <to>
                    <xdr:col>50</xdr:col>
                    <xdr:colOff>104775</xdr:colOff>
                    <xdr:row>24</xdr:row>
                    <xdr:rowOff>38100</xdr:rowOff>
                  </to>
                </anchor>
              </controlPr>
            </control>
          </mc:Choice>
        </mc:AlternateContent>
        <mc:AlternateContent xmlns:mc="http://schemas.openxmlformats.org/markup-compatibility/2006">
          <mc:Choice Requires="x14">
            <control shapeId="4175" r:id="rId11" name="Check Box 79">
              <controlPr defaultSize="0" autoFill="0" autoLine="0" autoPict="0">
                <anchor moveWithCells="1">
                  <from>
                    <xdr:col>46</xdr:col>
                    <xdr:colOff>38100</xdr:colOff>
                    <xdr:row>24</xdr:row>
                    <xdr:rowOff>28575</xdr:rowOff>
                  </from>
                  <to>
                    <xdr:col>50</xdr:col>
                    <xdr:colOff>9525</xdr:colOff>
                    <xdr:row>25</xdr:row>
                    <xdr:rowOff>38100</xdr:rowOff>
                  </to>
                </anchor>
              </controlPr>
            </control>
          </mc:Choice>
        </mc:AlternateContent>
        <mc:AlternateContent xmlns:mc="http://schemas.openxmlformats.org/markup-compatibility/2006">
          <mc:Choice Requires="x14">
            <control shapeId="4179" r:id="rId12" name="Check Box 83">
              <controlPr locked="0" defaultSize="0" autoFill="0" autoLine="0" autoPict="0">
                <anchor moveWithCells="1">
                  <from>
                    <xdr:col>79</xdr:col>
                    <xdr:colOff>142875</xdr:colOff>
                    <xdr:row>0</xdr:row>
                    <xdr:rowOff>133350</xdr:rowOff>
                  </from>
                  <to>
                    <xdr:col>84</xdr:col>
                    <xdr:colOff>142875</xdr:colOff>
                    <xdr:row>2</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99" id="{9FD65003-A9DB-44F3-B79A-759E2D9930F6}">
            <xm:f>계산_운용리스!$W$84="취급불가"</xm:f>
            <x14:dxf>
              <font>
                <color theme="0"/>
              </font>
              <fill>
                <patternFill>
                  <bgColor rgb="FFC00000"/>
                </patternFill>
              </fill>
            </x14:dxf>
          </x14:cfRule>
          <xm:sqref>S30:Y31</xm:sqref>
        </x14:conditionalFormatting>
        <x14:conditionalFormatting xmlns:xm="http://schemas.microsoft.com/office/excel/2006/main">
          <x14:cfRule type="expression" priority="98" id="{282CB656-F58D-4A75-8B54-DCC90A24419F}">
            <xm:f>계산_운용리스!$AA$84="취급불가"</xm:f>
            <x14:dxf>
              <font>
                <color theme="0"/>
              </font>
              <fill>
                <patternFill>
                  <bgColor rgb="FFC00000"/>
                </patternFill>
              </fill>
            </x14:dxf>
          </x14:cfRule>
          <xm:sqref>AA30:AG31</xm:sqref>
        </x14:conditionalFormatting>
        <x14:conditionalFormatting xmlns:xm="http://schemas.microsoft.com/office/excel/2006/main">
          <x14:cfRule type="expression" priority="100" id="{EC89F9FB-1EFE-4E88-8E2C-A7E2F271F81A}">
            <xm:f>계산_운용리스!$S$84="취급불가"</xm:f>
            <x14:dxf>
              <font>
                <color theme="0"/>
              </font>
              <fill>
                <patternFill>
                  <bgColor rgb="FFC00000"/>
                </patternFill>
              </fill>
            </x14:dxf>
          </x14:cfRule>
          <xm:sqref>K30:Q31</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A000000}">
          <x14:formula1>
            <xm:f>계산_운용리스!$AR$4:$AR$6</xm:f>
          </x14:formula1>
          <xm:sqref>AR28:BL28</xm:sqref>
        </x14:dataValidation>
        <x14:dataValidation type="list" allowBlank="1" showInputMessage="1" showErrorMessage="1" xr:uid="{00000000-0002-0000-0100-00000B000000}">
          <x14:formula1>
            <xm:f>계산_운용리스!$AO$4:$AO$5</xm:f>
          </x14:formula1>
          <xm:sqref>AR20:BL20</xm:sqref>
        </x14:dataValidation>
        <x14:dataValidation type="list" allowBlank="1" showInputMessage="1" showErrorMessage="1" xr:uid="{00000000-0002-0000-0100-00000C000000}">
          <x14:formula1>
            <xm:f>IF(계산_운용리스!$N$4="국산",계산_운용리스!$AU$4:$AU$7,계산_운용리스!$AU$4:$AU$5)</xm:f>
          </x14:formula1>
          <xm:sqref>BF41:BL41</xm:sqref>
        </x14:dataValidation>
        <x14:dataValidation type="list" allowBlank="1" showInputMessage="1" showErrorMessage="1" xr:uid="{00000000-0002-0000-0100-00000D000000}">
          <x14:formula1>
            <xm:f>IF(계산_운용리스!$D$4="국산",계산_운용리스!$AU$4:$AU$7,계산_운용리스!$AU$4:$AU$5)</xm:f>
          </x14:formula1>
          <xm:sqref>AR41:AX41</xm:sqref>
        </x14:dataValidation>
        <x14:dataValidation type="list" allowBlank="1" showInputMessage="1" showErrorMessage="1" xr:uid="{00000000-0002-0000-0100-00000E000000}">
          <x14:formula1>
            <xm:f>IF(계산_운용리스!$I$4="국산",계산_운용리스!$AU$4:$AU$7,계산_운용리스!$AU$4:$AU$5)</xm:f>
          </x14:formula1>
          <xm:sqref>AY41:BE41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tabColor rgb="FFFF0000"/>
  </sheetPr>
  <dimension ref="A1:CM177"/>
  <sheetViews>
    <sheetView showGridLines="0" zoomScaleNormal="100" workbookViewId="0">
      <selection activeCell="W67" sqref="W67"/>
    </sheetView>
  </sheetViews>
  <sheetFormatPr defaultColWidth="6.125" defaultRowHeight="12"/>
  <cols>
    <col min="1" max="1" width="6.125" style="157"/>
    <col min="2" max="2" width="35.75" style="157" bestFit="1" customWidth="1"/>
    <col min="3" max="4" width="11.75" style="157" bestFit="1" customWidth="1"/>
    <col min="5" max="5" width="14.125" style="157" bestFit="1" customWidth="1"/>
    <col min="6" max="6" width="6" style="158" bestFit="1" customWidth="1"/>
    <col min="7" max="7" width="35.75" style="157" bestFit="1" customWidth="1"/>
    <col min="8" max="9" width="11.75" style="157" bestFit="1" customWidth="1"/>
    <col min="10" max="10" width="9.875" style="157" bestFit="1" customWidth="1"/>
    <col min="11" max="11" width="6" style="159" bestFit="1" customWidth="1"/>
    <col min="12" max="12" width="35.75" style="157" bestFit="1" customWidth="1"/>
    <col min="13" max="14" width="11.75" style="157" bestFit="1" customWidth="1"/>
    <col min="15" max="15" width="9.875" style="157" bestFit="1" customWidth="1"/>
    <col min="16" max="16" width="6" style="157" bestFit="1" customWidth="1"/>
    <col min="17" max="17" width="7.75" style="157" bestFit="1" customWidth="1"/>
    <col min="18" max="18" width="17.625" style="157" bestFit="1" customWidth="1"/>
    <col min="19" max="19" width="15.125" style="157" bestFit="1" customWidth="1"/>
    <col min="20" max="20" width="10" style="159" customWidth="1"/>
    <col min="21" max="21" width="6.125" style="159"/>
    <col min="22" max="22" width="17.625" style="157" bestFit="1" customWidth="1"/>
    <col min="23" max="23" width="14.625" style="157" bestFit="1" customWidth="1"/>
    <col min="24" max="24" width="10.625" style="159" customWidth="1"/>
    <col min="25" max="25" width="6.125" style="159"/>
    <col min="26" max="26" width="17.625" style="157" bestFit="1" customWidth="1"/>
    <col min="27" max="27" width="14.625" style="157" bestFit="1" customWidth="1"/>
    <col min="28" max="28" width="13" style="157" bestFit="1" customWidth="1"/>
    <col min="29" max="29" width="17.875" style="716" bestFit="1" customWidth="1"/>
    <col min="30" max="30" width="13.875" style="717" bestFit="1" customWidth="1"/>
    <col min="31" max="31" width="6.125" style="718"/>
    <col min="32" max="32" width="5.125" style="716" bestFit="1" customWidth="1"/>
    <col min="33" max="33" width="17.875" style="716" bestFit="1" customWidth="1"/>
    <col min="34" max="34" width="13.875" style="717" bestFit="1" customWidth="1"/>
    <col min="35" max="35" width="6.125" style="716"/>
    <col min="36" max="36" width="5.125" style="716" bestFit="1" customWidth="1"/>
    <col min="37" max="37" width="17.875" style="716" bestFit="1" customWidth="1"/>
    <col min="38" max="38" width="13.875" style="717" bestFit="1" customWidth="1"/>
    <col min="39" max="39" width="6.125" style="718"/>
    <col min="40" max="40" width="15" style="716" bestFit="1" customWidth="1"/>
    <col min="41" max="41" width="16.625" style="716" bestFit="1" customWidth="1"/>
    <col min="42" max="42" width="6.125" style="716"/>
    <col min="43" max="43" width="2.375" style="716" bestFit="1" customWidth="1"/>
    <col min="44" max="44" width="7.5" style="716" bestFit="1" customWidth="1"/>
    <col min="45" max="45" width="6.125" style="716"/>
    <col min="46" max="46" width="2.375" style="716" bestFit="1" customWidth="1"/>
    <col min="47" max="47" width="10.5" style="716" bestFit="1" customWidth="1"/>
    <col min="48" max="48" width="6.125" style="719"/>
    <col min="49" max="49" width="14.125" style="719" bestFit="1" customWidth="1"/>
    <col min="50" max="50" width="7.5" style="719" bestFit="1" customWidth="1"/>
    <col min="51" max="51" width="10.875" style="719" bestFit="1" customWidth="1"/>
    <col min="52" max="53" width="9.875" style="719" bestFit="1" customWidth="1"/>
    <col min="54" max="54" width="8.625" style="719" bestFit="1" customWidth="1"/>
    <col min="55" max="59" width="6.125" style="719"/>
    <col min="60" max="60" width="7.5" style="719" bestFit="1" customWidth="1"/>
    <col min="61" max="61" width="11.75" style="719" bestFit="1" customWidth="1"/>
    <col min="62" max="62" width="7.75" style="719" bestFit="1" customWidth="1"/>
    <col min="63" max="63" width="6.125" style="719"/>
    <col min="64" max="64" width="15.5" style="719" bestFit="1" customWidth="1"/>
    <col min="65" max="65" width="7.75" style="719" bestFit="1" customWidth="1"/>
    <col min="66" max="66" width="6.125" style="719"/>
    <col min="67" max="67" width="5.125" style="719" bestFit="1" customWidth="1"/>
    <col min="68" max="68" width="47.25" style="719" bestFit="1" customWidth="1"/>
    <col min="69" max="91" width="6.125" style="719"/>
    <col min="92" max="16384" width="6.125" style="163"/>
  </cols>
  <sheetData>
    <row r="1" spans="1:68" s="163" customFormat="1" ht="11.25">
      <c r="A1" s="157"/>
      <c r="B1" s="157" t="str">
        <f>'AG 입력시트'!AE51&amp;"_"&amp;ROUNDUP(S41,3)*100&amp;ROUNDUP(W41,3)*100&amp;ROUNDUP(AA41,3)*100&amp;"L"</f>
        <v>Ver.241202_555L</v>
      </c>
      <c r="C1" s="157"/>
      <c r="D1" s="157"/>
      <c r="E1" s="157"/>
      <c r="F1" s="158"/>
      <c r="G1" s="157"/>
      <c r="H1" s="157"/>
      <c r="I1" s="157"/>
      <c r="J1" s="157"/>
      <c r="K1" s="159"/>
      <c r="L1" s="157"/>
      <c r="M1" s="157"/>
      <c r="N1" s="157"/>
      <c r="O1" s="157"/>
      <c r="P1" s="157"/>
      <c r="Q1" s="157"/>
      <c r="R1" s="157"/>
      <c r="S1" s="160"/>
      <c r="T1" s="159"/>
      <c r="U1" s="159"/>
      <c r="V1" s="157"/>
      <c r="W1" s="157"/>
      <c r="X1" s="159"/>
      <c r="Y1" s="159"/>
      <c r="Z1" s="157"/>
      <c r="AA1" s="157"/>
      <c r="AB1" s="157"/>
      <c r="AC1" s="157"/>
      <c r="AD1" s="161"/>
      <c r="AE1" s="162"/>
      <c r="AF1" s="157"/>
      <c r="AG1" s="157"/>
      <c r="AH1" s="161"/>
      <c r="AI1" s="157"/>
      <c r="AJ1" s="157"/>
      <c r="AK1" s="157"/>
      <c r="AL1" s="161"/>
      <c r="AM1" s="162"/>
      <c r="AN1" s="157"/>
      <c r="AO1" s="157"/>
      <c r="AP1" s="157"/>
      <c r="AQ1" s="157"/>
      <c r="AR1" s="157"/>
      <c r="AS1" s="157"/>
      <c r="AT1" s="157"/>
      <c r="AU1" s="157"/>
    </row>
    <row r="2" spans="1:68" s="163" customFormat="1" ht="12" customHeight="1">
      <c r="B2" s="164" t="s">
        <v>292</v>
      </c>
      <c r="C2" s="165" t="s">
        <v>579</v>
      </c>
      <c r="D2" s="165" t="s">
        <v>578</v>
      </c>
      <c r="E2" s="166" t="str">
        <f>+운용리스_비교!AR7</f>
        <v>레이_(가솔린)</v>
      </c>
      <c r="F2" s="167"/>
      <c r="G2" s="164" t="s">
        <v>291</v>
      </c>
      <c r="H2" s="165" t="s">
        <v>579</v>
      </c>
      <c r="I2" s="165" t="s">
        <v>578</v>
      </c>
      <c r="J2" s="166"/>
      <c r="K2" s="168"/>
      <c r="L2" s="164" t="s">
        <v>293</v>
      </c>
      <c r="M2" s="165" t="s">
        <v>579</v>
      </c>
      <c r="N2" s="165" t="s">
        <v>578</v>
      </c>
      <c r="O2" s="166"/>
      <c r="P2" s="157"/>
      <c r="Q2" s="157"/>
      <c r="R2" s="1932" t="s">
        <v>0</v>
      </c>
      <c r="S2" s="1932"/>
      <c r="T2" s="169"/>
      <c r="U2" s="159"/>
      <c r="V2" s="1932" t="s">
        <v>0</v>
      </c>
      <c r="W2" s="1932"/>
      <c r="X2" s="169"/>
      <c r="Y2" s="159"/>
      <c r="Z2" s="1932" t="s">
        <v>0</v>
      </c>
      <c r="AA2" s="1932"/>
      <c r="AB2" s="157"/>
      <c r="AC2" s="1932" t="s">
        <v>1</v>
      </c>
      <c r="AD2" s="1932"/>
      <c r="AE2" s="169"/>
      <c r="AF2" s="157"/>
      <c r="AG2" s="1932" t="s">
        <v>1</v>
      </c>
      <c r="AH2" s="1932"/>
      <c r="AI2" s="157"/>
      <c r="AJ2" s="157"/>
      <c r="AK2" s="1932" t="s">
        <v>1</v>
      </c>
      <c r="AL2" s="1932"/>
      <c r="AM2" s="162"/>
      <c r="AN2" s="157"/>
      <c r="AO2" s="157"/>
      <c r="AP2" s="157"/>
      <c r="AQ2" s="157"/>
      <c r="AR2" s="157"/>
      <c r="AS2" s="157"/>
      <c r="AT2" s="157"/>
      <c r="AU2" s="157"/>
      <c r="BH2" s="170" t="s">
        <v>3</v>
      </c>
      <c r="BI2" s="170"/>
      <c r="BJ2" s="170"/>
      <c r="BO2" s="1938" t="s">
        <v>4</v>
      </c>
      <c r="BP2" s="1938"/>
    </row>
    <row r="3" spans="1:68" s="163" customFormat="1" ht="12" customHeight="1">
      <c r="B3" s="171" t="s">
        <v>5</v>
      </c>
      <c r="C3" s="172">
        <f>운용리스_비교!$AR$14</f>
        <v>23260000</v>
      </c>
      <c r="D3" s="173">
        <f>운용리스_비교!AR15</f>
        <v>23260000</v>
      </c>
      <c r="E3" s="174" t="str">
        <f>운용리스_비교!AR5</f>
        <v>국산</v>
      </c>
      <c r="F3" s="221" t="str">
        <f>운용리스_비교!AR6</f>
        <v>현대</v>
      </c>
      <c r="G3" s="171" t="s">
        <v>5</v>
      </c>
      <c r="H3" s="172">
        <f>운용리스_비교!$AR$14</f>
        <v>23260000</v>
      </c>
      <c r="I3" s="173">
        <f>운용리스_비교!AR15</f>
        <v>23260000</v>
      </c>
      <c r="J3" s="174" t="str">
        <f>운용리스_비교!AR5</f>
        <v>국산</v>
      </c>
      <c r="K3" s="175" t="str">
        <f>F3</f>
        <v>현대</v>
      </c>
      <c r="L3" s="171" t="s">
        <v>5</v>
      </c>
      <c r="M3" s="172">
        <f>운용리스_비교!$AR$14</f>
        <v>23260000</v>
      </c>
      <c r="N3" s="173">
        <f>운용리스_비교!AR15</f>
        <v>23260000</v>
      </c>
      <c r="O3" s="174" t="str">
        <f>운용리스_비교!AR5</f>
        <v>국산</v>
      </c>
      <c r="P3" s="176" t="str">
        <f>K3</f>
        <v>현대</v>
      </c>
      <c r="Q3" s="157"/>
      <c r="R3" s="177" t="s">
        <v>6</v>
      </c>
      <c r="S3" s="1287">
        <f>IF(C13=12,VLOOKUP(운용리스_비교!$AR$7,차량정보!D:O,4,0),IF(C13=24,VLOOKUP(운용리스_비교!$AR$7,차량정보!D:O,5,0),IF(C13=36,VLOOKUP(운용리스_비교!$AR$7,차량정보!D:O,6,0),IF(C13=48,VLOOKUP(운용리스_비교!$AR$7,차량정보!D:O,7,0),IF(C13=60,VLOOKUP(운용리스_비교!$AR$7,차량정보!D:O,8,0),0)))))+운용리스_비교!AR42+S77+S87+S88+S89+S100</f>
        <v>0.53</v>
      </c>
      <c r="T3" s="212">
        <f>+VLOOKUP(S65,차량정보!$D$4:$T$1060,9,0)</f>
        <v>0.05</v>
      </c>
      <c r="U3" s="159"/>
      <c r="V3" s="177" t="s">
        <v>6</v>
      </c>
      <c r="W3" s="1287">
        <f>IF(H13=12,VLOOKUP(운용리스_비교!$AR$7,차량정보!D:O,4,0),IF(H13=24,VLOOKUP(운용리스_비교!$AR$7,차량정보!D:O,5,0),IF(H13=36,VLOOKUP(운용리스_비교!$AR$7,차량정보!D:O,6,0),IF(H13=48,VLOOKUP(운용리스_비교!$AR$7,차량정보!D:O,7,0),IF(H13=60,VLOOKUP(운용리스_비교!$AR$7,차량정보!D:O,8,0),0)))))+운용리스_비교!AY42+W77+W87+W88+W89+W100</f>
        <v>0.46</v>
      </c>
      <c r="X3" s="212">
        <f>+VLOOKUP(W65,차량정보!$D$4:$T$1060,9,0)</f>
        <v>0.05</v>
      </c>
      <c r="Y3" s="159"/>
      <c r="Z3" s="177" t="s">
        <v>6</v>
      </c>
      <c r="AA3" s="1287">
        <f>IF(M13=12,VLOOKUP(운용리스_비교!$AR$7,차량정보!D:O,4,0),IF(M13=24,VLOOKUP(운용리스_비교!$AR$7,차량정보!D:O,5,0),IF(M13=36,VLOOKUP(운용리스_비교!$AR$7,차량정보!D:O,6,0),IF(M13=48,VLOOKUP(운용리스_비교!$AR$7,차량정보!D:O,7,0),IF(M13=60,VLOOKUP(운용리스_비교!$AR$7,차량정보!D:O,8,0),0)))))+운용리스_비교!BF42+AA77+AA87+AA88+AA89++AA100</f>
        <v>0.38</v>
      </c>
      <c r="AB3" s="1038">
        <f>+VLOOKUP(AA65,차량정보!$D$4:$T$1060,9,0)</f>
        <v>0.05</v>
      </c>
      <c r="AC3" s="179" t="s">
        <v>7</v>
      </c>
      <c r="AD3" s="180">
        <f>+C14</f>
        <v>0</v>
      </c>
      <c r="AE3" s="181"/>
      <c r="AF3" s="157"/>
      <c r="AG3" s="179" t="s">
        <v>7</v>
      </c>
      <c r="AH3" s="180">
        <f>+H14</f>
        <v>0</v>
      </c>
      <c r="AI3" s="157"/>
      <c r="AJ3" s="157"/>
      <c r="AK3" s="179" t="s">
        <v>7</v>
      </c>
      <c r="AL3" s="180">
        <f>+M14</f>
        <v>0</v>
      </c>
      <c r="AM3" s="162"/>
      <c r="AN3" s="182">
        <v>1</v>
      </c>
      <c r="AO3" s="182" t="s">
        <v>8</v>
      </c>
      <c r="AP3" s="157"/>
      <c r="AQ3" s="182">
        <v>3</v>
      </c>
      <c r="AR3" s="182" t="s">
        <v>9</v>
      </c>
      <c r="AS3" s="157"/>
      <c r="AT3" s="182">
        <v>2</v>
      </c>
      <c r="AU3" s="182" t="s">
        <v>10</v>
      </c>
      <c r="AW3" s="1939" t="s">
        <v>11</v>
      </c>
      <c r="AX3" s="121" t="s">
        <v>12</v>
      </c>
      <c r="AY3" s="9" t="s">
        <v>13</v>
      </c>
      <c r="AZ3" s="1941" t="s">
        <v>14</v>
      </c>
      <c r="BA3" s="1941"/>
      <c r="BB3" s="1939" t="s">
        <v>15</v>
      </c>
      <c r="BH3" s="183"/>
      <c r="BI3" s="183"/>
      <c r="BJ3" s="183"/>
      <c r="BL3" s="184" t="s">
        <v>208</v>
      </c>
      <c r="BM3" s="185">
        <f>+C16/(1+BM4)^C13</f>
        <v>10651494.229250111</v>
      </c>
      <c r="BO3" s="186">
        <f>+IF(AD11=FALSE,1,IF(AD12=FALSE,2,IF(AD13=FALSE,3,IF(AD14=FALSE,4,0))))</f>
        <v>0</v>
      </c>
      <c r="BP3" s="187" t="s">
        <v>17</v>
      </c>
    </row>
    <row r="4" spans="1:68" s="163" customFormat="1" ht="12" customHeight="1">
      <c r="B4" s="188" t="s">
        <v>18</v>
      </c>
      <c r="C4" s="189" t="str">
        <f>VLOOKUP(운용리스_비교!$AR$7,차량정보!D:O,3,0)</f>
        <v>승용경차</v>
      </c>
      <c r="D4" s="190" t="str">
        <f>운용리스_비교!AR5</f>
        <v>국산</v>
      </c>
      <c r="E4" s="191" t="str">
        <f>+VLOOKUP(운용리스_비교!AR7,차량정보!$D$877:$Q$1060,14,0)</f>
        <v>RV</v>
      </c>
      <c r="F4" s="158"/>
      <c r="G4" s="188" t="s">
        <v>18</v>
      </c>
      <c r="H4" s="189" t="str">
        <f>VLOOKUP(운용리스_비교!$AR$7,차량정보!D:O,3,0)</f>
        <v>승용경차</v>
      </c>
      <c r="I4" s="190" t="str">
        <f>운용리스_비교!AR5</f>
        <v>국산</v>
      </c>
      <c r="J4" s="191" t="str">
        <f>+VLOOKUP(운용리스_비교!AR7,차량정보!$D$877:$Q$1060,14,0)</f>
        <v>RV</v>
      </c>
      <c r="K4" s="159"/>
      <c r="L4" s="188" t="s">
        <v>18</v>
      </c>
      <c r="M4" s="189" t="str">
        <f>VLOOKUP(운용리스_비교!$AR$7,차량정보!D:O,3,0)</f>
        <v>승용경차</v>
      </c>
      <c r="N4" s="190" t="str">
        <f>운용리스_비교!AR5</f>
        <v>국산</v>
      </c>
      <c r="O4" s="191" t="str">
        <f>+VLOOKUP(운용리스_비교!AR7,차량정보!$D$877:$Q$1060,14,0)</f>
        <v>RV</v>
      </c>
      <c r="P4" s="157"/>
      <c r="Q4" s="157"/>
      <c r="R4" s="192" t="s">
        <v>19</v>
      </c>
      <c r="S4" s="1288">
        <f>IF(D4="국산",VLOOKUP(운용리스_비교!$AR$7,차량정보!$D$877:$L$1094,9,0),VLOOKUP(운용리스_비교!$AR$7,차량정보!$D$4:$L$1094,9,0)+IF(C20="KCC오토",VLOOKUP(운용리스_비교!$AR$7,차량정보!$D$4:$R$990,14,0),0))+IF(C20="한독모터스",VLOOKUP(운용리스_비교!$AR$7,차량정보!$D$4:$R$990,15,0),0)+IF(C20="한성자동차",VLOOKUP(운용리스_비교!$AR$7,차량정보!$D$4:$R$990,13,0),0)+IF(C20="경남자동차",VLOOKUP(운용리스_비교!$AR$7,차량정보!$D$4:$R$990,13,0),0)+IF(C20="모터원",VLOOKUP(운용리스_비교!$AR$7,차량정보!$D$4:$R$990,13,0),0)+IF(C20="한성모터스",VLOOKUP(운용리스_비교!$AR$7,차량정보!$D$4:$R$990,13,0),0)+IF(C20="스타자동차",VLOOKUP(운용리스_비교!$AR$7,차량정보!$D$4:$R$990,13,0),0)+IF(AND(C17=30000,C13=60),-T3,0%)+T4+S83-S91-S92+S114+S103</f>
        <v>0.05</v>
      </c>
      <c r="T4" s="178">
        <v>0</v>
      </c>
      <c r="U4" s="159"/>
      <c r="V4" s="192" t="s">
        <v>19</v>
      </c>
      <c r="W4" s="1288">
        <f>IF(I4="국산",VLOOKUP(운용리스_비교!$AR$7,차량정보!$D$877:$L$1094,9,0),VLOOKUP(운용리스_비교!$AR$7,차량정보!$D$4:$L$1094,9,0)+IF(C20="KCC오토",VLOOKUP(운용리스_비교!$AR$7,차량정보!$D$4:$R$990,14,0),0))+IF(C20="한독모터스",VLOOKUP(운용리스_비교!$AR$7,차량정보!$D$4:$R$990,15,0),0)+IF(C20="한성자동차",VLOOKUP(운용리스_비교!$AR$7,차량정보!$D$4:$R$990,13,0),0)+IF(C20="경남자동차",VLOOKUP(운용리스_비교!$AR$7,차량정보!$D$4:$R$990,13,0),0)+IF(C20="모터원",VLOOKUP(운용리스_비교!$AR$7,차량정보!$D$4:$R$990,13,0),0)+IF(C20="한성모터스",VLOOKUP(운용리스_비교!$AR$7,차량정보!$D$4:$R$990,13,0),0)+IF(C20="스타자동차",VLOOKUP(운용리스_비교!$AR$7,차량정보!$D$4:$R$990,13,0),0)+IF(AND(H17=30000,H13=60),-X3,0%)+X4+W83-W91-W92+W114+W103</f>
        <v>0.05</v>
      </c>
      <c r="X4" s="178">
        <v>0</v>
      </c>
      <c r="Y4" s="159"/>
      <c r="Z4" s="192" t="s">
        <v>19</v>
      </c>
      <c r="AA4" s="1288">
        <f>IF(N4="국산",VLOOKUP(운용리스_비교!$AR$7,차량정보!$D$877:$L$1094,9,0),VLOOKUP(운용리스_비교!$AR$7,차량정보!$D$4:$L$1094,9,0)+IF(C20="KCC오토",VLOOKUP(운용리스_비교!$AR$7,차량정보!$D$4:$R$990,14,0),0))+IF(C20="한독모터스",VLOOKUP(운용리스_비교!$AR$7,차량정보!$D$4:$R$990,15,0),0)+IF(C20="한성자동차",VLOOKUP(운용리스_비교!$AR$7,차량정보!$D$4:$R$990,13,0),0)+IF(C20="경남자동차",VLOOKUP(운용리스_비교!$AR$7,차량정보!$D$4:$R$990,13,0),0)+IF(C20="모터원",VLOOKUP(운용리스_비교!$AR$7,차량정보!$D$4:$R$990,13,0),0)+IF(C20="한성모터스",VLOOKUP(운용리스_비교!$AR$7,차량정보!$D$4:$R$990,13,0),0)+IF(C20="스타자동차",VLOOKUP(운용리스_비교!$AR$7,차량정보!$D$4:$R$990,13,0),0)+IF(AND(M17=30000,M13=60),-AB3,0%)+AB4+AA83-AA91-AA92+AA114+AA103</f>
        <v>0.05</v>
      </c>
      <c r="AB4" s="178">
        <v>0</v>
      </c>
      <c r="AC4" s="189" t="s">
        <v>20</v>
      </c>
      <c r="AD4" s="193">
        <f>+C16</f>
        <v>13956000</v>
      </c>
      <c r="AE4" s="181"/>
      <c r="AF4" s="157"/>
      <c r="AG4" s="189" t="s">
        <v>20</v>
      </c>
      <c r="AH4" s="193">
        <f>+H16</f>
        <v>12327000</v>
      </c>
      <c r="AI4" s="157"/>
      <c r="AJ4" s="157"/>
      <c r="AK4" s="189" t="s">
        <v>20</v>
      </c>
      <c r="AL4" s="193">
        <f>+M16</f>
        <v>10467000</v>
      </c>
      <c r="AM4" s="162"/>
      <c r="AN4" s="194">
        <v>1</v>
      </c>
      <c r="AO4" s="194" t="s">
        <v>21</v>
      </c>
      <c r="AP4" s="157"/>
      <c r="AQ4" s="194">
        <v>1</v>
      </c>
      <c r="AR4" s="195">
        <v>36</v>
      </c>
      <c r="AS4" s="157"/>
      <c r="AT4" s="194">
        <v>1</v>
      </c>
      <c r="AU4" s="196">
        <v>30000</v>
      </c>
      <c r="AW4" s="1940"/>
      <c r="AX4" s="9" t="s">
        <v>22</v>
      </c>
      <c r="AY4" s="121" t="s">
        <v>23</v>
      </c>
      <c r="AZ4" s="122" t="s">
        <v>24</v>
      </c>
      <c r="BA4" s="122" t="s">
        <v>25</v>
      </c>
      <c r="BB4" s="1940"/>
      <c r="BH4" s="197"/>
      <c r="BI4" s="197"/>
      <c r="BJ4" s="197"/>
      <c r="BL4" s="198" t="s">
        <v>26</v>
      </c>
      <c r="BM4" s="199">
        <f>+IRR(BI6:BI66,0)</f>
        <v>7.5340541763049274E-3</v>
      </c>
      <c r="BO4" s="194">
        <v>1</v>
      </c>
      <c r="BP4" s="200" t="s">
        <v>27</v>
      </c>
    </row>
    <row r="5" spans="1:68" s="163" customFormat="1" ht="12" customHeight="1">
      <c r="B5" s="188" t="s">
        <v>28</v>
      </c>
      <c r="C5" s="219">
        <f>VLOOKUP(운용리스_비교!$AR$7,차량정보!D:O,2,0)</f>
        <v>998</v>
      </c>
      <c r="D5" s="190"/>
      <c r="E5" s="174"/>
      <c r="F5" s="158"/>
      <c r="G5" s="188" t="s">
        <v>28</v>
      </c>
      <c r="H5" s="219">
        <f>VLOOKUP(운용리스_비교!$AR$7,차량정보!D:O,2,0)</f>
        <v>998</v>
      </c>
      <c r="I5" s="190"/>
      <c r="J5" s="191"/>
      <c r="K5" s="159"/>
      <c r="L5" s="188" t="s">
        <v>28</v>
      </c>
      <c r="M5" s="219">
        <f>VLOOKUP(운용리스_비교!$AR$7,차량정보!D:O,2,0)</f>
        <v>998</v>
      </c>
      <c r="N5" s="190"/>
      <c r="O5" s="191"/>
      <c r="P5" s="157"/>
      <c r="Q5" s="157"/>
      <c r="R5" s="192" t="s">
        <v>29</v>
      </c>
      <c r="S5" s="1288">
        <f>IF(AND(S173="2만상승없음",C17=20000),0%,IF(C17=20000,2%,0))+S8</f>
        <v>0.02</v>
      </c>
      <c r="T5" s="222">
        <f>(C13/12)*C17</f>
        <v>60000</v>
      </c>
      <c r="U5" s="159"/>
      <c r="V5" s="192" t="s">
        <v>29</v>
      </c>
      <c r="W5" s="1288">
        <f>IF(AND(W173="2만상승없음",H17=20000),0%,IF(H17=20000,2%,0))+W8</f>
        <v>0.02</v>
      </c>
      <c r="X5" s="222">
        <f>(H13/12)*H17</f>
        <v>80000</v>
      </c>
      <c r="Y5" s="159"/>
      <c r="Z5" s="192" t="s">
        <v>29</v>
      </c>
      <c r="AA5" s="1288">
        <f>IF(AND(AA173="2만상승없음",M17=20000),0%,IF(M17=20000,2%,0))+AA8</f>
        <v>0.02</v>
      </c>
      <c r="AB5" s="222">
        <f>(M13/12)*M17</f>
        <v>100000</v>
      </c>
      <c r="AC5" s="189" t="s">
        <v>30</v>
      </c>
      <c r="AD5" s="193">
        <f>+C15</f>
        <v>0</v>
      </c>
      <c r="AE5" s="181"/>
      <c r="AF5" s="157"/>
      <c r="AG5" s="189" t="s">
        <v>30</v>
      </c>
      <c r="AH5" s="193">
        <f>+H15</f>
        <v>0</v>
      </c>
      <c r="AI5" s="157"/>
      <c r="AJ5" s="157"/>
      <c r="AK5" s="189" t="s">
        <v>30</v>
      </c>
      <c r="AL5" s="193">
        <f>+M15</f>
        <v>0</v>
      </c>
      <c r="AM5" s="162"/>
      <c r="AN5" s="201">
        <v>2</v>
      </c>
      <c r="AO5" s="201" t="s">
        <v>31</v>
      </c>
      <c r="AP5" s="157"/>
      <c r="AQ5" s="194">
        <v>2</v>
      </c>
      <c r="AR5" s="195">
        <v>48</v>
      </c>
      <c r="AS5" s="157"/>
      <c r="AT5" s="194">
        <v>2</v>
      </c>
      <c r="AU5" s="196">
        <v>20000</v>
      </c>
      <c r="AW5" s="12" t="s">
        <v>32</v>
      </c>
      <c r="AX5" s="724">
        <v>0.04</v>
      </c>
      <c r="AY5" s="16">
        <f>IF($D$4="국산",IF(ROUNDDOWN($D$3/1.1*AX5,-1)&lt;=750000, 0,IF(ROUNDDOWN($D$3/1.1*AX5,-1)-750000,ROUNDDOWN($D$3/1.1*AX5,-1),0)),IF(ROUNDDOWN($C$3/1.1*AX5,-1)&lt;=750000, 0,IF(ROUNDDOWN($C$3/1.1*AX5,-1)-750000,ROUNDDOWN($C$3/1.1*AX5,-1),0)))+IF(C4="승용경차",IF(E8&gt;750000,-750000,0))</f>
        <v>95810</v>
      </c>
      <c r="AZ5" s="15">
        <v>0</v>
      </c>
      <c r="BA5" s="15">
        <v>0</v>
      </c>
      <c r="BB5" s="16">
        <f>IF(C5&gt;1600,C5*260,IF(C5&gt;1000,C5*182,C5*104))</f>
        <v>103792</v>
      </c>
      <c r="BH5" s="197"/>
      <c r="BI5" s="197"/>
      <c r="BJ5" s="194" t="s">
        <v>33</v>
      </c>
      <c r="BL5" s="203" t="s">
        <v>34</v>
      </c>
      <c r="BM5" s="204">
        <f>+(BJ67-BM3)/C28</f>
        <v>0.54394669980402877</v>
      </c>
      <c r="BO5" s="194">
        <v>2</v>
      </c>
      <c r="BP5" s="200" t="s">
        <v>35</v>
      </c>
    </row>
    <row r="6" spans="1:68" s="163" customFormat="1" ht="12" customHeight="1">
      <c r="B6" s="188" t="s">
        <v>36</v>
      </c>
      <c r="C6" s="189" t="str">
        <f>LEFT(운용리스_비교!$AR$20,2)</f>
        <v>대구</v>
      </c>
      <c r="D6" s="190"/>
      <c r="E6" s="191"/>
      <c r="F6" s="158"/>
      <c r="G6" s="188" t="s">
        <v>8</v>
      </c>
      <c r="H6" s="189" t="str">
        <f>LEFT(운용리스_비교!$AR$20,2)</f>
        <v>대구</v>
      </c>
      <c r="I6" s="190"/>
      <c r="J6" s="191"/>
      <c r="K6" s="159"/>
      <c r="L6" s="188" t="s">
        <v>8</v>
      </c>
      <c r="M6" s="189" t="str">
        <f>LEFT(운용리스_비교!$AR$20,2)</f>
        <v>대구</v>
      </c>
      <c r="N6" s="190"/>
      <c r="O6" s="191"/>
      <c r="P6" s="157"/>
      <c r="Q6" s="157"/>
      <c r="R6" s="192" t="s">
        <v>37</v>
      </c>
      <c r="S6" s="1289">
        <f>SUM(S3:S5)</f>
        <v>0.60000000000000009</v>
      </c>
      <c r="T6" s="205"/>
      <c r="U6" s="159"/>
      <c r="V6" s="192" t="s">
        <v>37</v>
      </c>
      <c r="W6" s="1289">
        <f>SUM(W3:W5)</f>
        <v>0.53</v>
      </c>
      <c r="X6" s="205"/>
      <c r="Y6" s="159"/>
      <c r="Z6" s="192" t="s">
        <v>37</v>
      </c>
      <c r="AA6" s="1289">
        <f>SUM(AA3:AA5)</f>
        <v>0.45</v>
      </c>
      <c r="AB6" s="157"/>
      <c r="AC6" s="189"/>
      <c r="AD6" s="193">
        <f>SUM(AD3:AD5)</f>
        <v>13956000</v>
      </c>
      <c r="AE6" s="181"/>
      <c r="AF6" s="157"/>
      <c r="AG6" s="189"/>
      <c r="AH6" s="193">
        <f>SUM(AH3:AH5)</f>
        <v>12327000</v>
      </c>
      <c r="AI6" s="157"/>
      <c r="AJ6" s="157"/>
      <c r="AK6" s="189"/>
      <c r="AL6" s="193">
        <f>SUM(AL3:AL5)</f>
        <v>10467000</v>
      </c>
      <c r="AM6" s="162"/>
      <c r="AN6" s="157"/>
      <c r="AO6" s="157"/>
      <c r="AP6" s="157"/>
      <c r="AQ6" s="194">
        <v>3</v>
      </c>
      <c r="AR6" s="195">
        <v>60</v>
      </c>
      <c r="AS6" s="157"/>
      <c r="AT6" s="194">
        <v>3</v>
      </c>
      <c r="AU6" s="196">
        <v>15000</v>
      </c>
      <c r="AW6" s="12" t="s">
        <v>38</v>
      </c>
      <c r="AX6" s="724">
        <v>7.0000000000000007E-2</v>
      </c>
      <c r="AY6" s="14">
        <f>IF($D$4="국산",IF(ROUNDDOWN($D$3/1.1*AX6,-1)&lt;=500000, 0,IF(ROUNDDOWN($D$3/1.1*AX6,-1)-500000,ROUNDDOWN($D$3/1.1*AX6,-1),0)),IF(ROUNDDOWN($C$3/1.1*AX6,-1)&lt;=500000, 0,IF(ROUNDDOWN($C$3/1.1*AX6,-1)-500000,ROUNDDOWN($C$3/1.1*AX6,-1),0)))</f>
        <v>1480180</v>
      </c>
      <c r="AZ6" s="15">
        <f>ROUNDDOWN($C$3/1.1*IF($C$5&gt;=2000,20%,IF($C$5&gt;=1600,12%,9%))*C9,-1)</f>
        <v>190300</v>
      </c>
      <c r="BA6" s="15">
        <f>IF(C6="부산대구",(ROUNDDOWN(C3/1.1*IF(C5&gt;=2000,5%,0%)*C9,-2)),(ROUNDDOWN(C3/1.1*IF(C5&gt;=2000,5%,0%)*C9,-2)))</f>
        <v>0</v>
      </c>
      <c r="BB6" s="14">
        <f>IF(C5&gt;1600,C5*260,IF(C5&gt;1000,C5*182,C5*104))</f>
        <v>103792</v>
      </c>
      <c r="BH6" s="197">
        <v>0</v>
      </c>
      <c r="BI6" s="206">
        <f>-C28-E40-E41-E42</f>
        <v>-23355810</v>
      </c>
      <c r="BJ6" s="197"/>
      <c r="BO6" s="194">
        <v>3</v>
      </c>
      <c r="BP6" s="207" t="s">
        <v>39</v>
      </c>
    </row>
    <row r="7" spans="1:68" s="163" customFormat="1" ht="12" customHeight="1">
      <c r="B7" s="188" t="s">
        <v>40</v>
      </c>
      <c r="C7" s="208">
        <f>+VLOOKUP(C4,$AW:$AX,2,0)</f>
        <v>0.04</v>
      </c>
      <c r="D7" s="209"/>
      <c r="E7" s="210"/>
      <c r="F7" s="211"/>
      <c r="G7" s="188" t="s">
        <v>40</v>
      </c>
      <c r="H7" s="208">
        <f>+VLOOKUP(H4,$AW:$AX,2,0)</f>
        <v>0.04</v>
      </c>
      <c r="I7" s="209"/>
      <c r="J7" s="210"/>
      <c r="K7" s="212"/>
      <c r="L7" s="188" t="s">
        <v>40</v>
      </c>
      <c r="M7" s="208">
        <f>+VLOOKUP(M4,$AW:$AX,2,0)</f>
        <v>0.04</v>
      </c>
      <c r="N7" s="209"/>
      <c r="O7" s="210"/>
      <c r="P7" s="213"/>
      <c r="Q7" s="157"/>
      <c r="R7" s="214" t="s">
        <v>41</v>
      </c>
      <c r="S7" s="215">
        <f>ROUNDDOWN(C3*S6,-3)</f>
        <v>13956000</v>
      </c>
      <c r="T7" s="216">
        <f>IF(D4="국산",VLOOKUP(S65,차량정보!$D$853:$AJ$1048,33,0),0)</f>
        <v>0</v>
      </c>
      <c r="U7" s="159"/>
      <c r="V7" s="214" t="s">
        <v>41</v>
      </c>
      <c r="W7" s="215">
        <f>ROUNDDOWN(H3*W6,-3)</f>
        <v>12327000</v>
      </c>
      <c r="X7" s="216">
        <f>IF(I4="국산",VLOOKUP(W65,차량정보!$D$853:$AJ$1048,33,0),0)</f>
        <v>0</v>
      </c>
      <c r="Y7" s="159"/>
      <c r="Z7" s="214" t="s">
        <v>41</v>
      </c>
      <c r="AA7" s="215">
        <f>ROUNDDOWN(M3*AA6,-3)</f>
        <v>10467000</v>
      </c>
      <c r="AB7" s="157">
        <f>IF(N4="국산",VLOOKUP(AA65,차량정보!$D$853:$AJ$1048,33,0),0)</f>
        <v>0</v>
      </c>
      <c r="AC7" s="189" t="s">
        <v>42</v>
      </c>
      <c r="AD7" s="193">
        <f>+C28</f>
        <v>23355810</v>
      </c>
      <c r="AE7" s="181"/>
      <c r="AF7" s="157"/>
      <c r="AG7" s="189" t="s">
        <v>42</v>
      </c>
      <c r="AH7" s="193">
        <f>+H28</f>
        <v>23355810</v>
      </c>
      <c r="AI7" s="157"/>
      <c r="AJ7" s="157"/>
      <c r="AK7" s="189" t="s">
        <v>42</v>
      </c>
      <c r="AL7" s="193">
        <f>+M28</f>
        <v>23355810</v>
      </c>
      <c r="AM7" s="162"/>
      <c r="AN7" s="157"/>
      <c r="AO7" s="157"/>
      <c r="AP7" s="157"/>
      <c r="AS7" s="157"/>
      <c r="AT7" s="201">
        <v>4</v>
      </c>
      <c r="AU7" s="202">
        <v>10000</v>
      </c>
      <c r="AW7" s="12" t="s">
        <v>43</v>
      </c>
      <c r="AX7" s="724">
        <v>7.0000000000000007E-2</v>
      </c>
      <c r="AY7" s="14">
        <f>IF($D$4="국산",IF(ROUNDDOWN($D$3/1.1*AX7,-1)&lt;=500000, 0,IF(ROUNDDOWN($D$3/1.1*AX7,-1)-500000,ROUNDDOWN($D$3/1.1*AX7,-1),0)),IF(ROUNDDOWN($C$3/1.1*AX7,-1)&lt;=500000, 0,IF(ROUNDDOWN($C$3/1.1*AX7,-1)-500000,ROUNDDOWN($C$3/1.1*AX7,-1),0)))</f>
        <v>1480180</v>
      </c>
      <c r="AZ7" s="15">
        <f>ROUNDDOWN(C3/1.1*5%*C9,-2)</f>
        <v>105700</v>
      </c>
      <c r="BA7" s="15">
        <v>0</v>
      </c>
      <c r="BB7" s="14">
        <f>IF(C5&gt;1600,C5*260,IF(C5&gt;1000,C5*182,C5*104))</f>
        <v>103792</v>
      </c>
      <c r="BH7" s="197">
        <v>1</v>
      </c>
      <c r="BI7" s="217">
        <f t="shared" ref="BI7:BI38" si="0">+IF(AC39&lt;$C$13,IF($AD$16&gt;0,$AD$17,$AD$15),IF(AC39=$C$13,IF($AD$16&gt;0,$AD$17,$AD$15)+$C$16,0))</f>
        <v>396200</v>
      </c>
      <c r="BJ7" s="217">
        <f t="shared" ref="BJ7:BJ66" si="1">+BI7/(1+$BM$4)^BH7</f>
        <v>393237.32866171718</v>
      </c>
      <c r="BO7" s="201">
        <v>4</v>
      </c>
      <c r="BP7" s="218" t="s">
        <v>44</v>
      </c>
    </row>
    <row r="8" spans="1:68" s="163" customFormat="1" ht="12" customHeight="1">
      <c r="B8" s="188" t="s">
        <v>45</v>
      </c>
      <c r="C8" s="219">
        <f>+IF(D8=TRUE,운용리스_비교!BC19,VLOOKUP(C4,$AW:$AY,3,0))</f>
        <v>95810</v>
      </c>
      <c r="D8" s="220" t="b">
        <f>운용리스_비교!BQ19</f>
        <v>0</v>
      </c>
      <c r="E8" s="21">
        <f>+IF(C4="승용경차",ROUNDDOWN(D3/1.1*4%,-1))</f>
        <v>845810</v>
      </c>
      <c r="F8" s="221"/>
      <c r="G8" s="188" t="s">
        <v>45</v>
      </c>
      <c r="H8" s="219">
        <f>+IF(D8=TRUE,운용리스_비교!BC19,VLOOKUP(H4,$AW:$AY,3,0))</f>
        <v>95810</v>
      </c>
      <c r="I8" s="220" t="b">
        <f>운용리스_비교!BQ19</f>
        <v>0</v>
      </c>
      <c r="J8" s="21"/>
      <c r="K8" s="222"/>
      <c r="L8" s="188" t="s">
        <v>45</v>
      </c>
      <c r="M8" s="219">
        <f>+IF(D8=TRUE,운용리스_비교!BC19,VLOOKUP(M4,$AW:$AY,3,0))</f>
        <v>95810</v>
      </c>
      <c r="N8" s="220" t="b">
        <f>운용리스_비교!BQ19</f>
        <v>0</v>
      </c>
      <c r="O8" s="21"/>
      <c r="P8" s="223"/>
      <c r="Q8" s="157"/>
      <c r="R8" s="1116" t="s">
        <v>2661</v>
      </c>
      <c r="S8" s="1117">
        <f>+IF(AND(D4="국산",C17=15000),3%,IF(AND(D4="국산",C17=10000),4%,0%))</f>
        <v>0</v>
      </c>
      <c r="T8" s="1115"/>
      <c r="U8" s="1114"/>
      <c r="V8" s="1116" t="s">
        <v>2661</v>
      </c>
      <c r="W8" s="1117">
        <f>+IF(AND(I4="국산",H17=15000),3%,IF(AND(I4="국산",H17=10000),4%,0%))+X8</f>
        <v>0</v>
      </c>
      <c r="X8" s="1115"/>
      <c r="Y8" s="1114"/>
      <c r="Z8" s="1116" t="s">
        <v>2661</v>
      </c>
      <c r="AA8" s="1117">
        <f>+IF(AND(N4="국산",M17=15000),3%,IF(AND(N4="국산",M17=10000),4%,0%))+AB8</f>
        <v>0</v>
      </c>
      <c r="AB8" s="1115"/>
      <c r="AC8" s="224" t="s">
        <v>46</v>
      </c>
      <c r="AD8" s="225" t="str">
        <f>+IF(AD6&gt;AD7,"초과","적정")</f>
        <v>적정</v>
      </c>
      <c r="AE8" s="159"/>
      <c r="AF8" s="157"/>
      <c r="AG8" s="224" t="s">
        <v>46</v>
      </c>
      <c r="AH8" s="225" t="str">
        <f>+IF(AH6&gt;AH7,"초과","적정")</f>
        <v>적정</v>
      </c>
      <c r="AI8" s="157"/>
      <c r="AJ8" s="157"/>
      <c r="AK8" s="224" t="s">
        <v>46</v>
      </c>
      <c r="AL8" s="225" t="str">
        <f>+IF(AL6&gt;AL7,"초과","적정")</f>
        <v>적정</v>
      </c>
      <c r="AM8" s="162"/>
      <c r="AQ8" s="157"/>
      <c r="AR8" s="157"/>
      <c r="AT8" s="157"/>
      <c r="AU8" s="157"/>
      <c r="AW8" s="12" t="s">
        <v>47</v>
      </c>
      <c r="AX8" s="724">
        <v>7.0000000000000007E-2</v>
      </c>
      <c r="AY8" s="14">
        <f>IF($D$4="국산",IF(ROUNDDOWN($D$3/1.1*AX8,-1)&lt;=500000, 0,IF(ROUNDDOWN($D$3/1.1*AX8,-1)-500000,ROUNDDOWN($D$3/1.1*AX8,-1),0)),IF(ROUNDDOWN($C$3/1.1*AX8,-1)&lt;=500000, 0,IF(ROUNDDOWN($C$3/1.1*AX8,-1)-500000,ROUNDDOWN($C$3/1.1*AX8,-1),0)))</f>
        <v>1480180</v>
      </c>
      <c r="AZ8" s="15">
        <f>ROUNDDOWN(390000*C9,-2)</f>
        <v>39000</v>
      </c>
      <c r="BA8" s="15">
        <v>0</v>
      </c>
      <c r="BB8" s="14">
        <f>IF(C5&gt;1600,C5*260,IF(C5&gt;1000,C5*182,C5*104))</f>
        <v>103792</v>
      </c>
      <c r="BH8" s="197">
        <v>2</v>
      </c>
      <c r="BI8" s="217">
        <f t="shared" si="0"/>
        <v>396200</v>
      </c>
      <c r="BJ8" s="217">
        <f t="shared" si="1"/>
        <v>390296.81134024076</v>
      </c>
    </row>
    <row r="9" spans="1:68" s="163" customFormat="1" ht="12" customHeight="1">
      <c r="B9" s="188" t="s">
        <v>48</v>
      </c>
      <c r="C9" s="226">
        <f>운용리스_비교!$BC$21</f>
        <v>0.1</v>
      </c>
      <c r="D9" s="227"/>
      <c r="E9" s="228"/>
      <c r="F9" s="229"/>
      <c r="G9" s="188" t="s">
        <v>48</v>
      </c>
      <c r="H9" s="226">
        <f>운용리스_비교!$BC$21</f>
        <v>0.1</v>
      </c>
      <c r="I9" s="227"/>
      <c r="J9" s="228"/>
      <c r="K9" s="230"/>
      <c r="L9" s="188" t="s">
        <v>48</v>
      </c>
      <c r="M9" s="226">
        <f>운용리스_비교!$BC$21</f>
        <v>0.1</v>
      </c>
      <c r="N9" s="227"/>
      <c r="O9" s="228"/>
      <c r="P9" s="231"/>
      <c r="Q9" s="157"/>
      <c r="R9" s="1932" t="s">
        <v>49</v>
      </c>
      <c r="S9" s="1932"/>
      <c r="T9" s="169"/>
      <c r="U9" s="159"/>
      <c r="V9" s="1932" t="s">
        <v>49</v>
      </c>
      <c r="W9" s="1932"/>
      <c r="X9" s="169"/>
      <c r="Y9" s="159"/>
      <c r="Z9" s="1932" t="s">
        <v>49</v>
      </c>
      <c r="AA9" s="1932"/>
      <c r="AB9" s="157"/>
      <c r="AC9" s="157"/>
      <c r="AD9" s="161"/>
      <c r="AE9" s="162"/>
      <c r="AF9" s="157"/>
      <c r="AG9" s="157"/>
      <c r="AH9" s="161"/>
      <c r="AI9" s="157"/>
      <c r="AJ9" s="157"/>
      <c r="AK9" s="157"/>
      <c r="AL9" s="161"/>
      <c r="AM9" s="162"/>
      <c r="AN9" s="182">
        <v>1</v>
      </c>
      <c r="AO9" s="182" t="s">
        <v>50</v>
      </c>
      <c r="AP9" s="157"/>
      <c r="AQ9" s="157"/>
      <c r="AR9" s="157"/>
      <c r="AS9" s="157"/>
      <c r="AT9" s="157"/>
      <c r="AU9" s="157"/>
      <c r="AW9" s="18" t="s">
        <v>51</v>
      </c>
      <c r="AX9" s="723">
        <v>7.0000000000000007E-2</v>
      </c>
      <c r="AY9" s="16">
        <f>IF($D$4="국산",IF(ROUNDDOWN($D$3/1.1*5%,-1)+IF(ROUNDDOWN($D$3/1.1*2%,-1)&lt;=400000,0,ROUNDDOWN($D$3/1.1*2%,-1)-400000),IF(ROUNDDOWN($D$3/1.1*AX9,-1)&lt;=400000,0,ROUNDDOWN($D$3/1.1*AX9,-1)-400000)),IF(ROUNDDOWN($C$3/1.1*5%,-1)+IF(ROUNDDOWN($C$3/1.1*2%,-1)&lt;=400000,0,ROUNDDOWN($C$3/1.1*2%,-1)-400000),IF(ROUNDDOWN($C$3/1.1*AX9,-1)&lt;=400000,0,ROUNDDOWN($C$3/1.1*AX9,-1)-400000)))</f>
        <v>1080180</v>
      </c>
      <c r="AZ9" s="19">
        <f>IF((C3/1.1*IF(C5&gt;=2000,20%,IF(C5&gt;=1600,12%,9%)))&lt;=2000000, 0, ROUNDDOWN((C3/1.1*IF(C5&gt;=2000,20%,IF(C5&gt;=1600,12%,9%))-2000000)*C9,-1))</f>
        <v>0</v>
      </c>
      <c r="BA9" s="20">
        <f>IF((C3/1.1*IF(C5&gt;=2000,5%,0%))&lt;=2000000, 0, ROUNDDOWN((C3/1.1*IF(C5&gt;=2000,5%,0%)-2000000)*C9,-2))</f>
        <v>0</v>
      </c>
      <c r="BB9" s="16">
        <f>IF(C5&gt;1600,C5*260,IF(C5&gt;1000,C5*182,C5*104))</f>
        <v>103792</v>
      </c>
      <c r="BH9" s="197">
        <v>3</v>
      </c>
      <c r="BI9" s="217">
        <f t="shared" si="0"/>
        <v>396200</v>
      </c>
      <c r="BJ9" s="217">
        <f t="shared" si="1"/>
        <v>387378.28237411025</v>
      </c>
    </row>
    <row r="10" spans="1:68" s="163" customFormat="1" ht="12" customHeight="1">
      <c r="B10" s="188" t="s">
        <v>52</v>
      </c>
      <c r="C10" s="219">
        <f>IF(C6="대구",VLOOKUP(C4,$AW$5:$BA$15,5,0),IF(C6="서울",VLOOKUP(C4,$AW$5:$AZ$15,4,0),FALSE))</f>
        <v>0</v>
      </c>
      <c r="D10" s="220" t="b">
        <f>운용리스_비교!BQ20</f>
        <v>1</v>
      </c>
      <c r="E10" s="21"/>
      <c r="F10" s="221"/>
      <c r="G10" s="188" t="s">
        <v>52</v>
      </c>
      <c r="H10" s="219">
        <f>IF(H6="대구",VLOOKUP(H4,$AW$5:$BA$15,5,0),IF(H6="서울",VLOOKUP(H4,$AW$5:$AZ$15,4,0),FALSE))</f>
        <v>0</v>
      </c>
      <c r="I10" s="220" t="b">
        <f>운용리스_비교!BQ20</f>
        <v>1</v>
      </c>
      <c r="J10" s="21"/>
      <c r="K10" s="222"/>
      <c r="L10" s="188" t="s">
        <v>52</v>
      </c>
      <c r="M10" s="219">
        <f>IF(M6="대구",VLOOKUP(M4,$AW$5:$BA$15,5,0),IF(M6="서울",VLOOKUP(M4,$AW$5:$AZ$15,4,0),FALSE))</f>
        <v>0</v>
      </c>
      <c r="N10" s="220" t="b">
        <f>운용리스_비교!BQ20</f>
        <v>1</v>
      </c>
      <c r="O10" s="21"/>
      <c r="P10" s="223"/>
      <c r="Q10" s="157"/>
      <c r="R10" s="182" t="s">
        <v>41</v>
      </c>
      <c r="S10" s="232">
        <f>+S7</f>
        <v>13956000</v>
      </c>
      <c r="T10" s="222"/>
      <c r="U10" s="159"/>
      <c r="V10" s="182" t="s">
        <v>41</v>
      </c>
      <c r="W10" s="232">
        <f>+W7</f>
        <v>12327000</v>
      </c>
      <c r="X10" s="222"/>
      <c r="Y10" s="159"/>
      <c r="Z10" s="182" t="s">
        <v>41</v>
      </c>
      <c r="AA10" s="232">
        <f>+AA7</f>
        <v>10467000</v>
      </c>
      <c r="AB10" s="157"/>
      <c r="AC10" s="1932" t="s">
        <v>53</v>
      </c>
      <c r="AD10" s="1932"/>
      <c r="AE10" s="169"/>
      <c r="AF10" s="157"/>
      <c r="AG10" s="1932" t="s">
        <v>53</v>
      </c>
      <c r="AH10" s="1932"/>
      <c r="AI10" s="157"/>
      <c r="AJ10" s="157"/>
      <c r="AK10" s="1932" t="s">
        <v>53</v>
      </c>
      <c r="AL10" s="1932"/>
      <c r="AM10" s="169"/>
      <c r="AN10" s="194">
        <v>1</v>
      </c>
      <c r="AO10" s="194" t="s">
        <v>54</v>
      </c>
      <c r="AP10" s="157"/>
      <c r="AQ10" s="157"/>
      <c r="AR10" s="157"/>
      <c r="AS10" s="157"/>
      <c r="AW10" s="12" t="s">
        <v>55</v>
      </c>
      <c r="AX10" s="724">
        <v>7.0000000000000007E-2</v>
      </c>
      <c r="AY10" s="14">
        <f>IF($D$4="국산",IF(ROUNDDOWN($D$3/1.1*5%,-1)+IF(ROUNDDOWN($D$3/1.1*2%,-1)&lt;=400000,0,ROUNDDOWN($D$3/1.1*2%,-1)-400000),IF(ROUNDDOWN($D$3/1.1*AX10,-1)&lt;=400000,0,ROUNDDOWN($D$3/1.1*AX10,-1)-400000)),IF(ROUNDDOWN($C$3/1.1*5%,-1)+IF(ROUNDDOWN($C$3/1.1*2%,-1)&lt;=400000,0,ROUNDDOWN($C$3/1.1*2%,-1)-400000),IF(ROUNDDOWN($C$3/1.1*AX10,-1)&lt;=400000,0,ROUNDDOWN($C$3/1.1*AX10,-1)-400000)))</f>
        <v>1080180</v>
      </c>
      <c r="AZ10" s="15">
        <f>IF((C3/1.1*5%)&lt;=2000000, 0, ROUNDDOWN(((C3/1.1*5%)-2000000)*C9,-1))</f>
        <v>0</v>
      </c>
      <c r="BA10" s="21">
        <v>0</v>
      </c>
      <c r="BB10" s="14">
        <f>IF(C5&gt;1600,C5*260,IF(C5&gt;1000,C5*182,C5*104))</f>
        <v>103792</v>
      </c>
      <c r="BH10" s="197">
        <v>4</v>
      </c>
      <c r="BI10" s="217">
        <f t="shared" si="0"/>
        <v>396200</v>
      </c>
      <c r="BJ10" s="217">
        <f t="shared" si="1"/>
        <v>384481.57734063477</v>
      </c>
    </row>
    <row r="11" spans="1:68" s="163" customFormat="1" ht="12" customHeight="1">
      <c r="B11" s="188" t="s">
        <v>56</v>
      </c>
      <c r="C11" s="219">
        <f>운용리스_비교!$BC$23</f>
        <v>0</v>
      </c>
      <c r="D11" s="220" t="b">
        <f>운용리스_비교!BQ21</f>
        <v>1</v>
      </c>
      <c r="E11" s="21"/>
      <c r="F11" s="221"/>
      <c r="G11" s="188" t="s">
        <v>56</v>
      </c>
      <c r="H11" s="219">
        <f>운용리스_비교!$BC$23</f>
        <v>0</v>
      </c>
      <c r="I11" s="220" t="b">
        <f>운용리스_비교!BQ21</f>
        <v>1</v>
      </c>
      <c r="J11" s="21"/>
      <c r="K11" s="222"/>
      <c r="L11" s="188" t="s">
        <v>56</v>
      </c>
      <c r="M11" s="219">
        <f>운용리스_비교!$BC$23</f>
        <v>0</v>
      </c>
      <c r="N11" s="220" t="b">
        <f>운용리스_비교!BQ21</f>
        <v>1</v>
      </c>
      <c r="O11" s="21"/>
      <c r="P11" s="223"/>
      <c r="Q11" s="157"/>
      <c r="R11" s="194" t="s">
        <v>57</v>
      </c>
      <c r="S11" s="233">
        <f>+C16</f>
        <v>13956000</v>
      </c>
      <c r="T11" s="222"/>
      <c r="U11" s="159"/>
      <c r="V11" s="194" t="s">
        <v>57</v>
      </c>
      <c r="W11" s="233">
        <f>+H16</f>
        <v>12327000</v>
      </c>
      <c r="X11" s="222"/>
      <c r="Y11" s="159"/>
      <c r="Z11" s="194" t="s">
        <v>57</v>
      </c>
      <c r="AA11" s="233">
        <f>+M16</f>
        <v>10467000</v>
      </c>
      <c r="AB11" s="157"/>
      <c r="AC11" s="179" t="s">
        <v>58</v>
      </c>
      <c r="AD11" s="234" t="b">
        <f>+IF(AND(S12="적정",S17="적정"),TRUE,FALSE)</f>
        <v>1</v>
      </c>
      <c r="AE11" s="159"/>
      <c r="AF11" s="157"/>
      <c r="AG11" s="179" t="s">
        <v>58</v>
      </c>
      <c r="AH11" s="234" t="b">
        <f>+IF(AND(W12="적정",W17="적정"),TRUE,FALSE)</f>
        <v>1</v>
      </c>
      <c r="AI11" s="157"/>
      <c r="AJ11" s="157"/>
      <c r="AK11" s="179" t="s">
        <v>58</v>
      </c>
      <c r="AL11" s="234" t="b">
        <f>+IF(AND(AA12="적정",AA17="적정"),TRUE,FALSE)</f>
        <v>1</v>
      </c>
      <c r="AM11" s="235"/>
      <c r="AN11" s="194">
        <v>2</v>
      </c>
      <c r="AO11" s="194" t="s">
        <v>59</v>
      </c>
      <c r="AP11" s="157"/>
      <c r="AQ11" s="157"/>
      <c r="AR11" s="157"/>
      <c r="AS11" s="157"/>
      <c r="AT11" s="157"/>
      <c r="AU11" s="157"/>
      <c r="AW11" s="22" t="s">
        <v>60</v>
      </c>
      <c r="AX11" s="725">
        <v>7.0000000000000007E-2</v>
      </c>
      <c r="AY11" s="26">
        <f>IF($C$4="전기",ROUNDDOWN($D$3/1.1*AX11,-1)-1400000,ROUNDDOWN($D$3/1.1*AX11,-1))</f>
        <v>1480180</v>
      </c>
      <c r="AZ11" s="24">
        <f>ROUNDDOWN(C3/1.1*20%*C9,-1)</f>
        <v>422900</v>
      </c>
      <c r="BA11" s="25">
        <f>IF((C3/1.1*12%)&lt;=2500000, 0, ROUNDDOWN(((C3/1.1*12%)-2500000)*C9,-2))</f>
        <v>3700</v>
      </c>
      <c r="BB11" s="26">
        <v>130000</v>
      </c>
      <c r="BH11" s="197">
        <v>5</v>
      </c>
      <c r="BI11" s="217">
        <f t="shared" si="0"/>
        <v>396200</v>
      </c>
      <c r="BJ11" s="217">
        <f t="shared" si="1"/>
        <v>381606.53304662957</v>
      </c>
    </row>
    <row r="12" spans="1:68" s="163" customFormat="1" ht="12" customHeight="1">
      <c r="B12" s="188" t="s">
        <v>61</v>
      </c>
      <c r="C12" s="219">
        <f>운용리스_비교!$BC$24</f>
        <v>0</v>
      </c>
      <c r="D12" s="220" t="b">
        <f>운용리스_비교!BQ22</f>
        <v>0</v>
      </c>
      <c r="E12" s="21"/>
      <c r="F12" s="221"/>
      <c r="G12" s="188" t="s">
        <v>61</v>
      </c>
      <c r="H12" s="219">
        <f>운용리스_비교!$BC$24</f>
        <v>0</v>
      </c>
      <c r="I12" s="220" t="b">
        <f>운용리스_비교!BQ22</f>
        <v>0</v>
      </c>
      <c r="J12" s="21"/>
      <c r="K12" s="222"/>
      <c r="L12" s="188" t="s">
        <v>61</v>
      </c>
      <c r="M12" s="219">
        <f>운용리스_비교!$BC$24</f>
        <v>0</v>
      </c>
      <c r="N12" s="220" t="b">
        <f>운용리스_비교!BQ22</f>
        <v>0</v>
      </c>
      <c r="O12" s="21"/>
      <c r="P12" s="223"/>
      <c r="Q12" s="157"/>
      <c r="R12" s="201" t="s">
        <v>62</v>
      </c>
      <c r="S12" s="236" t="str">
        <f>+IF(S11&gt;S10,"초과","적정")</f>
        <v>적정</v>
      </c>
      <c r="T12" s="237"/>
      <c r="U12" s="159"/>
      <c r="V12" s="201" t="s">
        <v>62</v>
      </c>
      <c r="W12" s="236" t="str">
        <f>+IF(W11&gt;W10,"초과","적정")</f>
        <v>적정</v>
      </c>
      <c r="X12" s="237"/>
      <c r="Y12" s="159"/>
      <c r="Z12" s="201" t="s">
        <v>62</v>
      </c>
      <c r="AA12" s="236" t="str">
        <f>+IF(AA11&gt;AA10,"초과","적정")</f>
        <v>적정</v>
      </c>
      <c r="AB12" s="157"/>
      <c r="AC12" s="189" t="s">
        <v>7</v>
      </c>
      <c r="AD12" s="190" t="b">
        <f>+IF(S22="적정",TRUE,FALSE)</f>
        <v>1</v>
      </c>
      <c r="AE12" s="159"/>
      <c r="AF12" s="157"/>
      <c r="AG12" s="189" t="s">
        <v>7</v>
      </c>
      <c r="AH12" s="190" t="b">
        <f>+IF(W22="적정",TRUE,FALSE)</f>
        <v>1</v>
      </c>
      <c r="AI12" s="157"/>
      <c r="AJ12" s="157"/>
      <c r="AK12" s="189" t="s">
        <v>7</v>
      </c>
      <c r="AL12" s="190" t="b">
        <f>+IF(AA22="적정",TRUE,FALSE)</f>
        <v>1</v>
      </c>
      <c r="AM12" s="235"/>
      <c r="AN12" s="201">
        <v>3</v>
      </c>
      <c r="AO12" s="201" t="s">
        <v>63</v>
      </c>
      <c r="AP12" s="157"/>
      <c r="AQ12" s="157"/>
      <c r="AR12" s="157"/>
      <c r="AS12" s="157"/>
      <c r="AT12" s="157"/>
      <c r="AU12" s="157"/>
      <c r="AW12" s="12" t="s">
        <v>64</v>
      </c>
      <c r="AX12" s="724">
        <v>0</v>
      </c>
      <c r="AY12" s="14">
        <f>IF($D$4="국산",IF(ROUNDDOWN($D$3/1.1*AX12,-1)&lt;=500000, 0,IF(ROUNDDOWN($D$3/1.1*AX12,-1)-500000,ROUNDDOWN($D$3/1.1*AX12,-1),0)),IF(ROUNDDOWN($C$3/1.1*AX12,-1)&lt;=500000, 0,IF(ROUNDDOWN($C$3/1.1*AX12,-1)-500000,ROUNDDOWN($C$3/1.1*AX12,-1),0)))</f>
        <v>0</v>
      </c>
      <c r="AZ12" s="15">
        <v>0</v>
      </c>
      <c r="BA12" s="15">
        <v>0</v>
      </c>
      <c r="BB12" s="14">
        <v>84500</v>
      </c>
      <c r="BH12" s="197">
        <v>6</v>
      </c>
      <c r="BI12" s="217">
        <f t="shared" si="0"/>
        <v>396200</v>
      </c>
      <c r="BJ12" s="217">
        <f t="shared" si="1"/>
        <v>378752.98751922243</v>
      </c>
    </row>
    <row r="13" spans="1:68" s="163" customFormat="1" ht="12" customHeight="1">
      <c r="B13" s="188" t="s">
        <v>65</v>
      </c>
      <c r="C13" s="238">
        <f>운용리스_비교!$AR$28</f>
        <v>36</v>
      </c>
      <c r="D13" s="190"/>
      <c r="E13" s="191"/>
      <c r="F13" s="158"/>
      <c r="G13" s="188" t="s">
        <v>9</v>
      </c>
      <c r="H13" s="238">
        <f>운용리스_비교!AY$28</f>
        <v>48</v>
      </c>
      <c r="I13" s="190"/>
      <c r="J13" s="191"/>
      <c r="K13" s="159"/>
      <c r="L13" s="188" t="s">
        <v>9</v>
      </c>
      <c r="M13" s="238">
        <f>운용리스_비교!BF$28</f>
        <v>60</v>
      </c>
      <c r="N13" s="190"/>
      <c r="O13" s="191"/>
      <c r="P13" s="157"/>
      <c r="Q13" s="157"/>
      <c r="R13" s="157"/>
      <c r="S13" s="157"/>
      <c r="T13" s="159"/>
      <c r="U13" s="159"/>
      <c r="V13" s="157"/>
      <c r="W13" s="157"/>
      <c r="X13" s="159"/>
      <c r="Y13" s="159"/>
      <c r="Z13" s="157"/>
      <c r="AA13" s="157"/>
      <c r="AB13" s="157"/>
      <c r="AC13" s="189" t="s">
        <v>66</v>
      </c>
      <c r="AD13" s="190" t="b">
        <f>+IF(AD8="초과",FALSE,TRUE)</f>
        <v>1</v>
      </c>
      <c r="AE13" s="159"/>
      <c r="AF13" s="157"/>
      <c r="AG13" s="189" t="s">
        <v>66</v>
      </c>
      <c r="AH13" s="190" t="b">
        <f>+IF(AH8="초과",FALSE,TRUE)</f>
        <v>1</v>
      </c>
      <c r="AI13" s="157"/>
      <c r="AJ13" s="157"/>
      <c r="AK13" s="189" t="s">
        <v>66</v>
      </c>
      <c r="AL13" s="190" t="b">
        <f>+IF(AL8="초과",FALSE,TRUE)</f>
        <v>1</v>
      </c>
      <c r="AM13" s="159"/>
      <c r="AN13" s="157"/>
      <c r="AO13" s="157"/>
      <c r="AP13" s="157"/>
      <c r="AQ13" s="157"/>
      <c r="AR13" s="157"/>
      <c r="AS13" s="157"/>
      <c r="AT13" s="157"/>
      <c r="AU13" s="157"/>
      <c r="AW13" s="12" t="s">
        <v>67</v>
      </c>
      <c r="AX13" s="724">
        <v>0.05</v>
      </c>
      <c r="AY13" s="14">
        <f>IF($D$4="국산",IF(ROUNDDOWN($D$3/1.1*AX13,-1)&lt;=500000, 0,IF(ROUNDDOWN($D$3/1.1*AX13,-1)-500000,ROUNDDOWN($D$3/1.1*AX13,-1),0)),IF(ROUNDDOWN($C$3/1.1*AX13,-1)&lt;=500000, 0,IF(ROUNDDOWN($C$3/1.1*AX13,-1)-500000,ROUNDDOWN($C$3/1.1*AX13,-1),0)))</f>
        <v>1057270</v>
      </c>
      <c r="AZ13" s="15">
        <f>ROUNDDOWN(390000*C9,-1)</f>
        <v>39000</v>
      </c>
      <c r="BA13" s="15">
        <v>0</v>
      </c>
      <c r="BB13" s="14">
        <v>65000</v>
      </c>
      <c r="BH13" s="197">
        <v>7</v>
      </c>
      <c r="BI13" s="217">
        <f t="shared" si="0"/>
        <v>396200</v>
      </c>
      <c r="BJ13" s="217">
        <f t="shared" si="1"/>
        <v>375920.77999672823</v>
      </c>
    </row>
    <row r="14" spans="1:68" s="163" customFormat="1" ht="12" customHeight="1">
      <c r="B14" s="188" t="s">
        <v>7</v>
      </c>
      <c r="C14" s="219">
        <f>운용리스_비교!AU30</f>
        <v>0</v>
      </c>
      <c r="D14" s="239">
        <f>C14/C3</f>
        <v>0</v>
      </c>
      <c r="E14" s="21"/>
      <c r="F14" s="240"/>
      <c r="G14" s="188" t="s">
        <v>7</v>
      </c>
      <c r="H14" s="219">
        <f>운용리스_비교!BB30</f>
        <v>0</v>
      </c>
      <c r="I14" s="239">
        <f>H14/H3</f>
        <v>0</v>
      </c>
      <c r="J14" s="241"/>
      <c r="K14" s="242"/>
      <c r="L14" s="188" t="s">
        <v>7</v>
      </c>
      <c r="M14" s="219">
        <f>운용리스_비교!BI30</f>
        <v>0</v>
      </c>
      <c r="N14" s="239">
        <f>M14/M3</f>
        <v>0</v>
      </c>
      <c r="O14" s="241"/>
      <c r="P14" s="157"/>
      <c r="Q14" s="157"/>
      <c r="R14" s="1932" t="s">
        <v>68</v>
      </c>
      <c r="S14" s="1932"/>
      <c r="T14" s="169"/>
      <c r="U14" s="159"/>
      <c r="V14" s="1932" t="s">
        <v>68</v>
      </c>
      <c r="W14" s="1932"/>
      <c r="X14" s="169"/>
      <c r="Y14" s="159"/>
      <c r="Z14" s="1932" t="s">
        <v>68</v>
      </c>
      <c r="AA14" s="1932"/>
      <c r="AB14" s="157"/>
      <c r="AC14" s="189" t="s">
        <v>69</v>
      </c>
      <c r="AD14" s="190" t="b">
        <f>+C55</f>
        <v>1</v>
      </c>
      <c r="AE14" s="159"/>
      <c r="AF14" s="157"/>
      <c r="AG14" s="189" t="s">
        <v>69</v>
      </c>
      <c r="AH14" s="190" t="b">
        <f>+H55</f>
        <v>1</v>
      </c>
      <c r="AI14" s="157"/>
      <c r="AJ14" s="157"/>
      <c r="AK14" s="189" t="s">
        <v>69</v>
      </c>
      <c r="AL14" s="190" t="b">
        <f>+M55</f>
        <v>1</v>
      </c>
      <c r="AM14" s="235"/>
      <c r="AN14" s="182">
        <v>1</v>
      </c>
      <c r="AO14" s="182" t="s">
        <v>70</v>
      </c>
      <c r="AP14" s="157"/>
      <c r="AQ14" s="157"/>
      <c r="AR14" s="157"/>
      <c r="AS14" s="157"/>
      <c r="AT14" s="157"/>
      <c r="AU14" s="157"/>
      <c r="AW14" s="12" t="s">
        <v>71</v>
      </c>
      <c r="AX14" s="724">
        <v>0.05</v>
      </c>
      <c r="AY14" s="14">
        <f>IF($D$4="국산",IF(ROUNDDOWN($D$3/1.1*AX14,-1)&lt;=500000, 0,IF(ROUNDDOWN($D$3/1.1*AX14,-1)-500000,ROUNDDOWN($D$3/1.1*AX14,-1),0)),IF(ROUNDDOWN($C$3/1.1*AX14,-1)&lt;=500000, 0,IF(ROUNDDOWN($C$3/1.1*AX14,-1)-500000,ROUNDDOWN($C$3/1.1*AX14,-1),0)))</f>
        <v>1057270</v>
      </c>
      <c r="AZ14" s="15">
        <f>ROUNDDOWN(650000*C9,-1)</f>
        <v>65000</v>
      </c>
      <c r="BA14" s="15">
        <v>0</v>
      </c>
      <c r="BB14" s="14">
        <v>84500</v>
      </c>
      <c r="BH14" s="197">
        <v>8</v>
      </c>
      <c r="BI14" s="217">
        <f t="shared" si="0"/>
        <v>396200</v>
      </c>
      <c r="BJ14" s="217">
        <f t="shared" si="1"/>
        <v>373109.75091959239</v>
      </c>
    </row>
    <row r="15" spans="1:68" s="163" customFormat="1" ht="12" customHeight="1">
      <c r="B15" s="188" t="s">
        <v>30</v>
      </c>
      <c r="C15" s="219">
        <f>운용리스_비교!AU33</f>
        <v>0</v>
      </c>
      <c r="D15" s="239">
        <f>C15/C3</f>
        <v>0</v>
      </c>
      <c r="E15" s="21"/>
      <c r="F15" s="240"/>
      <c r="G15" s="188" t="s">
        <v>30</v>
      </c>
      <c r="H15" s="219">
        <f>운용리스_비교!BB33</f>
        <v>0</v>
      </c>
      <c r="I15" s="239">
        <f>H15/H3</f>
        <v>0</v>
      </c>
      <c r="J15" s="241"/>
      <c r="K15" s="242"/>
      <c r="L15" s="188" t="s">
        <v>30</v>
      </c>
      <c r="M15" s="219">
        <f>운용리스_비교!BI33</f>
        <v>0</v>
      </c>
      <c r="N15" s="239">
        <f>M15/M3</f>
        <v>0</v>
      </c>
      <c r="O15" s="241"/>
      <c r="P15" s="157"/>
      <c r="Q15" s="157"/>
      <c r="R15" s="182" t="s">
        <v>72</v>
      </c>
      <c r="S15" s="243">
        <f>IF(C13=36,30%,IF(C13=48,25%,IF(C13=60,20%,0)))</f>
        <v>0.3</v>
      </c>
      <c r="T15" s="244"/>
      <c r="U15" s="159"/>
      <c r="V15" s="182" t="s">
        <v>72</v>
      </c>
      <c r="W15" s="243">
        <f>IF(H13=36,30%,IF(H13=48,25%,IF(H13=60,20%,0)))</f>
        <v>0.25</v>
      </c>
      <c r="X15" s="244"/>
      <c r="Y15" s="159"/>
      <c r="Z15" s="182" t="s">
        <v>72</v>
      </c>
      <c r="AA15" s="243">
        <f>IF(M13=36,30%,IF(M13=48,25%,IF(M13=60,20%,0)))</f>
        <v>0.2</v>
      </c>
      <c r="AB15" s="157"/>
      <c r="AC15" s="189" t="s">
        <v>73</v>
      </c>
      <c r="AD15" s="220">
        <f>+IF(AND(AD11=TRUE,AD12=TRUE,AD13=TRUE,AD14=TRUE),AD25,FALSE)</f>
        <v>396200</v>
      </c>
      <c r="AE15" s="222"/>
      <c r="AF15" s="157"/>
      <c r="AG15" s="189" t="s">
        <v>73</v>
      </c>
      <c r="AH15" s="220">
        <f>+IF(AND(AH11=TRUE,AH12=TRUE,AH13=TRUE,AH14=TRUE),AH25,FALSE)</f>
        <v>353800</v>
      </c>
      <c r="AI15" s="157"/>
      <c r="AJ15" s="157"/>
      <c r="AK15" s="189" t="s">
        <v>73</v>
      </c>
      <c r="AL15" s="220">
        <f>+IF(AND(AL11=TRUE,AL12=TRUE,AL13=TRUE,AL14=TRUE),AL25,FALSE)</f>
        <v>330100</v>
      </c>
      <c r="AM15" s="245"/>
      <c r="AN15" s="194">
        <v>1</v>
      </c>
      <c r="AO15" s="194" t="s">
        <v>74</v>
      </c>
      <c r="AP15" s="157"/>
      <c r="AQ15" s="157"/>
      <c r="AR15" s="157"/>
      <c r="AS15" s="157"/>
      <c r="AT15" s="157"/>
      <c r="AU15" s="157"/>
      <c r="AW15" s="22" t="s">
        <v>75</v>
      </c>
      <c r="AX15" s="725">
        <v>0.05</v>
      </c>
      <c r="AY15" s="26">
        <f>IF($D$4="국산",IF(ROUNDDOWN($D$3/1.1*AX15,-1)&lt;=500000, 0,IF(ROUNDDOWN($D$3/1.1*AX15,-1)-500000,ROUNDDOWN($D$3/1.1*AX15,-1),0)),IF(ROUNDDOWN($C$3/1.1*AX15,-1)&lt;=500000, 0,IF(ROUNDDOWN($C$3/1.1*AX15,-1)-500000,ROUNDDOWN($C$3/1.1*AX15,-1),0)))</f>
        <v>1057270</v>
      </c>
      <c r="AZ15" s="24">
        <f>ROUNDDOWN(1300000*C9,-1)</f>
        <v>130000</v>
      </c>
      <c r="BA15" s="24">
        <v>0</v>
      </c>
      <c r="BB15" s="26">
        <v>0</v>
      </c>
      <c r="BH15" s="197">
        <v>9</v>
      </c>
      <c r="BI15" s="217">
        <f t="shared" si="0"/>
        <v>396200</v>
      </c>
      <c r="BJ15" s="217">
        <f t="shared" si="1"/>
        <v>370319.74192140129</v>
      </c>
    </row>
    <row r="16" spans="1:68" s="163" customFormat="1" ht="12" customHeight="1">
      <c r="B16" s="188" t="s">
        <v>20</v>
      </c>
      <c r="C16" s="219">
        <f>운용리스_비교!AU36</f>
        <v>13956000</v>
      </c>
      <c r="D16" s="239">
        <f>C16/C3</f>
        <v>0.6</v>
      </c>
      <c r="E16" s="21"/>
      <c r="F16" s="158"/>
      <c r="G16" s="188" t="s">
        <v>20</v>
      </c>
      <c r="H16" s="219">
        <f>운용리스_비교!BB36</f>
        <v>12327000</v>
      </c>
      <c r="I16" s="239">
        <f>H16/H3</f>
        <v>0.52996560619088562</v>
      </c>
      <c r="J16" s="241"/>
      <c r="K16" s="159"/>
      <c r="L16" s="188" t="s">
        <v>20</v>
      </c>
      <c r="M16" s="219">
        <f>운용리스_비교!BI36</f>
        <v>10467000</v>
      </c>
      <c r="N16" s="239">
        <f>M16/M3</f>
        <v>0.45</v>
      </c>
      <c r="O16" s="241"/>
      <c r="P16" s="157"/>
      <c r="Q16" s="157"/>
      <c r="R16" s="194" t="s">
        <v>76</v>
      </c>
      <c r="S16" s="233">
        <f>+ROUNDDOWN(C3*S15,-3)</f>
        <v>6978000</v>
      </c>
      <c r="T16" s="222"/>
      <c r="U16" s="159"/>
      <c r="V16" s="194" t="s">
        <v>76</v>
      </c>
      <c r="W16" s="233">
        <f>+ROUNDDOWN(H3*W15,-3)</f>
        <v>5815000</v>
      </c>
      <c r="X16" s="222"/>
      <c r="Y16" s="159"/>
      <c r="Z16" s="194" t="s">
        <v>76</v>
      </c>
      <c r="AA16" s="233">
        <f>+ROUNDDOWN(M3*AA15,-3)</f>
        <v>4652000</v>
      </c>
      <c r="AB16" s="157"/>
      <c r="AC16" s="189" t="s">
        <v>30</v>
      </c>
      <c r="AD16" s="193">
        <f>ROUNDDOWN(C15/C13,-1)</f>
        <v>0</v>
      </c>
      <c r="AE16" s="181"/>
      <c r="AF16" s="157"/>
      <c r="AG16" s="189" t="s">
        <v>30</v>
      </c>
      <c r="AH16" s="193">
        <f>ROUNDDOWN(H15/H13,-1)</f>
        <v>0</v>
      </c>
      <c r="AI16" s="157"/>
      <c r="AJ16" s="157"/>
      <c r="AK16" s="189" t="s">
        <v>30</v>
      </c>
      <c r="AL16" s="193">
        <f>ROUNDDOWN(M15/M13,-1)</f>
        <v>0</v>
      </c>
      <c r="AM16" s="246"/>
      <c r="AN16" s="194">
        <v>2</v>
      </c>
      <c r="AO16" s="194" t="s">
        <v>59</v>
      </c>
      <c r="AP16" s="157"/>
      <c r="AS16" s="157"/>
      <c r="AT16" s="157"/>
      <c r="AU16" s="157"/>
      <c r="AY16" s="163">
        <f>IF($D$4="국산",IF(ROUNDDOWN($D$3/1.1*5%,-1)+IF(ROUNDDOWN($D$3/1.1*2%,-1)&lt;=400000,0,ROUNDDOWN($D$3/1.1*2%,-1)-400000),IF(ROUNDDOWN($D$3/1.1*AX9,-1)&lt;=400000,0,ROUNDDOWN($D$3/1.1*AX9,-1)-400000)),IF(ROUNDDOWN($C$3/1.1*5%,-1)+IF(ROUNDDOWN($C$3/1.1*2%,-1)&lt;=400000,0,ROUNDDOWN($C$3/1.1*2%,-1)-400000),IF(ROUNDDOWN($C$3/1.1*AX9,-1)&lt;=400000,0,ROUNDDOWN($C$3/1.1*AX9,-1)-400000)))</f>
        <v>1080180</v>
      </c>
      <c r="AZ16" s="163">
        <f>IF((C3/1.1*IF(C5&gt;=2000,20%,IF(C5&gt;=1600,12%,9%)))&lt;=2000000, 0, ROUNDDOWN((C3/1.1*IF(C5&gt;=2000,20%,IF(C5&gt;=1600,12%,9%))-2000000)*C9,-1))</f>
        <v>0</v>
      </c>
      <c r="BA16" s="163">
        <f>IF((C3/1.1*IF(C5&gt;=2000,5%,0%))&lt;=2000000, 0, ROUNDDOWN((C3/1.1*IF(C5&gt;=2000,5%,0%)-2000000)*C9,-2))</f>
        <v>0</v>
      </c>
      <c r="BH16" s="197">
        <v>10</v>
      </c>
      <c r="BI16" s="217">
        <f t="shared" si="0"/>
        <v>396200</v>
      </c>
      <c r="BJ16" s="217">
        <f t="shared" si="1"/>
        <v>367550.59581996058</v>
      </c>
    </row>
    <row r="17" spans="2:62" s="163" customFormat="1" ht="12" customHeight="1">
      <c r="B17" s="188" t="s">
        <v>10</v>
      </c>
      <c r="C17" s="238">
        <f>운용리스_비교!AR41</f>
        <v>20000</v>
      </c>
      <c r="D17" s="190"/>
      <c r="E17" s="191"/>
      <c r="F17" s="158"/>
      <c r="G17" s="188" t="s">
        <v>10</v>
      </c>
      <c r="H17" s="238">
        <f>운용리스_비교!AY41</f>
        <v>20000</v>
      </c>
      <c r="I17" s="190"/>
      <c r="J17" s="191"/>
      <c r="K17" s="159"/>
      <c r="L17" s="188" t="s">
        <v>10</v>
      </c>
      <c r="M17" s="238">
        <f>운용리스_비교!BF41</f>
        <v>20000</v>
      </c>
      <c r="N17" s="190"/>
      <c r="O17" s="191"/>
      <c r="P17" s="157"/>
      <c r="Q17" s="157"/>
      <c r="R17" s="201" t="s">
        <v>77</v>
      </c>
      <c r="S17" s="201" t="str">
        <f>+IF(C16&lt;S16,"미달","적정")</f>
        <v>적정</v>
      </c>
      <c r="T17" s="159"/>
      <c r="U17" s="159"/>
      <c r="V17" s="201" t="s">
        <v>77</v>
      </c>
      <c r="W17" s="201" t="str">
        <f>+IF(H16&lt;W16,"미달","적정")</f>
        <v>적정</v>
      </c>
      <c r="X17" s="159"/>
      <c r="Y17" s="159"/>
      <c r="Z17" s="201" t="s">
        <v>77</v>
      </c>
      <c r="AA17" s="201" t="str">
        <f>+IF(M16&lt;AA16,"미달","적정")</f>
        <v>적정</v>
      </c>
      <c r="AB17" s="157"/>
      <c r="AC17" s="224" t="s">
        <v>78</v>
      </c>
      <c r="AD17" s="247">
        <f>IF(AND(AD11=TRUE,AD12=TRUE,AD13=TRUE),SUM(AD15:AD16),FALSE)</f>
        <v>396200</v>
      </c>
      <c r="AE17" s="181"/>
      <c r="AF17" s="157"/>
      <c r="AG17" s="224" t="s">
        <v>78</v>
      </c>
      <c r="AH17" s="247">
        <f>IF(AND(AH11=TRUE,AH12=TRUE,AH13=TRUE),SUM(AH15:AH16),FALSE)</f>
        <v>353800</v>
      </c>
      <c r="AI17" s="157"/>
      <c r="AJ17" s="157"/>
      <c r="AK17" s="224" t="s">
        <v>78</v>
      </c>
      <c r="AL17" s="247">
        <f>IF(AND(AL11=TRUE,AL12=TRUE,AL13=TRUE),SUM(AL15:AL16),FALSE)</f>
        <v>330100</v>
      </c>
      <c r="AM17" s="162"/>
      <c r="AN17" s="201">
        <v>3</v>
      </c>
      <c r="AO17" s="201" t="s">
        <v>63</v>
      </c>
      <c r="AQ17" s="157"/>
      <c r="AR17" s="157"/>
      <c r="AT17" s="157"/>
      <c r="AU17" s="157"/>
      <c r="AY17" s="163">
        <f>IF($D$4="국산",IF(ROUNDDOWN($D$3/1.1*5%,-1)+IF(ROUNDDOWN($D$3/1.1*2%,-1)&lt;=400000,0,ROUNDDOWN($D$3/1.1*2%,-1)-400000),IF(ROUNDDOWN($D$3/1.1*AX10,-1)&lt;=400000,0,ROUNDDOWN($D$3/1.1*AX10,-1)-400000)),IF(ROUNDDOWN($C$3/1.1*5%,-1)+IF(ROUNDDOWN($C$3/1.1*2%,-1)&lt;=400000,0,ROUNDDOWN($C$3/1.1*2%,-1)-400000),IF(ROUNDDOWN($C$3/1.1*AX10,-1)&lt;=400000,0,ROUNDDOWN($C$3/1.1*AX10,-1)-400000)))</f>
        <v>1080180</v>
      </c>
      <c r="AZ17" s="163">
        <f>IF((C3/1.1*5%)&lt;=2000000, 0, ROUNDDOWN(((C3/1.1*5%)-2000000)*C9,-1))</f>
        <v>0</v>
      </c>
      <c r="BH17" s="197">
        <v>11</v>
      </c>
      <c r="BI17" s="217">
        <f t="shared" si="0"/>
        <v>396200</v>
      </c>
      <c r="BJ17" s="217">
        <f t="shared" si="1"/>
        <v>364802.15660843969</v>
      </c>
    </row>
    <row r="18" spans="2:62" s="163" customFormat="1" ht="12" customHeight="1">
      <c r="B18" s="188" t="s">
        <v>79</v>
      </c>
      <c r="C18" s="219">
        <f>+VLOOKUP(C4,$AW$5:$BB$15,6,0)</f>
        <v>103792</v>
      </c>
      <c r="D18" s="248" t="b">
        <f>운용리스_비교!BQ23</f>
        <v>0</v>
      </c>
      <c r="E18" s="174"/>
      <c r="F18" s="158"/>
      <c r="G18" s="188" t="s">
        <v>79</v>
      </c>
      <c r="H18" s="219">
        <f>+VLOOKUP(H4,$AW$5:$BB$15,6,0)</f>
        <v>103792</v>
      </c>
      <c r="I18" s="248" t="b">
        <f>운용리스_비교!BQ23</f>
        <v>0</v>
      </c>
      <c r="J18" s="174"/>
      <c r="K18" s="159"/>
      <c r="L18" s="188" t="s">
        <v>79</v>
      </c>
      <c r="M18" s="219">
        <f>+VLOOKUP(M4,$AW$5:$BB$15,6,0)</f>
        <v>103792</v>
      </c>
      <c r="N18" s="248" t="b">
        <f>운용리스_비교!BQ23</f>
        <v>0</v>
      </c>
      <c r="O18" s="174"/>
      <c r="P18" s="157"/>
      <c r="Q18" s="157"/>
      <c r="R18" s="157"/>
      <c r="S18" s="157"/>
      <c r="T18" s="159"/>
      <c r="U18" s="159"/>
      <c r="V18" s="157"/>
      <c r="W18" s="157"/>
      <c r="X18" s="159"/>
      <c r="Y18" s="159"/>
      <c r="Z18" s="157"/>
      <c r="AA18" s="157"/>
      <c r="AB18" s="157"/>
      <c r="AC18" s="249"/>
      <c r="AD18" s="161"/>
      <c r="AE18" s="162"/>
      <c r="AF18" s="157"/>
      <c r="AG18" s="249"/>
      <c r="AH18" s="161"/>
      <c r="AI18" s="157"/>
      <c r="AJ18" s="157"/>
      <c r="AK18" s="249"/>
      <c r="AL18" s="161"/>
      <c r="AM18" s="162"/>
      <c r="AN18" s="157"/>
      <c r="AO18" s="157"/>
      <c r="AP18" s="157"/>
      <c r="AQ18" s="157"/>
      <c r="AS18" s="157"/>
      <c r="AT18" s="157"/>
      <c r="AU18" s="157"/>
      <c r="AY18" s="163">
        <f>IF($C$4="전기",ROUNDDOWN($D$3/1.1*AX11,-1)-1400000,ROUNDDOWN($D$3/1.1*AX11,-1))</f>
        <v>1480180</v>
      </c>
      <c r="BH18" s="197">
        <v>12</v>
      </c>
      <c r="BI18" s="217">
        <f t="shared" si="0"/>
        <v>396200</v>
      </c>
      <c r="BJ18" s="217">
        <f t="shared" si="1"/>
        <v>362074.26944658317</v>
      </c>
    </row>
    <row r="19" spans="2:62" s="163" customFormat="1" ht="12" customHeight="1">
      <c r="B19" s="188" t="s">
        <v>80</v>
      </c>
      <c r="C19" s="219">
        <v>0</v>
      </c>
      <c r="D19" s="248"/>
      <c r="E19" s="174"/>
      <c r="F19" s="158"/>
      <c r="G19" s="188" t="s">
        <v>80</v>
      </c>
      <c r="H19" s="219">
        <v>0</v>
      </c>
      <c r="I19" s="248"/>
      <c r="J19" s="174"/>
      <c r="K19" s="159"/>
      <c r="L19" s="188" t="s">
        <v>80</v>
      </c>
      <c r="M19" s="219">
        <v>0</v>
      </c>
      <c r="N19" s="248"/>
      <c r="O19" s="174"/>
      <c r="P19" s="157"/>
      <c r="Q19" s="157"/>
      <c r="R19" s="1932" t="s">
        <v>81</v>
      </c>
      <c r="S19" s="1932"/>
      <c r="T19" s="169"/>
      <c r="U19" s="159"/>
      <c r="V19" s="1932" t="s">
        <v>81</v>
      </c>
      <c r="W19" s="1932"/>
      <c r="X19" s="169"/>
      <c r="Y19" s="159"/>
      <c r="Z19" s="1932" t="s">
        <v>81</v>
      </c>
      <c r="AA19" s="1932"/>
      <c r="AB19" s="157"/>
      <c r="AC19" s="1933" t="s">
        <v>82</v>
      </c>
      <c r="AD19" s="1933"/>
      <c r="AE19" s="169"/>
      <c r="AF19" s="157"/>
      <c r="AG19" s="1933" t="s">
        <v>82</v>
      </c>
      <c r="AH19" s="1933"/>
      <c r="AI19" s="157"/>
      <c r="AJ19" s="157"/>
      <c r="AK19" s="1933" t="s">
        <v>82</v>
      </c>
      <c r="AL19" s="1933"/>
      <c r="AM19" s="162"/>
      <c r="AN19" s="250" t="s">
        <v>83</v>
      </c>
      <c r="AR19" s="157"/>
      <c r="AS19" s="157"/>
      <c r="BH19" s="197">
        <v>13</v>
      </c>
      <c r="BI19" s="217">
        <f t="shared" si="0"/>
        <v>396200</v>
      </c>
      <c r="BJ19" s="217">
        <f t="shared" si="1"/>
        <v>359366.78065198689</v>
      </c>
    </row>
    <row r="20" spans="2:62" s="163" customFormat="1" ht="12" customHeight="1">
      <c r="B20" s="251" t="s">
        <v>295</v>
      </c>
      <c r="C20" s="252" t="str">
        <f>운용리스_비교!$AR$48</f>
        <v>기타</v>
      </c>
      <c r="D20" s="225" t="e">
        <f>VLOOKUP(C20,차량정보!$AG:$AM,7,FALSE)</f>
        <v>#N/A</v>
      </c>
      <c r="E20" s="191"/>
      <c r="F20" s="158"/>
      <c r="G20" s="251" t="s">
        <v>295</v>
      </c>
      <c r="H20" s="252" t="str">
        <f>운용리스_비교!$AR$48</f>
        <v>기타</v>
      </c>
      <c r="I20" s="225" t="e">
        <f>VLOOKUP(H20,차량정보!$AG:$AM,7,FALSE)</f>
        <v>#N/A</v>
      </c>
      <c r="J20" s="191"/>
      <c r="K20" s="159"/>
      <c r="L20" s="251" t="s">
        <v>295</v>
      </c>
      <c r="M20" s="252" t="str">
        <f>운용리스_비교!$AR$48</f>
        <v>기타</v>
      </c>
      <c r="N20" s="225" t="e">
        <f>VLOOKUP(M20,차량정보!$AG:$AM,7,FALSE)</f>
        <v>#N/A</v>
      </c>
      <c r="O20" s="191"/>
      <c r="P20" s="157"/>
      <c r="Q20" s="157"/>
      <c r="R20" s="182" t="s">
        <v>84</v>
      </c>
      <c r="S20" s="243">
        <v>0.5</v>
      </c>
      <c r="T20" s="244"/>
      <c r="U20" s="159"/>
      <c r="V20" s="182" t="s">
        <v>84</v>
      </c>
      <c r="W20" s="243">
        <v>0.5</v>
      </c>
      <c r="X20" s="244"/>
      <c r="Y20" s="159"/>
      <c r="Z20" s="182" t="s">
        <v>84</v>
      </c>
      <c r="AA20" s="243">
        <v>0.5</v>
      </c>
      <c r="AB20" s="157"/>
      <c r="AC20" s="179" t="s">
        <v>85</v>
      </c>
      <c r="AD20" s="924">
        <f>IF(S47="N",(VLOOKUP(운용리스_비교!$AR$6,차량정보!$Z$4:$AF$39,4,0)+IFERROR(VLOOKUP(운용리스_비교!$AR$48,차량정보!$AL$4:$AM$24,2,0),0)),VLOOKUP(운용리스_비교!$AR$6,차량정보!$Z$4:$AF$39,4,0)+IFERROR(VLOOKUP(운용리스_비교!$AR$48,차량정보!$AL$4:$AM$24,2,0)+S48,0))+S43+S66+S67+S70+S69+S75+S96</f>
        <v>6.6000000000000003E-2</v>
      </c>
      <c r="AE20" s="253"/>
      <c r="AF20" s="157"/>
      <c r="AG20" s="179" t="s">
        <v>85</v>
      </c>
      <c r="AH20" s="924">
        <f>IF(W47="N",(VLOOKUP(운용리스_비교!$AR$6,차량정보!$Z$4:$AF$38,4,0)+IFERROR(VLOOKUP(운용리스_비교!$AR$48,차량정보!$AL$4:$AM$24,2,0),0)),VLOOKUP(운용리스_비교!$AR$6,차량정보!$Z$4:$AF$38,4,0)+IFERROR(VLOOKUP(운용리스_비교!$AR$48,차량정보!$AL$4:$AM$24,2,0)+W48,0))+W43+W66+W67+W70+W69+W75+W96</f>
        <v>6.6000000000000003E-2</v>
      </c>
      <c r="AI20" s="157"/>
      <c r="AJ20" s="157"/>
      <c r="AK20" s="179" t="s">
        <v>85</v>
      </c>
      <c r="AL20" s="924">
        <f>IF(AA47="N",(VLOOKUP(운용리스_비교!$AR$6,차량정보!$Z$4:$AF$38,4,0)+IFERROR(VLOOKUP(운용리스_비교!$AR$48,차량정보!$AL$4:$AM$24,2,0),0)),VLOOKUP(운용리스_비교!$AR$6,차량정보!$Z$4:$AF$38,4,0)+IFERROR(VLOOKUP(운용리스_비교!$AR$48,차량정보!$AL$4:$AM$24,2,0)+AA48,0))+AA43+AA66+AA67+AA70+AA69+AA75+AA96</f>
        <v>6.6000000000000003E-2</v>
      </c>
      <c r="AM20" s="162"/>
      <c r="AN20" s="254" t="s">
        <v>86</v>
      </c>
      <c r="AO20" s="255" t="s">
        <v>87</v>
      </c>
      <c r="AP20" s="1934" t="s">
        <v>88</v>
      </c>
      <c r="AQ20" s="1935"/>
      <c r="AR20" s="157"/>
      <c r="AS20" s="157"/>
      <c r="AT20" s="157"/>
      <c r="AU20" s="157"/>
      <c r="BH20" s="197">
        <v>14</v>
      </c>
      <c r="BI20" s="217">
        <f t="shared" si="0"/>
        <v>396200</v>
      </c>
      <c r="BJ20" s="217">
        <f t="shared" si="1"/>
        <v>356679.53769144014</v>
      </c>
    </row>
    <row r="21" spans="2:62" s="163" customFormat="1" ht="12" customHeight="1">
      <c r="B21" s="157"/>
      <c r="C21" s="157" t="str">
        <f>+VLOOKUP(C20,제휴조건!$D$32:$R$53,15,0)&amp;VLOOKUP(C20,제휴조건!$D$32:$S$53,16,0)</f>
        <v/>
      </c>
      <c r="D21" s="157" t="str">
        <f>+VLOOKUP(C20,제휴조건!$D$32:$U$54,18,0)</f>
        <v>Y</v>
      </c>
      <c r="E21" s="157"/>
      <c r="F21" s="158"/>
      <c r="G21" s="157"/>
      <c r="H21" s="157" t="str">
        <f>+VLOOKUP(C20,제휴조건!$D$32:$R$53,15,0)&amp;VLOOKUP(C20,제휴조건!$D$32:$S$53,16,0)</f>
        <v/>
      </c>
      <c r="I21" s="157" t="str">
        <f>+VLOOKUP(H20,제휴조건!$D$32:$U$54,18,0)</f>
        <v>Y</v>
      </c>
      <c r="J21" s="157"/>
      <c r="K21" s="159"/>
      <c r="L21" s="157"/>
      <c r="M21" s="157" t="str">
        <f>+VLOOKUP(C20,제휴조건!$D$32:$R$53,15,0)&amp;VLOOKUP(C20,제휴조건!$D$32:$S$53,16,0)</f>
        <v/>
      </c>
      <c r="N21" s="157" t="str">
        <f>+VLOOKUP(M20,제휴조건!$D$32:$U$54,18,0)</f>
        <v>Y</v>
      </c>
      <c r="O21" s="157"/>
      <c r="P21" s="157"/>
      <c r="Q21" s="157"/>
      <c r="R21" s="194" t="s">
        <v>89</v>
      </c>
      <c r="S21" s="233">
        <f>ROUNDDOWN(C3*S20,-3)</f>
        <v>11630000</v>
      </c>
      <c r="T21" s="222"/>
      <c r="U21" s="159"/>
      <c r="V21" s="194" t="s">
        <v>89</v>
      </c>
      <c r="W21" s="233">
        <f>ROUNDDOWN(H3*W20,-3)</f>
        <v>11630000</v>
      </c>
      <c r="X21" s="222"/>
      <c r="Y21" s="159"/>
      <c r="Z21" s="194" t="s">
        <v>89</v>
      </c>
      <c r="AA21" s="233">
        <f>ROUNDDOWN(M3*AA20,-3)</f>
        <v>11630000</v>
      </c>
      <c r="AB21" s="157"/>
      <c r="AC21" s="189" t="s">
        <v>90</v>
      </c>
      <c r="AD21" s="256">
        <f>+PMT(AD20/12,C13,-C28+C15+C14-E40-E41-E42-C51-S42-E39-E43-E44-E45-E46,+C16-C14,0)</f>
        <v>396108.13689099287</v>
      </c>
      <c r="AE21" s="181"/>
      <c r="AF21" s="157"/>
      <c r="AG21" s="189" t="s">
        <v>90</v>
      </c>
      <c r="AH21" s="256">
        <f>+PMT(AH20/12,H13,-H28+H15+H14-J40-J41-J42-H51-W42-J39-J43-J44-J45-J46,+H16-H14,0)</f>
        <v>353719.05095228466</v>
      </c>
      <c r="AI21" s="157"/>
      <c r="AJ21" s="157"/>
      <c r="AK21" s="189" t="s">
        <v>90</v>
      </c>
      <c r="AL21" s="256">
        <f>+PMT(AL20/12,M13,-M28+M15+M14-O40-O41-O42-M51-AA42-O39-O43-O44-O45-O46,+M16-M14,0)</f>
        <v>330054.86713095079</v>
      </c>
      <c r="AM21" s="162"/>
      <c r="AN21" s="189">
        <v>0</v>
      </c>
      <c r="AO21" s="257">
        <v>0</v>
      </c>
      <c r="AP21" s="1936">
        <f>ROUNDDOWN((D14+D15)*10,0)</f>
        <v>0</v>
      </c>
      <c r="AQ21" s="1937"/>
      <c r="AR21" s="157"/>
      <c r="AS21" s="157"/>
      <c r="AT21" s="157"/>
      <c r="AU21" s="157"/>
      <c r="BH21" s="197">
        <v>15</v>
      </c>
      <c r="BI21" s="217">
        <f t="shared" si="0"/>
        <v>396200</v>
      </c>
      <c r="BJ21" s="217">
        <f t="shared" si="1"/>
        <v>354012.38917233259</v>
      </c>
    </row>
    <row r="22" spans="2:62" s="163" customFormat="1" ht="12" customHeight="1">
      <c r="B22" s="1932" t="s">
        <v>91</v>
      </c>
      <c r="C22" s="1932"/>
      <c r="D22" s="157"/>
      <c r="E22" s="157"/>
      <c r="F22" s="158"/>
      <c r="G22" s="1932" t="s">
        <v>91</v>
      </c>
      <c r="H22" s="1932"/>
      <c r="I22" s="157"/>
      <c r="J22" s="157"/>
      <c r="K22" s="159"/>
      <c r="L22" s="1932" t="s">
        <v>91</v>
      </c>
      <c r="M22" s="1932"/>
      <c r="N22" s="157"/>
      <c r="O22" s="157"/>
      <c r="P22" s="157"/>
      <c r="Q22" s="157"/>
      <c r="R22" s="201" t="s">
        <v>92</v>
      </c>
      <c r="S22" s="201" t="str">
        <f>+IF(C14&gt;S21,"초과","적정")</f>
        <v>적정</v>
      </c>
      <c r="T22" s="159"/>
      <c r="U22" s="159"/>
      <c r="V22" s="201" t="s">
        <v>92</v>
      </c>
      <c r="W22" s="201" t="str">
        <f>+IF(H14&gt;W21,"초과","적정")</f>
        <v>적정</v>
      </c>
      <c r="X22" s="159"/>
      <c r="Y22" s="159"/>
      <c r="Z22" s="201" t="s">
        <v>92</v>
      </c>
      <c r="AA22" s="201" t="str">
        <f>+IF(M14&gt;AA21,"초과","적정")</f>
        <v>적정</v>
      </c>
      <c r="AB22" s="157"/>
      <c r="AC22" s="189" t="s">
        <v>93</v>
      </c>
      <c r="AD22" s="258">
        <f>+RATE(C13,AD21,-C28+C15,C16)*12</f>
        <v>8.5327959725852165E-2</v>
      </c>
      <c r="AE22" s="259"/>
      <c r="AF22" s="157"/>
      <c r="AG22" s="189" t="s">
        <v>93</v>
      </c>
      <c r="AH22" s="258">
        <f>+RATE(H13,AH21,-H28+H15,H16)*12</f>
        <v>8.1484135799520005E-2</v>
      </c>
      <c r="AI22" s="157"/>
      <c r="AJ22" s="157"/>
      <c r="AK22" s="189" t="s">
        <v>93</v>
      </c>
      <c r="AL22" s="258">
        <f>+RATE(M13,AL21,-M28+M15,M16)*12</f>
        <v>7.9285503013719061E-2</v>
      </c>
      <c r="AM22" s="162"/>
      <c r="AN22" s="189">
        <v>1</v>
      </c>
      <c r="AO22" s="257">
        <v>5.4999999999999997E-3</v>
      </c>
      <c r="AP22" s="157"/>
      <c r="AQ22" s="157"/>
      <c r="AR22" s="157"/>
      <c r="AS22" s="157"/>
      <c r="AT22" s="157"/>
      <c r="AU22" s="157"/>
      <c r="AW22" s="163" t="s">
        <v>1824</v>
      </c>
      <c r="BH22" s="197">
        <v>16</v>
      </c>
      <c r="BI22" s="217">
        <f t="shared" si="0"/>
        <v>396200</v>
      </c>
      <c r="BJ22" s="217">
        <f t="shared" si="1"/>
        <v>351365.18483412493</v>
      </c>
    </row>
    <row r="23" spans="2:62" s="163" customFormat="1" ht="12" customHeight="1">
      <c r="B23" s="177" t="s">
        <v>94</v>
      </c>
      <c r="C23" s="232">
        <f>+C3</f>
        <v>23260000</v>
      </c>
      <c r="D23" s="157">
        <f>+C23*1.1%</f>
        <v>255860.00000000003</v>
      </c>
      <c r="E23" s="157"/>
      <c r="F23" s="158"/>
      <c r="G23" s="177" t="s">
        <v>94</v>
      </c>
      <c r="H23" s="232">
        <f>+H3</f>
        <v>23260000</v>
      </c>
      <c r="I23" s="157"/>
      <c r="J23" s="157"/>
      <c r="K23" s="159"/>
      <c r="L23" s="177" t="s">
        <v>94</v>
      </c>
      <c r="M23" s="232">
        <f>+M3</f>
        <v>23260000</v>
      </c>
      <c r="N23" s="157"/>
      <c r="O23" s="157"/>
      <c r="P23" s="157"/>
      <c r="Q23" s="157"/>
      <c r="R23" s="157"/>
      <c r="S23" s="157"/>
      <c r="T23" s="159"/>
      <c r="U23" s="159"/>
      <c r="V23" s="157"/>
      <c r="W23" s="157"/>
      <c r="X23" s="159"/>
      <c r="Y23" s="159"/>
      <c r="Z23" s="157"/>
      <c r="AA23" s="157"/>
      <c r="AB23" s="157"/>
      <c r="AC23" s="189" t="s">
        <v>95</v>
      </c>
      <c r="AD23" s="260">
        <f>+ROUND(AD22,5)</f>
        <v>8.5330000000000003E-2</v>
      </c>
      <c r="AE23" s="261"/>
      <c r="AF23" s="157"/>
      <c r="AG23" s="189" t="s">
        <v>95</v>
      </c>
      <c r="AH23" s="260">
        <f>+ROUND(AH22,5)</f>
        <v>8.1479999999999997E-2</v>
      </c>
      <c r="AI23" s="157"/>
      <c r="AJ23" s="157"/>
      <c r="AK23" s="189" t="s">
        <v>95</v>
      </c>
      <c r="AL23" s="260">
        <f>+ROUND(AL22,5)</f>
        <v>7.9289999999999999E-2</v>
      </c>
      <c r="AM23" s="162"/>
      <c r="AN23" s="189">
        <v>2</v>
      </c>
      <c r="AO23" s="257">
        <v>0.13</v>
      </c>
      <c r="AP23" s="157"/>
      <c r="AQ23" s="157"/>
      <c r="AR23" s="157"/>
      <c r="AS23" s="157"/>
      <c r="AT23" s="157"/>
      <c r="AU23" s="157"/>
      <c r="AW23" s="163" t="str">
        <f>"Ver.230808_"&amp;ROUNDUP(S41,3)*100&amp;ROUNDUP(W41,3)*100&amp;ROUNDUP(AA41,3)*100&amp;"L"</f>
        <v>Ver.230808_555L</v>
      </c>
      <c r="BH23" s="197">
        <v>17</v>
      </c>
      <c r="BI23" s="217">
        <f t="shared" si="0"/>
        <v>396200</v>
      </c>
      <c r="BJ23" s="217">
        <f t="shared" si="1"/>
        <v>348737.77553988335</v>
      </c>
    </row>
    <row r="24" spans="2:62" s="163" customFormat="1" ht="12" customHeight="1">
      <c r="B24" s="192" t="s">
        <v>96</v>
      </c>
      <c r="C24" s="233">
        <f>C8</f>
        <v>95810</v>
      </c>
      <c r="D24" s="157"/>
      <c r="E24" s="157"/>
      <c r="F24" s="158"/>
      <c r="G24" s="192" t="s">
        <v>96</v>
      </c>
      <c r="H24" s="233">
        <f>H8</f>
        <v>95810</v>
      </c>
      <c r="I24" s="157"/>
      <c r="J24" s="157"/>
      <c r="K24" s="159"/>
      <c r="L24" s="192" t="s">
        <v>96</v>
      </c>
      <c r="M24" s="233">
        <f>M8</f>
        <v>95810</v>
      </c>
      <c r="N24" s="157"/>
      <c r="O24" s="157"/>
      <c r="P24" s="157"/>
      <c r="Q24" s="157"/>
      <c r="R24" s="1932" t="s">
        <v>305</v>
      </c>
      <c r="S24" s="1932"/>
      <c r="T24" s="159"/>
      <c r="U24" s="159"/>
      <c r="V24" s="1932" t="s">
        <v>305</v>
      </c>
      <c r="W24" s="1932"/>
      <c r="X24" s="159"/>
      <c r="Y24" s="159"/>
      <c r="Z24" s="1932" t="s">
        <v>305</v>
      </c>
      <c r="AA24" s="1932"/>
      <c r="AB24" s="157"/>
      <c r="AC24" s="189" t="s">
        <v>98</v>
      </c>
      <c r="AD24" s="193">
        <f>+PMT(AD23/12,C13,-C28+C15,+C16)</f>
        <v>396111.39864334342</v>
      </c>
      <c r="AE24" s="181"/>
      <c r="AF24" s="157"/>
      <c r="AG24" s="189" t="s">
        <v>98</v>
      </c>
      <c r="AH24" s="193">
        <f>+PMT(AH23/12,H13,-H28+H15,+H16)</f>
        <v>353712.65769193694</v>
      </c>
      <c r="AI24" s="157"/>
      <c r="AJ24" s="157"/>
      <c r="AK24" s="189" t="s">
        <v>98</v>
      </c>
      <c r="AL24" s="193">
        <f>+PMT(AL23/12,M13,-M28+M15,+M16)</f>
        <v>330061.56074613461</v>
      </c>
      <c r="AM24" s="162"/>
      <c r="AN24" s="189">
        <v>3</v>
      </c>
      <c r="AO24" s="257">
        <v>1.6500000000000001E-2</v>
      </c>
      <c r="AP24" s="157"/>
      <c r="AQ24" s="157"/>
      <c r="AR24" s="157"/>
      <c r="AS24" s="157"/>
      <c r="AT24" s="157"/>
      <c r="AU24" s="157"/>
      <c r="BH24" s="197">
        <v>18</v>
      </c>
      <c r="BI24" s="217">
        <f t="shared" si="0"/>
        <v>396200</v>
      </c>
      <c r="BJ24" s="217">
        <f t="shared" si="1"/>
        <v>346130.01326787804</v>
      </c>
    </row>
    <row r="25" spans="2:62" s="163" customFormat="1" ht="12" customHeight="1">
      <c r="B25" s="192" t="s">
        <v>99</v>
      </c>
      <c r="C25" s="233">
        <f>+IF(D10=TRUE,C10,0)</f>
        <v>0</v>
      </c>
      <c r="D25" s="157"/>
      <c r="E25" s="157"/>
      <c r="F25" s="158"/>
      <c r="G25" s="192" t="s">
        <v>99</v>
      </c>
      <c r="H25" s="233">
        <f>+IF(I10=TRUE,H10,0)</f>
        <v>0</v>
      </c>
      <c r="I25" s="157"/>
      <c r="J25" s="157"/>
      <c r="K25" s="159"/>
      <c r="L25" s="192" t="s">
        <v>99</v>
      </c>
      <c r="M25" s="233">
        <f>+IF(N10=TRUE,M10,0)</f>
        <v>0</v>
      </c>
      <c r="N25" s="157"/>
      <c r="O25" s="157"/>
      <c r="P25" s="157"/>
      <c r="Q25" s="157"/>
      <c r="R25" s="182" t="s">
        <v>306</v>
      </c>
      <c r="S25" s="243" t="str">
        <f>D4</f>
        <v>국산</v>
      </c>
      <c r="T25" s="159"/>
      <c r="U25" s="159"/>
      <c r="V25" s="182" t="s">
        <v>306</v>
      </c>
      <c r="W25" s="243" t="str">
        <f>I4</f>
        <v>국산</v>
      </c>
      <c r="X25" s="159"/>
      <c r="Y25" s="159"/>
      <c r="Z25" s="182" t="s">
        <v>306</v>
      </c>
      <c r="AA25" s="243" t="str">
        <f>N4</f>
        <v>국산</v>
      </c>
      <c r="AB25" s="157"/>
      <c r="AC25" s="224" t="s">
        <v>101</v>
      </c>
      <c r="AD25" s="247">
        <f>+ROUNDUP(AD24,-2)</f>
        <v>396200</v>
      </c>
      <c r="AE25" s="181"/>
      <c r="AF25" s="157"/>
      <c r="AG25" s="224" t="s">
        <v>101</v>
      </c>
      <c r="AH25" s="247">
        <f>+ROUNDUP(AH24,-2)</f>
        <v>353800</v>
      </c>
      <c r="AI25" s="157"/>
      <c r="AJ25" s="157"/>
      <c r="AK25" s="224" t="s">
        <v>101</v>
      </c>
      <c r="AL25" s="247">
        <f>+ROUNDUP(AL24,-2)</f>
        <v>330100</v>
      </c>
      <c r="AM25" s="162"/>
      <c r="AN25" s="189">
        <v>4</v>
      </c>
      <c r="AO25" s="262">
        <v>0</v>
      </c>
      <c r="AP25" s="157"/>
      <c r="AQ25" s="157"/>
      <c r="AR25" s="157"/>
      <c r="AS25" s="157"/>
      <c r="AT25" s="157"/>
      <c r="AU25" s="157"/>
      <c r="BH25" s="197">
        <v>19</v>
      </c>
      <c r="BI25" s="217">
        <f t="shared" si="0"/>
        <v>396200</v>
      </c>
      <c r="BJ25" s="217">
        <f t="shared" si="1"/>
        <v>343541.7511032435</v>
      </c>
    </row>
    <row r="26" spans="2:62" s="163" customFormat="1" ht="12" customHeight="1">
      <c r="B26" s="192" t="s">
        <v>56</v>
      </c>
      <c r="C26" s="233">
        <f>+IF(D11=TRUE,C11,0)</f>
        <v>0</v>
      </c>
      <c r="D26" s="157"/>
      <c r="E26" s="157"/>
      <c r="F26" s="158"/>
      <c r="G26" s="192" t="s">
        <v>56</v>
      </c>
      <c r="H26" s="233">
        <f>+IF(I11=TRUE,H11,0)</f>
        <v>0</v>
      </c>
      <c r="I26" s="157"/>
      <c r="J26" s="157"/>
      <c r="K26" s="159"/>
      <c r="L26" s="192" t="s">
        <v>56</v>
      </c>
      <c r="M26" s="233">
        <f>+IF(N11=TRUE,M11,0)</f>
        <v>0</v>
      </c>
      <c r="N26" s="263"/>
      <c r="O26" s="263"/>
      <c r="P26" s="157"/>
      <c r="Q26" s="157"/>
      <c r="R26" s="194" t="s">
        <v>307</v>
      </c>
      <c r="S26" s="233" t="s">
        <v>491</v>
      </c>
      <c r="T26" s="159"/>
      <c r="U26" s="159"/>
      <c r="V26" s="194" t="s">
        <v>307</v>
      </c>
      <c r="W26" s="233" t="s">
        <v>491</v>
      </c>
      <c r="X26" s="159"/>
      <c r="Y26" s="159"/>
      <c r="Z26" s="194" t="s">
        <v>307</v>
      </c>
      <c r="AA26" s="233" t="s">
        <v>492</v>
      </c>
      <c r="AB26" s="157"/>
      <c r="AC26" s="264"/>
      <c r="AD26" s="161"/>
      <c r="AE26" s="162"/>
      <c r="AF26" s="157"/>
      <c r="AG26" s="264"/>
      <c r="AH26" s="161"/>
      <c r="AI26" s="157"/>
      <c r="AJ26" s="157"/>
      <c r="AK26" s="264"/>
      <c r="AL26" s="161"/>
      <c r="AM26" s="162"/>
      <c r="AN26" s="189">
        <v>5</v>
      </c>
      <c r="AO26" s="257">
        <v>1E-3</v>
      </c>
      <c r="AP26" s="157"/>
      <c r="AQ26" s="157"/>
      <c r="AR26" s="157"/>
      <c r="AS26" s="157"/>
      <c r="AT26" s="157"/>
      <c r="AU26" s="157"/>
      <c r="BH26" s="197">
        <v>20</v>
      </c>
      <c r="BI26" s="217">
        <f t="shared" si="0"/>
        <v>396200</v>
      </c>
      <c r="BJ26" s="217">
        <f t="shared" si="1"/>
        <v>340972.84322970227</v>
      </c>
    </row>
    <row r="27" spans="2:62" s="163" customFormat="1" ht="12" customHeight="1">
      <c r="B27" s="192" t="s">
        <v>61</v>
      </c>
      <c r="C27" s="233">
        <f>+IF(D12=TRUE,C12,0)</f>
        <v>0</v>
      </c>
      <c r="D27" s="157"/>
      <c r="E27" s="157"/>
      <c r="F27" s="158"/>
      <c r="G27" s="192" t="s">
        <v>61</v>
      </c>
      <c r="H27" s="233">
        <f>+IF(I12=TRUE,H12,0)</f>
        <v>0</v>
      </c>
      <c r="I27" s="157"/>
      <c r="J27" s="157"/>
      <c r="K27" s="159"/>
      <c r="L27" s="192" t="s">
        <v>61</v>
      </c>
      <c r="M27" s="233">
        <f>+IF(N12=TRUE,M12,0)</f>
        <v>0</v>
      </c>
      <c r="N27" s="157"/>
      <c r="O27" s="157"/>
      <c r="P27" s="157"/>
      <c r="Q27" s="157"/>
      <c r="R27" s="265">
        <v>0.01</v>
      </c>
      <c r="S27" s="1228">
        <f>IF($S$25="수입",VLOOKUP($S$26,제휴조건!$S$5:$AA$6,2,0),IF(IF($R$104="Y",IFERROR(VLOOKUP($S$65,프로모션잔가시트!$I$5:$J$100,2,0),1.21),$N$106)=0.66%,M102,N102))</f>
        <v>1.1000000000000001E-3</v>
      </c>
      <c r="T27" s="159"/>
      <c r="U27" s="159"/>
      <c r="V27" s="265">
        <v>0.01</v>
      </c>
      <c r="W27" s="267">
        <f>IF($W$25="수입",VLOOKUP($W$26,제휴조건!$S$5:$AA$6,2,0),IF(IF($V$104="Y",IFERROR(VLOOKUP($W$65,프로모션잔가시트!$I$5:$J$100,2,0),1.21),$N$106)=0.66%,M102,N102))</f>
        <v>1.1000000000000001E-3</v>
      </c>
      <c r="X27" s="159"/>
      <c r="Y27" s="159"/>
      <c r="Z27" s="265">
        <v>0.01</v>
      </c>
      <c r="AA27" s="1083">
        <f>IF($AA$25="수입",VLOOKUP($AA$26,제휴조건!$S$5:$AA$6,2,0),IF(IF($Z$104="Y",IFERROR(VLOOKUP($AA$65,프로모션잔가시트!$I$5:$J$100,2,0),1.21),$N$106)=0.66%,M102,N102))</f>
        <v>1.1000000000000001E-3</v>
      </c>
      <c r="AB27" s="157"/>
      <c r="AC27" s="268" t="s">
        <v>104</v>
      </c>
      <c r="AD27" s="269">
        <f>+RATE(C13,AD17,-C28,C16)*12</f>
        <v>8.5385421070661466E-2</v>
      </c>
      <c r="AE27" s="259"/>
      <c r="AF27" s="157"/>
      <c r="AG27" s="268" t="s">
        <v>104</v>
      </c>
      <c r="AH27" s="269">
        <f>+RATE(H13,AH17,-H28,H16)*12</f>
        <v>8.15365011568078E-2</v>
      </c>
      <c r="AI27" s="157"/>
      <c r="AJ27" s="157"/>
      <c r="AK27" s="268" t="s">
        <v>104</v>
      </c>
      <c r="AL27" s="269">
        <f>+RATE(M13,AL17,-M28,M16)*12</f>
        <v>7.9315824499421317E-2</v>
      </c>
      <c r="AM27" s="259"/>
      <c r="AN27" s="189">
        <v>6</v>
      </c>
      <c r="AO27" s="257">
        <v>2E-3</v>
      </c>
      <c r="AP27" s="157"/>
      <c r="AQ27" s="157"/>
      <c r="AR27" s="157"/>
      <c r="AS27" s="157"/>
      <c r="AT27" s="157"/>
      <c r="AU27" s="157"/>
      <c r="BH27" s="197">
        <v>21</v>
      </c>
      <c r="BI27" s="217">
        <f t="shared" si="0"/>
        <v>396200</v>
      </c>
      <c r="BJ27" s="217">
        <f t="shared" si="1"/>
        <v>338423.14492134936</v>
      </c>
    </row>
    <row r="28" spans="2:62" s="163" customFormat="1" ht="12" customHeight="1">
      <c r="B28" s="201" t="s">
        <v>105</v>
      </c>
      <c r="C28" s="270">
        <f>SUM(C23:C27)</f>
        <v>23355810</v>
      </c>
      <c r="D28" s="157"/>
      <c r="E28" s="157"/>
      <c r="F28" s="158"/>
      <c r="G28" s="201" t="s">
        <v>105</v>
      </c>
      <c r="H28" s="270">
        <f>SUM(H23:H27)</f>
        <v>23355810</v>
      </c>
      <c r="I28" s="157"/>
      <c r="J28" s="157"/>
      <c r="K28" s="159"/>
      <c r="L28" s="201" t="s">
        <v>105</v>
      </c>
      <c r="M28" s="270">
        <f>SUM(M23:M27)</f>
        <v>23355810</v>
      </c>
      <c r="N28" s="271"/>
      <c r="O28" s="271"/>
      <c r="P28" s="157"/>
      <c r="Q28" s="157"/>
      <c r="R28" s="265">
        <v>0.02</v>
      </c>
      <c r="S28" s="1228">
        <f>IF($S$25="수입",VLOOKUP($S$26,제휴조건!$S$5:$AA$6,3,0),IF(IF($R$104="Y",IFERROR(VLOOKUP($S$65,프로모션잔가시트!$I$5:$J$100,2,0),1.21),$N$106)=0.66%,M103,N103))</f>
        <v>2.2000000000000001E-3</v>
      </c>
      <c r="T28" s="159"/>
      <c r="U28" s="159"/>
      <c r="V28" s="265">
        <v>0.02</v>
      </c>
      <c r="W28" s="267">
        <f>IF($W$25="수입",VLOOKUP($W$26,제휴조건!$S$5:$AA$6,3,0),IF(IF($V$104="Y",IFERROR(VLOOKUP($W$65,프로모션잔가시트!$I$5:$J$100,2,0),1.21),$N$106)=0.66%,M103,N103))</f>
        <v>2.2000000000000001E-3</v>
      </c>
      <c r="X28" s="159"/>
      <c r="Y28" s="159"/>
      <c r="Z28" s="265">
        <v>0.02</v>
      </c>
      <c r="AA28" s="1083">
        <f>IF($AA$25="수입",VLOOKUP($AA$26,제휴조건!$S$5:$AA$6,3,0),IF(IF($Z$104="Y",IFERROR(VLOOKUP($AA$65,프로모션잔가시트!$I$5:$J$100,2,0),1.21),$N$106)=0.66%,M103,N103))</f>
        <v>2.2000000000000001E-3</v>
      </c>
      <c r="AB28" s="157"/>
      <c r="AC28" s="272" t="s">
        <v>107</v>
      </c>
      <c r="AD28" s="273">
        <f>+ROUND(AD27,5)</f>
        <v>8.5389999999999994E-2</v>
      </c>
      <c r="AE28" s="274"/>
      <c r="AF28" s="157"/>
      <c r="AG28" s="272" t="s">
        <v>107</v>
      </c>
      <c r="AH28" s="273">
        <f>+ROUND(AH27,5)</f>
        <v>8.1540000000000001E-2</v>
      </c>
      <c r="AI28" s="157"/>
      <c r="AJ28" s="157"/>
      <c r="AK28" s="272" t="s">
        <v>107</v>
      </c>
      <c r="AL28" s="273">
        <f>+ROUND(AL27,5)</f>
        <v>7.9320000000000002E-2</v>
      </c>
      <c r="AM28" s="274"/>
      <c r="AN28" s="189">
        <v>7</v>
      </c>
      <c r="AO28" s="257">
        <v>3.0000000000000001E-3</v>
      </c>
      <c r="AP28" s="157"/>
      <c r="AQ28" s="157"/>
      <c r="AR28" s="157"/>
      <c r="AS28" s="157"/>
      <c r="AT28" s="157"/>
      <c r="AU28" s="157"/>
      <c r="BH28" s="197">
        <v>22</v>
      </c>
      <c r="BI28" s="217">
        <f t="shared" si="0"/>
        <v>396200</v>
      </c>
      <c r="BJ28" s="217">
        <f t="shared" si="1"/>
        <v>335892.51253449923</v>
      </c>
    </row>
    <row r="29" spans="2:62" s="163" customFormat="1" ht="12" customHeight="1">
      <c r="B29" s="157"/>
      <c r="C29" s="157"/>
      <c r="D29" s="157"/>
      <c r="E29" s="157"/>
      <c r="F29" s="158"/>
      <c r="G29" s="157"/>
      <c r="H29" s="157"/>
      <c r="I29" s="157"/>
      <c r="J29" s="157"/>
      <c r="K29" s="159"/>
      <c r="L29" s="157"/>
      <c r="M29" s="157"/>
      <c r="N29" s="157"/>
      <c r="O29" s="157"/>
      <c r="P29" s="157"/>
      <c r="Q29" s="157"/>
      <c r="R29" s="265">
        <v>0.03</v>
      </c>
      <c r="S29" s="1228">
        <f>IF($S$25="수입",VLOOKUP($S$26,제휴조건!$S$5:$AA$6,4,0),IF(IF($R$104="Y",IFERROR(VLOOKUP($S$65,프로모션잔가시트!$I$5:$J$100,2,0),1.21),$N$106)=0.66%,M104,N104))</f>
        <v>3.3E-3</v>
      </c>
      <c r="T29" s="159"/>
      <c r="U29" s="159"/>
      <c r="V29" s="265">
        <v>0.03</v>
      </c>
      <c r="W29" s="267">
        <f>IF($W$25="수입",VLOOKUP($W$26,제휴조건!$S$5:$AA$6,4,0),IF(IF($V$104="Y",IFERROR(VLOOKUP($W$65,프로모션잔가시트!$I$5:$J$100,2,0),1.21),$N$106)=0.66%,M104,N104))</f>
        <v>3.3E-3</v>
      </c>
      <c r="X29" s="159"/>
      <c r="Y29" s="159"/>
      <c r="Z29" s="265">
        <v>0.03</v>
      </c>
      <c r="AA29" s="1083">
        <f>IF($AA$25="수입",VLOOKUP($AA$26,제휴조건!$S$5:$AA$6,4,0),IF(IF($Z$104="Y",IFERROR(VLOOKUP($AA$65,프로모션잔가시트!$I$5:$J$100,2,0),1.21),$N$106)=0.66%,M104,N104))</f>
        <v>3.3E-3</v>
      </c>
      <c r="AB29" s="275">
        <f>AD29/(ROUNDUP(PMT(ROUND(RATE(C13,PMT(AD20/12,C13,-C28+C14-E40-E41-E42-C51-S42-E39-E43-E44-E45-E46,+C16-C14,0),-C28,C16)*12,5)/12,C13,-C28,+C16),-2)+운용리스_비교!K29)</f>
        <v>0</v>
      </c>
      <c r="AC29" s="186" t="s">
        <v>468</v>
      </c>
      <c r="AD29" s="678">
        <f>+(ROUNDUP(PMT(ROUND(RATE(C13,PMT(AD20/12,C13,-C28+C14-E40-E41-E42-C51-S42-E39-E43-E44-E45-E46,+C16-C14,0),-C28,C16)*12,5)/12,C13,-C28,+C16),-2)+운용리스_비교!K29)-(AD25++운용리스_비교!K29)</f>
        <v>0</v>
      </c>
      <c r="AE29" s="162"/>
      <c r="AF29" s="275">
        <f>AH29/(ROUND(PMT(ROUND(RATE(H13,PMT(AH20/12,H13,-H28+H14-J40-J41-J42-H51-W42-J39-J43-J44-J45-J46,+H16-H14,0),-H28,H16)*12,5)/12,H13,-H28,+H16),-2)+운용리스_비교!S29)</f>
        <v>0</v>
      </c>
      <c r="AG29" s="186" t="s">
        <v>468</v>
      </c>
      <c r="AH29" s="277">
        <f>+(ROUNDUP(PMT(ROUND(RATE(H13,PMT(AH20/12,H13,-H28+H14-J40-J41-J42-H51-W42-J39-J43-J44-J45-J46,+H16-H14,0),-H28,H16)*12,5)/12,H13,-H28,+H16),-2)+운용리스_비교!S29)-(AH25+운용리스_비교!S29)</f>
        <v>0</v>
      </c>
      <c r="AI29" s="157"/>
      <c r="AJ29" s="275">
        <f>AL29/(ROUNDUP(PMT(ROUND(RATE(M13,PMT(AL20/12,M13,-M28+M14-O40-O41-O42-M51-AA42-O39-O43-O44-O45-O46,+M16-M14,0),-M28,M16)*12,5)/12,M13,-M28,+M16),-2)+운용리스_비교!S29)</f>
        <v>0</v>
      </c>
      <c r="AK29" s="186" t="s">
        <v>468</v>
      </c>
      <c r="AL29" s="277">
        <f>+(ROUNDUP(PMT(ROUND(RATE(M13,PMT(AL20/12,M13,-M28+M14-O40-O41-O42-M51-AA42-O39-O43-O44-O45-O46,+M16-M14,0),-M28,M16)*12,5)/12,M13,-M28,+M16),-2)+운용리스_비교!S29)-(AL25+운용리스_비교!S29)</f>
        <v>0</v>
      </c>
      <c r="AM29" s="162"/>
      <c r="AN29" s="189">
        <v>8</v>
      </c>
      <c r="AO29" s="257">
        <v>3.0000000000000001E-3</v>
      </c>
      <c r="AP29" s="157"/>
      <c r="AQ29" s="157"/>
      <c r="AR29" s="157"/>
      <c r="AS29" s="157"/>
      <c r="AT29" s="157"/>
      <c r="AU29" s="157"/>
      <c r="BH29" s="197">
        <v>23</v>
      </c>
      <c r="BI29" s="217">
        <f t="shared" si="0"/>
        <v>396200</v>
      </c>
      <c r="BJ29" s="217">
        <f t="shared" si="1"/>
        <v>333380.80349959317</v>
      </c>
    </row>
    <row r="30" spans="2:62" s="163" customFormat="1" ht="12" customHeight="1">
      <c r="B30" s="1932" t="s">
        <v>108</v>
      </c>
      <c r="C30" s="1932"/>
      <c r="D30" s="157"/>
      <c r="E30" s="157"/>
      <c r="F30" s="158"/>
      <c r="G30" s="1932" t="s">
        <v>108</v>
      </c>
      <c r="H30" s="1932"/>
      <c r="I30" s="157"/>
      <c r="J30" s="157"/>
      <c r="K30" s="159"/>
      <c r="L30" s="1932" t="s">
        <v>108</v>
      </c>
      <c r="M30" s="1932"/>
      <c r="N30" s="157"/>
      <c r="O30" s="157"/>
      <c r="P30" s="157"/>
      <c r="Q30" s="157"/>
      <c r="R30" s="265">
        <v>0.04</v>
      </c>
      <c r="S30" s="1228">
        <f>IF($S$25="수입",VLOOKUP($S$26,제휴조건!$S$5:$AA$6,5,0),IF(IF($R$104="Y",IFERROR(VLOOKUP($S$65,프로모션잔가시트!$I$5:$J$100,2,0),1.21),$N$106)=0.66%,M105,N105))</f>
        <v>4.4000000000000003E-3</v>
      </c>
      <c r="T30" s="242"/>
      <c r="U30" s="159"/>
      <c r="V30" s="265">
        <v>0.04</v>
      </c>
      <c r="W30" s="267">
        <f>IF($W$25="수입",VLOOKUP($W$26,제휴조건!$S$5:$AA$6,5,0),IF(IF($V$104="Y",IFERROR(VLOOKUP($W$65,프로모션잔가시트!$I$5:$J$100,2,0),1.21),$N$106)=0.66%,M105,N105))</f>
        <v>4.4000000000000003E-3</v>
      </c>
      <c r="X30" s="159"/>
      <c r="Y30" s="159"/>
      <c r="Z30" s="265">
        <v>0.04</v>
      </c>
      <c r="AA30" s="1083">
        <f>IF($AA$25="수입",VLOOKUP($AA$26,제휴조건!$S$5:$AA$6,5,0),IF(IF($Z$104="Y",IFERROR(VLOOKUP($AA$65,프로모션잔가시트!$I$5:$J$100,2,0),1.21),$N$106)=0.66%,M105,N105))</f>
        <v>4.4000000000000003E-3</v>
      </c>
      <c r="AB30" s="278">
        <f>AD30/(ROUNDUP(PMT(ROUND(RATE(C13,PMT(AD20/12,C13,-C28+C15-E40-E41-E42-C51-S42-E39-E43-E44-E45-E46,+C16,0),-C28+C15,C16)*12,5)/12,C13,-C28+C15,+C16),-2)+운용리스_비교!K29)</f>
        <v>0</v>
      </c>
      <c r="AC30" s="186" t="s">
        <v>470</v>
      </c>
      <c r="AD30" s="277">
        <f>+(ROUNDUP(PMT(ROUND(RATE(C13,PMT(AD20/12,C13,-C28+C15-E40-E41-E42-C51-S42-E39-E43-E44-E45-E46,+C16,0),-C28+C15,C16)*12,5)/12,C13,-C28+C15,+C16),-2)+운용리스_비교!K29)-(AD25+운용리스_비교!K29)</f>
        <v>0</v>
      </c>
      <c r="AE30" s="162"/>
      <c r="AF30" s="275">
        <f>AH30/(ROUND(PMT(ROUND(RATE(H13,PMT(AH20/12,H13,-H28+H15-J40-J41-J42-H51-W42-J39-J43-J44-J45-J46,+H16,0),-H28+H15,H16)*12,5)/12,H13,-H28+H15,+H16),-2)+운용리스_비교!S29)</f>
        <v>0</v>
      </c>
      <c r="AG30" s="186" t="s">
        <v>470</v>
      </c>
      <c r="AH30" s="277">
        <f>+(ROUNDUP(PMT(ROUND(RATE(H13,PMT(AH20/12,H13,-H28+H15-J40-J41-J42-H51-W42-J39-J43-J44-J45-J46,+H16,0),-H28+H15,H16)*12,5)/12,H13,-H28+H15,+H16),-2)+운용리스_비교!S29)-(AH25+운용리스_비교!S29)</f>
        <v>0</v>
      </c>
      <c r="AI30" s="157"/>
      <c r="AJ30" s="275">
        <f>AL30/(ROUNDUP(PMT(ROUND(RATE(M13,PMT(AL20/12,M13,-M28+M15-O40-O41-O42-M51-AA42-O39-O43-O44-O45-O46,+M16,0),-M28+M15,M16)*12,5)/12,M13,-M28+M15,+M16),-2)+운용리스_비교!S29)</f>
        <v>0</v>
      </c>
      <c r="AK30" s="186" t="s">
        <v>467</v>
      </c>
      <c r="AL30" s="277">
        <f>+(ROUNDUP(PMT(ROUND(RATE(M13,PMT(AL20/12,M13,-M28+M15-O40-O41-O42-M51-AA42-O39-O43-O44-O45-O46,+M16,0),-M28+M15,M16)*12,5)/12,M13,-M28+M15,+M16),-2)+운용리스_비교!S29)-(AL25+운용리스_비교!S29)</f>
        <v>0</v>
      </c>
      <c r="AM30" s="162"/>
      <c r="AN30" s="189">
        <v>9</v>
      </c>
      <c r="AO30" s="257">
        <v>3.0000000000000001E-3</v>
      </c>
      <c r="AP30" s="157"/>
      <c r="AQ30" s="157"/>
      <c r="AR30" s="157"/>
      <c r="AS30" s="157"/>
      <c r="AT30" s="157"/>
      <c r="AU30" s="157"/>
      <c r="AW30" s="279"/>
      <c r="BH30" s="197">
        <v>24</v>
      </c>
      <c r="BI30" s="217">
        <f t="shared" si="0"/>
        <v>396200</v>
      </c>
      <c r="BJ30" s="217">
        <f t="shared" si="1"/>
        <v>330887.87631316733</v>
      </c>
    </row>
    <row r="31" spans="2:62" s="163" customFormat="1" ht="12" customHeight="1">
      <c r="B31" s="177" t="s">
        <v>99</v>
      </c>
      <c r="C31" s="232">
        <f>+IF(D10=FALSE,C10,0)</f>
        <v>0</v>
      </c>
      <c r="D31" s="157"/>
      <c r="E31" s="157"/>
      <c r="F31" s="158"/>
      <c r="G31" s="177" t="s">
        <v>99</v>
      </c>
      <c r="H31" s="232">
        <f>+IF(I10=FALSE,H10,0)</f>
        <v>0</v>
      </c>
      <c r="I31" s="157"/>
      <c r="J31" s="157"/>
      <c r="K31" s="159"/>
      <c r="L31" s="177" t="s">
        <v>99</v>
      </c>
      <c r="M31" s="232">
        <f>+IF(N10=FALSE,M10,0)</f>
        <v>0</v>
      </c>
      <c r="N31" s="280"/>
      <c r="O31" s="281"/>
      <c r="P31" s="157"/>
      <c r="Q31" s="157"/>
      <c r="R31" s="265">
        <v>0.05</v>
      </c>
      <c r="S31" s="1228">
        <f>IF($S$25="수입",VLOOKUP($S$26,제휴조건!$S$5:$AA$6,6,0),IF(IF($R$104="Y",IFERROR(VLOOKUP($S$65,프로모션잔가시트!$I$5:$J$100,2,0),1.21),$N$106)=0.66%,M106,N106))</f>
        <v>6.6E-3</v>
      </c>
      <c r="T31" s="159"/>
      <c r="U31" s="159"/>
      <c r="V31" s="265">
        <v>0.05</v>
      </c>
      <c r="W31" s="267">
        <f>IF($W$25="수입",VLOOKUP($W$26,제휴조건!$S$5:$AA$6,6,0),IF(IF($V$104="Y",IFERROR(VLOOKUP($W$65,프로모션잔가시트!$I$5:$J$100,2,0),1.21),$N$106)=0.66%,M106,N106))</f>
        <v>6.6E-3</v>
      </c>
      <c r="X31" s="159"/>
      <c r="Y31" s="159"/>
      <c r="Z31" s="265">
        <v>0.05</v>
      </c>
      <c r="AA31" s="1083">
        <f>IF($AA$25="수입",VLOOKUP($AA$26,제휴조건!$S$5:$AA$6,6,0),IF(IF($Z$104="Y",IFERROR(VLOOKUP($AA$65,프로모션잔가시트!$I$5:$J$100,2,0),1.21),$N$106)=0.66%,M106,N106))</f>
        <v>6.6E-3</v>
      </c>
      <c r="AB31" s="278">
        <f>AD31/(ROUNDUP(PMT(ROUND(RATE(C13,PMT(AD20/12,C13,-C28-E40-E41-E42-C51-S42-E39-E43-E44-E45-E46,+C16,0),-C28,C16)*12,5)/12,C13,-C28,+C16),-2)+운용리스_비교!K29)</f>
        <v>0</v>
      </c>
      <c r="AC31" s="186" t="s">
        <v>469</v>
      </c>
      <c r="AD31" s="282">
        <f>+(ROUNDUP(PMT(ROUND(RATE(C13,PMT(AD20/12,C13,-C28-E40-E41-E42-C51-S42-E39-E43-E44-E45-E46,+C16,0),-C28,C16)*12,5)/12,C13,-C28,+C16),-2)+운용리스_비교!K29)-(AD25+운용리스_비교!K29)</f>
        <v>0</v>
      </c>
      <c r="AE31" s="169"/>
      <c r="AF31" s="275">
        <f>AH31/(ROUNDUP(PMT(ROUND(RATE(H13,PMT(AH20/12,H13,-H28-J40-J41-J42-H51-W42-J39-J43-J44-J45-46,+H16,0),-H28,H16)*12,5)/12,H13,-H28,+H16),-2)+운용리스_비교!K29)</f>
        <v>0</v>
      </c>
      <c r="AG31" s="186" t="s">
        <v>469</v>
      </c>
      <c r="AH31" s="282">
        <f>+(ROUNDUP(PMT(ROUND(RATE(H13,PMT(AH20/12,H13,-H28-J40-J41-J42-H51-W42-J39-J43-J44-J45-J46,+H16,0),-H28,H16)*12,5)/12,H13,-H28,+H16),-2)+운용리스_비교!K29)-(AH25+운용리스_비교!S29)</f>
        <v>0</v>
      </c>
      <c r="AI31" s="157"/>
      <c r="AJ31" s="275">
        <f>AL31/(ROUNDUP(PMT(ROUND(RATE(M13,PMT(AL20/12,M13,-M28-O40-O41-O42-M51-AA42-O39-O43-O44-O45-O46,+M16,0),-M28+M15,M16)*12,5)/12,M13,-M28,+M16),-2)+운용리스_비교!K29)</f>
        <v>0</v>
      </c>
      <c r="AK31" s="186" t="s">
        <v>469</v>
      </c>
      <c r="AL31" s="282">
        <f>+(ROUNDUP(PMT(ROUND(RATE(M13,PMT(AL20/12,M13,-M28-O40-O41-O42-M51-AA42-O39-O43-O44-O45-O46,+M16,0),-M28,M16)*12,5)/12,M13,-M28,+M16),-2)+운용리스_비교!K29)-(AL25+운용리스_비교!S29)</f>
        <v>0</v>
      </c>
      <c r="AM31" s="169"/>
      <c r="AN31" s="224">
        <v>10</v>
      </c>
      <c r="AO31" s="283">
        <v>3.0000000000000001E-3</v>
      </c>
      <c r="AP31" s="157"/>
      <c r="AQ31" s="157"/>
      <c r="AR31" s="157"/>
      <c r="AS31" s="157"/>
      <c r="AT31" s="157"/>
      <c r="AU31" s="157"/>
      <c r="BH31" s="197">
        <v>25</v>
      </c>
      <c r="BI31" s="217">
        <f t="shared" si="0"/>
        <v>396200</v>
      </c>
      <c r="BJ31" s="217">
        <f t="shared" si="1"/>
        <v>328413.59052988037</v>
      </c>
    </row>
    <row r="32" spans="2:62" s="163" customFormat="1" ht="12" customHeight="1">
      <c r="B32" s="192" t="s">
        <v>56</v>
      </c>
      <c r="C32" s="233">
        <f>+IF(D11=FALSE,C11,0)</f>
        <v>0</v>
      </c>
      <c r="D32" s="157"/>
      <c r="E32" s="157"/>
      <c r="F32" s="158"/>
      <c r="G32" s="192" t="s">
        <v>56</v>
      </c>
      <c r="H32" s="233">
        <f>+IF(I11=FALSE,H11,0)</f>
        <v>0</v>
      </c>
      <c r="I32" s="157"/>
      <c r="J32" s="157"/>
      <c r="K32" s="159"/>
      <c r="L32" s="192" t="s">
        <v>56</v>
      </c>
      <c r="M32" s="233">
        <f>+IF(N11=FALSE,M11,0)</f>
        <v>0</v>
      </c>
      <c r="N32" s="157"/>
      <c r="O32" s="281"/>
      <c r="P32" s="157"/>
      <c r="Q32" s="157"/>
      <c r="R32" s="265">
        <v>0.06</v>
      </c>
      <c r="S32" s="267">
        <f>VLOOKUP(S$26,제휴조건!$S$4:$AA$6,7,0)</f>
        <v>1.397E-2</v>
      </c>
      <c r="T32" s="159"/>
      <c r="U32" s="159"/>
      <c r="V32" s="265">
        <v>0.06</v>
      </c>
      <c r="W32" s="267">
        <f>VLOOKUP(W$26,제휴조건!$S$4:$AA$6,7,0)</f>
        <v>1.397E-2</v>
      </c>
      <c r="X32" s="159"/>
      <c r="Y32" s="159"/>
      <c r="Z32" s="265">
        <v>0.06</v>
      </c>
      <c r="AA32" s="1083">
        <f>VLOOKUP(AA$26,제휴조건!$S$4:$AA$6,7,0)</f>
        <v>1.397E-2</v>
      </c>
      <c r="AB32" s="157"/>
      <c r="AC32" s="157"/>
      <c r="AD32" s="284"/>
      <c r="AE32" s="285"/>
      <c r="AF32" s="157"/>
      <c r="AG32" s="157"/>
      <c r="AH32" s="286">
        <f>+(ROUNDUP(PMT(ROUND(RATE(H13,PMT(AH20/12,H13,-H28+H15-J40-J41-J42-H51-W42-J39-J43-J44-J45,+H16,0),-H28+H15,H16)*12,5)/12,H13,-H28+H15,+H16),-2)+운용리스_비교!S29)</f>
        <v>350400</v>
      </c>
      <c r="AI32" s="157"/>
      <c r="AJ32" s="157"/>
      <c r="AK32" s="157"/>
      <c r="AL32" s="284"/>
      <c r="AM32" s="285"/>
      <c r="AN32" s="157"/>
      <c r="AO32" s="157"/>
      <c r="AP32" s="157"/>
      <c r="AQ32" s="157"/>
      <c r="AR32" s="157"/>
      <c r="AS32" s="157"/>
      <c r="AT32" s="157"/>
      <c r="AU32" s="157"/>
      <c r="BH32" s="197">
        <v>26</v>
      </c>
      <c r="BI32" s="217">
        <f t="shared" si="0"/>
        <v>396200</v>
      </c>
      <c r="BJ32" s="217">
        <f t="shared" si="1"/>
        <v>325957.80675460165</v>
      </c>
    </row>
    <row r="33" spans="2:87" s="163" customFormat="1" ht="12" customHeight="1">
      <c r="B33" s="192" t="s">
        <v>61</v>
      </c>
      <c r="C33" s="233">
        <f>+IF(D12=FALSE,C12,0)</f>
        <v>0</v>
      </c>
      <c r="D33" s="157"/>
      <c r="E33" s="157"/>
      <c r="F33" s="158"/>
      <c r="G33" s="192" t="s">
        <v>61</v>
      </c>
      <c r="H33" s="233">
        <f>+IF(I12=FALSE,H12,0)</f>
        <v>0</v>
      </c>
      <c r="I33" s="157"/>
      <c r="J33" s="157"/>
      <c r="K33" s="159"/>
      <c r="L33" s="192" t="s">
        <v>61</v>
      </c>
      <c r="M33" s="233">
        <f>+IF(N12=FALSE,M12,0)</f>
        <v>0</v>
      </c>
      <c r="N33" s="157"/>
      <c r="O33" s="176"/>
      <c r="P33" s="157"/>
      <c r="Q33" s="157"/>
      <c r="R33" s="265">
        <v>7.0000000000000007E-2</v>
      </c>
      <c r="S33" s="267">
        <f>VLOOKUP(S$26,제휴조건!$S$4:$AA$6,8,0)</f>
        <v>1.584E-2</v>
      </c>
      <c r="T33" s="159"/>
      <c r="U33" s="159"/>
      <c r="V33" s="265">
        <v>7.0000000000000007E-2</v>
      </c>
      <c r="W33" s="267">
        <f>VLOOKUP(W$26,제휴조건!$S$4:$AA$6,8,0)</f>
        <v>1.584E-2</v>
      </c>
      <c r="X33" s="159"/>
      <c r="Y33" s="159"/>
      <c r="Z33" s="265">
        <v>7.0000000000000007E-2</v>
      </c>
      <c r="AA33" s="1083">
        <f>VLOOKUP(AA$26,제휴조건!$S$4:$AA$6,8,0)</f>
        <v>1.584E-2</v>
      </c>
      <c r="AB33" s="157"/>
      <c r="AC33" s="157"/>
      <c r="AD33" s="161"/>
      <c r="AE33" s="162"/>
      <c r="AF33" s="157"/>
      <c r="AG33" s="157"/>
      <c r="AH33" s="286">
        <f>AH32-AH25</f>
        <v>-3400</v>
      </c>
      <c r="AI33" s="157"/>
      <c r="AJ33" s="157"/>
      <c r="AK33" s="157"/>
      <c r="AL33" s="161"/>
      <c r="AM33" s="162"/>
      <c r="AN33" s="157"/>
      <c r="AO33" s="157"/>
      <c r="AP33" s="157"/>
      <c r="AQ33" s="157"/>
      <c r="AR33" s="157"/>
      <c r="AS33" s="157"/>
      <c r="AT33" s="157"/>
      <c r="AU33" s="157"/>
      <c r="BH33" s="197">
        <v>27</v>
      </c>
      <c r="BI33" s="217">
        <f t="shared" si="0"/>
        <v>396200</v>
      </c>
      <c r="BJ33" s="217">
        <f t="shared" si="1"/>
        <v>323520.3866345578</v>
      </c>
    </row>
    <row r="34" spans="2:87" s="163" customFormat="1" ht="12" customHeight="1">
      <c r="B34" s="192" t="s">
        <v>7</v>
      </c>
      <c r="C34" s="233">
        <f>+C14</f>
        <v>0</v>
      </c>
      <c r="D34" s="157"/>
      <c r="E34" s="157"/>
      <c r="F34" s="158"/>
      <c r="G34" s="192" t="s">
        <v>7</v>
      </c>
      <c r="H34" s="233">
        <f>+H14</f>
        <v>0</v>
      </c>
      <c r="I34" s="157"/>
      <c r="J34" s="157"/>
      <c r="K34" s="159"/>
      <c r="L34" s="192" t="s">
        <v>7</v>
      </c>
      <c r="M34" s="233">
        <f>+M14</f>
        <v>0</v>
      </c>
      <c r="N34" s="157"/>
      <c r="O34" s="287"/>
      <c r="P34" s="157"/>
      <c r="Q34" s="157"/>
      <c r="R34" s="288">
        <v>0.08</v>
      </c>
      <c r="S34" s="289">
        <f>VLOOKUP(S$26,제휴조건!$S$4:$AA$6,9,0)</f>
        <v>1.7600000000000001E-2</v>
      </c>
      <c r="V34" s="288">
        <v>0.08</v>
      </c>
      <c r="W34" s="289">
        <f>VLOOKUP(W$26,제휴조건!$S$4:$AA$6,9,0)</f>
        <v>1.7600000000000001E-2</v>
      </c>
      <c r="Z34" s="288">
        <v>0.08</v>
      </c>
      <c r="AA34" s="1084">
        <f>VLOOKUP(AA$26,제휴조건!$S$4:$AA$6,9,0)</f>
        <v>1.7600000000000001E-2</v>
      </c>
      <c r="AB34" s="157"/>
      <c r="AC34" s="170" t="s">
        <v>607</v>
      </c>
      <c r="AD34" s="170"/>
      <c r="AE34" s="162"/>
      <c r="AF34" s="157"/>
      <c r="AG34" s="170" t="s">
        <v>2</v>
      </c>
      <c r="AH34" s="170"/>
      <c r="AI34" s="157"/>
      <c r="AJ34" s="157"/>
      <c r="AK34" s="170" t="s">
        <v>2</v>
      </c>
      <c r="AL34" s="170"/>
      <c r="AM34" s="162"/>
      <c r="AN34" s="157"/>
      <c r="AO34" s="157"/>
      <c r="AP34" s="157"/>
      <c r="AQ34" s="157"/>
      <c r="AR34" s="157"/>
      <c r="AS34" s="157"/>
      <c r="AT34" s="157"/>
      <c r="AU34" s="157"/>
      <c r="BH34" s="197">
        <v>28</v>
      </c>
      <c r="BI34" s="217">
        <f t="shared" si="0"/>
        <v>396200</v>
      </c>
      <c r="BJ34" s="217">
        <f t="shared" si="1"/>
        <v>321101.19285153825</v>
      </c>
    </row>
    <row r="35" spans="2:87" s="163" customFormat="1" ht="12" customHeight="1">
      <c r="B35" s="192" t="s">
        <v>30</v>
      </c>
      <c r="C35" s="233">
        <f>+C15</f>
        <v>0</v>
      </c>
      <c r="D35" s="157"/>
      <c r="E35" s="157"/>
      <c r="F35" s="158"/>
      <c r="G35" s="192" t="s">
        <v>30</v>
      </c>
      <c r="H35" s="233">
        <f>+H15</f>
        <v>0</v>
      </c>
      <c r="I35" s="157"/>
      <c r="J35" s="157"/>
      <c r="K35" s="159"/>
      <c r="L35" s="192" t="s">
        <v>30</v>
      </c>
      <c r="M35" s="233">
        <f>+M15</f>
        <v>0</v>
      </c>
      <c r="N35" s="157"/>
      <c r="O35" s="157"/>
      <c r="P35" s="157"/>
      <c r="Q35" s="157"/>
      <c r="AB35" s="157"/>
      <c r="AC35" s="182"/>
      <c r="AD35" s="10" t="s">
        <v>608</v>
      </c>
      <c r="AE35" s="162"/>
      <c r="AF35" s="157"/>
      <c r="AG35" s="182"/>
      <c r="AH35" s="10" t="s">
        <v>608</v>
      </c>
      <c r="AI35" s="157"/>
      <c r="AJ35" s="157"/>
      <c r="AK35" s="182"/>
      <c r="AL35" s="10" t="s">
        <v>608</v>
      </c>
      <c r="AM35" s="162"/>
      <c r="AN35" s="157"/>
      <c r="AO35" s="157"/>
      <c r="AP35" s="157"/>
      <c r="AQ35" s="157"/>
      <c r="AR35" s="157"/>
      <c r="AS35" s="157"/>
      <c r="AT35" s="157"/>
      <c r="AU35" s="157"/>
      <c r="BH35" s="197">
        <v>29</v>
      </c>
      <c r="BI35" s="217">
        <f t="shared" si="0"/>
        <v>396200</v>
      </c>
      <c r="BJ35" s="217">
        <f t="shared" si="1"/>
        <v>318700.089114159</v>
      </c>
    </row>
    <row r="36" spans="2:87" s="163" customFormat="1" ht="12" customHeight="1">
      <c r="B36" s="201" t="s">
        <v>114</v>
      </c>
      <c r="C36" s="270">
        <f>SUM(C31:C35)</f>
        <v>0</v>
      </c>
      <c r="D36" s="281">
        <f>IF(C42="취득원가",C28*D42,0)</f>
        <v>0</v>
      </c>
      <c r="E36" s="290"/>
      <c r="F36" s="158"/>
      <c r="G36" s="201" t="s">
        <v>114</v>
      </c>
      <c r="H36" s="270">
        <f>SUM(H31:H35)</f>
        <v>0</v>
      </c>
      <c r="I36" s="157"/>
      <c r="J36" s="157"/>
      <c r="K36" s="159"/>
      <c r="L36" s="201" t="s">
        <v>114</v>
      </c>
      <c r="M36" s="270">
        <f>SUM(M31:M35)</f>
        <v>0</v>
      </c>
      <c r="N36" s="157"/>
      <c r="O36" s="157"/>
      <c r="P36" s="157"/>
      <c r="Q36" s="157"/>
      <c r="AB36" s="157"/>
      <c r="AC36" s="194"/>
      <c r="AD36" s="30">
        <f>IRR(AD38:AD98,0)*12</f>
        <v>7.3906746419939218E-2</v>
      </c>
      <c r="AE36" s="162"/>
      <c r="AF36" s="157"/>
      <c r="AG36" s="194"/>
      <c r="AH36" s="11">
        <f>IRR(AH38:AH98,0)*12</f>
        <v>6.816260615375036E-2</v>
      </c>
      <c r="AI36" s="157"/>
      <c r="AJ36" s="157"/>
      <c r="AK36" s="194"/>
      <c r="AL36" s="11">
        <f>IRR(AL38:AL98,0)*12</f>
        <v>6.7840029827811676E-2</v>
      </c>
      <c r="AM36" s="162"/>
      <c r="AN36" s="157"/>
      <c r="AO36" s="157"/>
      <c r="AP36" s="157"/>
      <c r="AQ36" s="157"/>
      <c r="AR36" s="157"/>
      <c r="AS36" s="157"/>
      <c r="AT36" s="157"/>
      <c r="AU36" s="157"/>
      <c r="BH36" s="197">
        <v>30</v>
      </c>
      <c r="BI36" s="217">
        <f t="shared" si="0"/>
        <v>396200</v>
      </c>
      <c r="BJ36" s="217">
        <f t="shared" si="1"/>
        <v>316316.9401501845</v>
      </c>
    </row>
    <row r="37" spans="2:87" s="163" customFormat="1" ht="12" customHeight="1">
      <c r="B37" s="157"/>
      <c r="C37" s="157"/>
      <c r="D37" s="157"/>
      <c r="E37" s="157"/>
      <c r="F37" s="158"/>
      <c r="G37" s="157"/>
      <c r="H37" s="157"/>
      <c r="I37" s="157"/>
      <c r="J37" s="157"/>
      <c r="K37" s="159"/>
      <c r="L37" s="157"/>
      <c r="M37" s="157"/>
      <c r="N37" s="157"/>
      <c r="O37" s="157"/>
      <c r="P37" s="157"/>
      <c r="Q37" s="157"/>
      <c r="S37" s="291"/>
      <c r="AB37" s="157"/>
      <c r="AC37" s="194"/>
      <c r="AD37" s="17"/>
      <c r="AE37" s="162"/>
      <c r="AF37" s="157"/>
      <c r="AG37" s="194"/>
      <c r="AH37" s="17"/>
      <c r="AI37" s="157"/>
      <c r="AJ37" s="157"/>
      <c r="AK37" s="194"/>
      <c r="AL37" s="17"/>
      <c r="AM37" s="162"/>
      <c r="AN37" s="157"/>
      <c r="AO37" s="157"/>
      <c r="AP37" s="157"/>
      <c r="AQ37" s="157"/>
      <c r="AR37" s="157"/>
      <c r="AS37" s="157"/>
      <c r="AT37" s="157"/>
      <c r="AU37" s="157"/>
      <c r="BH37" s="197">
        <v>31</v>
      </c>
      <c r="BI37" s="217">
        <f t="shared" si="0"/>
        <v>396200</v>
      </c>
      <c r="BJ37" s="217">
        <f t="shared" si="1"/>
        <v>313951.61169890664</v>
      </c>
    </row>
    <row r="38" spans="2:87" s="163" customFormat="1" ht="12" customHeight="1">
      <c r="B38" s="1933" t="s">
        <v>116</v>
      </c>
      <c r="C38" s="1933"/>
      <c r="D38" s="1933"/>
      <c r="E38" s="292"/>
      <c r="F38" s="293"/>
      <c r="G38" s="1933" t="s">
        <v>116</v>
      </c>
      <c r="H38" s="1933"/>
      <c r="I38" s="1933"/>
      <c r="J38" s="292"/>
      <c r="K38" s="169"/>
      <c r="L38" s="1933" t="s">
        <v>116</v>
      </c>
      <c r="M38" s="1933"/>
      <c r="N38" s="1933"/>
      <c r="O38" s="292"/>
      <c r="P38" s="157"/>
      <c r="Q38" s="157"/>
      <c r="R38" s="1932" t="s">
        <v>97</v>
      </c>
      <c r="S38" s="1932"/>
      <c r="T38" s="169"/>
      <c r="U38" s="159"/>
      <c r="V38" s="1932" t="s">
        <v>97</v>
      </c>
      <c r="W38" s="1932"/>
      <c r="X38" s="169"/>
      <c r="Y38" s="159"/>
      <c r="Z38" s="1932" t="s">
        <v>97</v>
      </c>
      <c r="AA38" s="1932"/>
      <c r="AB38" s="157"/>
      <c r="AC38" s="194">
        <v>0</v>
      </c>
      <c r="AD38" s="17">
        <f>-C28-E40-E41-E42-C51+C14+C15-S42-E43-E44-E39-E45</f>
        <v>-24220000.300000001</v>
      </c>
      <c r="AE38" s="162"/>
      <c r="AF38" s="157"/>
      <c r="AG38" s="194">
        <v>0</v>
      </c>
      <c r="AH38" s="17">
        <f>-H28-J40-J41-J42-H51+H14+H15-W42-J43-J44-J39-J45</f>
        <v>-24220000.300000001</v>
      </c>
      <c r="AI38" s="157"/>
      <c r="AJ38" s="157"/>
      <c r="AK38" s="194">
        <v>0</v>
      </c>
      <c r="AL38" s="17">
        <f>-M28-O40-O41-O42-M51+M14+M15-AA42-O39-O43-O44-O45</f>
        <v>-24220000.300000001</v>
      </c>
      <c r="AM38" s="162"/>
      <c r="AN38" s="157"/>
      <c r="AO38" s="157"/>
      <c r="AP38" s="157"/>
      <c r="AQ38" s="157"/>
      <c r="AR38" s="157"/>
      <c r="AS38" s="157"/>
      <c r="AT38" s="157"/>
      <c r="AU38" s="157"/>
      <c r="BH38" s="197">
        <v>32</v>
      </c>
      <c r="BI38" s="217">
        <f t="shared" si="0"/>
        <v>396200</v>
      </c>
      <c r="BJ38" s="217">
        <f t="shared" si="1"/>
        <v>311603.97050358087</v>
      </c>
    </row>
    <row r="39" spans="2:87" s="163" customFormat="1" ht="12" customHeight="1">
      <c r="B39" s="182" t="s">
        <v>513</v>
      </c>
      <c r="C39" s="182" t="s">
        <v>520</v>
      </c>
      <c r="D39" s="294">
        <f>운용리스_비교!AR44</f>
        <v>0.03</v>
      </c>
      <c r="E39" s="295">
        <f>운용리스_비교!AU44</f>
        <v>700674.29999999993</v>
      </c>
      <c r="F39" s="293"/>
      <c r="G39" s="182" t="s">
        <v>513</v>
      </c>
      <c r="H39" s="182" t="s">
        <v>520</v>
      </c>
      <c r="I39" s="294">
        <f>운용리스_비교!AY44</f>
        <v>0.03</v>
      </c>
      <c r="J39" s="295">
        <f>운용리스_비교!BB44</f>
        <v>700674.29999999993</v>
      </c>
      <c r="K39" s="169"/>
      <c r="L39" s="182" t="s">
        <v>513</v>
      </c>
      <c r="M39" s="182" t="s">
        <v>520</v>
      </c>
      <c r="N39" s="294">
        <f>운용리스_비교!BF44</f>
        <v>0.03</v>
      </c>
      <c r="O39" s="295">
        <f>운용리스_비교!BI44</f>
        <v>700674.29999999993</v>
      </c>
      <c r="P39" s="157"/>
      <c r="Q39" s="157"/>
      <c r="R39" s="182" t="s">
        <v>100</v>
      </c>
      <c r="S39" s="294">
        <f>+S3+S5</f>
        <v>0.55000000000000004</v>
      </c>
      <c r="T39" s="242"/>
      <c r="U39" s="159"/>
      <c r="V39" s="182" t="s">
        <v>100</v>
      </c>
      <c r="W39" s="294">
        <f>+W3+W5</f>
        <v>0.48000000000000004</v>
      </c>
      <c r="X39" s="242"/>
      <c r="Y39" s="159"/>
      <c r="Z39" s="182" t="s">
        <v>100</v>
      </c>
      <c r="AA39" s="294">
        <f>+AA3+AA5</f>
        <v>0.4</v>
      </c>
      <c r="AB39" s="157"/>
      <c r="AC39" s="194">
        <v>1</v>
      </c>
      <c r="AD39" s="17">
        <f t="shared" ref="AD39:AD98" si="2">IF(AC39&lt;$C$13,$AD$15,IF(AC39=$C$13,$AD$15+$C$16-$C$14,0))</f>
        <v>396200</v>
      </c>
      <c r="AE39" s="162"/>
      <c r="AF39" s="157"/>
      <c r="AG39" s="194">
        <v>1</v>
      </c>
      <c r="AH39" s="17">
        <f>IF(AG39&lt;$H$13,$AH$15,IF(AG39=$H$13,$AH$15+$H$16-$H$14,0))</f>
        <v>353800</v>
      </c>
      <c r="AI39" s="157"/>
      <c r="AJ39" s="157"/>
      <c r="AK39" s="194">
        <v>1</v>
      </c>
      <c r="AL39" s="17">
        <f>IF(AK39&lt;$M$13,$AL$15,IF(AK39=$M$13,$AL$15+$M$16-$M$14,0))</f>
        <v>330100</v>
      </c>
      <c r="AM39" s="162"/>
      <c r="AN39" s="157"/>
      <c r="AO39" s="157"/>
      <c r="AP39" s="157"/>
      <c r="AQ39" s="157"/>
      <c r="AR39" s="157"/>
      <c r="AS39" s="157"/>
      <c r="AT39" s="157"/>
      <c r="AU39" s="157"/>
      <c r="BH39" s="197">
        <v>33</v>
      </c>
      <c r="BI39" s="217">
        <f t="shared" ref="BI39:BI66" si="3">+IF(AC71&lt;$C$13,IF($AD$16&gt;0,$AD$17,$AD$15),IF(AC71=$C$13,IF($AD$16&gt;0,$AD$17,$AD$15)+$C$16,0))</f>
        <v>396200</v>
      </c>
      <c r="BJ39" s="217">
        <f t="shared" si="1"/>
        <v>309273.88430391887</v>
      </c>
    </row>
    <row r="40" spans="2:87" s="163" customFormat="1" ht="12" customHeight="1">
      <c r="B40" s="194" t="s">
        <v>522</v>
      </c>
      <c r="C40" s="194" t="str">
        <f>IF(VLOOKUP(C$20,제휴조건!$D$5:$P$27,2,0)=0,"없음",VLOOKUP(C$20,제휴조건!$D$5:$P$27,2,0))</f>
        <v>취득원가</v>
      </c>
      <c r="D40" s="296">
        <f>C60</f>
        <v>0</v>
      </c>
      <c r="E40" s="233">
        <f>IF(C40="취득원가",D40*C$28,IF(C40="MSRP",D40*(운용리스_비교!$AR$11+운용리스_비교!$BE$12),0))</f>
        <v>0</v>
      </c>
      <c r="F40" s="221"/>
      <c r="G40" s="194" t="s">
        <v>522</v>
      </c>
      <c r="H40" s="194" t="str">
        <f>IF(VLOOKUP(H$20,제휴조건!$D$5:$P$27,2,0)=0,"없음",VLOOKUP(H$20,제휴조건!$D$5:$P$27,2,0))</f>
        <v>취득원가</v>
      </c>
      <c r="I40" s="296">
        <f>H60</f>
        <v>0</v>
      </c>
      <c r="J40" s="233">
        <f>IF(H40="취득원가",I40*H$28,IF(H40="MSRP",I40*(운용리스_비교!$AR$11+운용리스_비교!$BE$12),0))</f>
        <v>0</v>
      </c>
      <c r="K40" s="222"/>
      <c r="L40" s="194" t="s">
        <v>522</v>
      </c>
      <c r="M40" s="194" t="str">
        <f>IF(VLOOKUP(M$20,제휴조건!$D$5:$P$27,2,0)=0,"없음",VLOOKUP(M$20,제휴조건!$D$5:$P$27,2,0))</f>
        <v>취득원가</v>
      </c>
      <c r="N40" s="296">
        <f>M60</f>
        <v>0</v>
      </c>
      <c r="O40" s="233">
        <f>IF(M40="취득원가",N40*M$28,IF(M40="MSRP",N40*(운용리스_비교!$AR$11+운용리스_비교!$BE$12),0))</f>
        <v>0</v>
      </c>
      <c r="Q40" s="157"/>
      <c r="R40" s="194" t="s">
        <v>102</v>
      </c>
      <c r="S40" s="266">
        <f>+C16/C3</f>
        <v>0.6</v>
      </c>
      <c r="T40" s="297"/>
      <c r="U40" s="159"/>
      <c r="V40" s="194" t="s">
        <v>102</v>
      </c>
      <c r="W40" s="266">
        <f>+H16/H3</f>
        <v>0.52996560619088562</v>
      </c>
      <c r="X40" s="297"/>
      <c r="Y40" s="159"/>
      <c r="Z40" s="194" t="s">
        <v>102</v>
      </c>
      <c r="AA40" s="266">
        <f>+M16/M3</f>
        <v>0.45</v>
      </c>
      <c r="AB40" s="157"/>
      <c r="AC40" s="194">
        <v>2</v>
      </c>
      <c r="AD40" s="17">
        <f t="shared" si="2"/>
        <v>396200</v>
      </c>
      <c r="AE40" s="162"/>
      <c r="AF40" s="157"/>
      <c r="AG40" s="194">
        <v>2</v>
      </c>
      <c r="AH40" s="17">
        <f t="shared" ref="AH40:AH98" si="4">IF(AG40&lt;$H$13,$AH$15,IF(AG40=$H$13,$AH$15+$H$16-$H$14,0))</f>
        <v>353800</v>
      </c>
      <c r="AI40" s="157"/>
      <c r="AJ40" s="157"/>
      <c r="AK40" s="194">
        <v>2</v>
      </c>
      <c r="AL40" s="17">
        <f t="shared" ref="AL40:AL98" si="5">IF(AK40&lt;$M$13,$AL$15,IF(AK40=$M$13,$AL$15+$M$16-$M$14,0))</f>
        <v>330100</v>
      </c>
      <c r="AM40" s="162"/>
      <c r="AN40" s="157"/>
      <c r="AO40" s="157"/>
      <c r="AP40" s="157"/>
      <c r="AQ40" s="157"/>
      <c r="AR40" s="157"/>
      <c r="AS40" s="157"/>
      <c r="AT40" s="157"/>
      <c r="AU40" s="157"/>
      <c r="BH40" s="197">
        <v>34</v>
      </c>
      <c r="BI40" s="217">
        <f t="shared" si="3"/>
        <v>396200</v>
      </c>
      <c r="BJ40" s="217">
        <f t="shared" si="1"/>
        <v>306961.22182863718</v>
      </c>
    </row>
    <row r="41" spans="2:87" s="163" customFormat="1" ht="12" customHeight="1">
      <c r="B41" s="194" t="s">
        <v>523</v>
      </c>
      <c r="C41" s="194" t="str">
        <f>IF(VLOOKUP(C$20,제휴조건!$D$5:$P$27,4,0)=0,"없음",VLOOKUP(C$20,제휴조건!$D$5:$P$27,4,0))</f>
        <v>없음</v>
      </c>
      <c r="D41" s="257">
        <f>IFERROR(VLOOKUP(C$20,제휴조건!$D$5:$P$27,5,0),0)</f>
        <v>0</v>
      </c>
      <c r="E41" s="233">
        <f>IF(C41="취득원가",D41*C$28,IF(C41="MSRP",D41*(운용리스_비교!$AR$11+운용리스_비교!$BE$12),0))</f>
        <v>0</v>
      </c>
      <c r="F41" s="221"/>
      <c r="G41" s="194" t="s">
        <v>523</v>
      </c>
      <c r="H41" s="194" t="str">
        <f>IF(VLOOKUP(H$20,제휴조건!$D$5:$P$27,4,0)=0,"없음",VLOOKUP(H$20,제휴조건!$D$5:$P$27,4,0))</f>
        <v>없음</v>
      </c>
      <c r="I41" s="257">
        <f>IFERROR(VLOOKUP(H$20,제휴조건!$D$5:$P$27,5,0),0)</f>
        <v>0</v>
      </c>
      <c r="J41" s="233">
        <f>IF(H41="취득원가",I41*H$28,IF(H41="MSRP",I41*(운용리스_비교!$AR$11+운용리스_비교!$BE$12),0))</f>
        <v>0</v>
      </c>
      <c r="K41" s="222"/>
      <c r="L41" s="194" t="s">
        <v>523</v>
      </c>
      <c r="M41" s="194" t="str">
        <f>IF(VLOOKUP(M$20,제휴조건!$D$5:$P$27,4,0)=0,"없음",VLOOKUP(M$20,제휴조건!$D$5:$P$27,4,0))</f>
        <v>없음</v>
      </c>
      <c r="N41" s="257">
        <f>IFERROR(VLOOKUP(M$20,제휴조건!$D$5:$P$27,5,0),0)</f>
        <v>0</v>
      </c>
      <c r="O41" s="233">
        <f>IF(M41="취득원가",N41*M$28,IF(M41="MSRP",N41*(운용리스_비교!$AR$11+운용리스_비교!$BE$12),0))</f>
        <v>0</v>
      </c>
      <c r="P41" s="157"/>
      <c r="Q41" s="157"/>
      <c r="R41" s="194" t="s">
        <v>103</v>
      </c>
      <c r="S41" s="257">
        <f>ROUND(IF((S40-S39)&lt;0,0,S40-S39),3)</f>
        <v>0.05</v>
      </c>
      <c r="T41" s="1081">
        <f>+S42/M23</f>
        <v>6.6E-3</v>
      </c>
      <c r="U41" s="159"/>
      <c r="V41" s="194" t="s">
        <v>103</v>
      </c>
      <c r="W41" s="257">
        <f>ROUND(IF((W40-W39)&lt;0,0,W40-W39),3)</f>
        <v>0.05</v>
      </c>
      <c r="X41" s="1081">
        <f>+W42/H23</f>
        <v>6.6E-3</v>
      </c>
      <c r="Y41" s="159"/>
      <c r="Z41" s="194" t="s">
        <v>103</v>
      </c>
      <c r="AA41" s="257">
        <f>ROUND(IF((AA40-AA39)&lt;0,0,AA40-AA39),3)</f>
        <v>0.05</v>
      </c>
      <c r="AB41" s="1059">
        <f>+AA42/M23</f>
        <v>6.6E-3</v>
      </c>
      <c r="AC41" s="194">
        <v>3</v>
      </c>
      <c r="AD41" s="17">
        <f t="shared" si="2"/>
        <v>396200</v>
      </c>
      <c r="AE41" s="162"/>
      <c r="AF41" s="157"/>
      <c r="AG41" s="194">
        <v>3</v>
      </c>
      <c r="AH41" s="17">
        <f t="shared" si="4"/>
        <v>353800</v>
      </c>
      <c r="AI41" s="157"/>
      <c r="AJ41" s="157"/>
      <c r="AK41" s="194">
        <v>3</v>
      </c>
      <c r="AL41" s="17">
        <f t="shared" si="5"/>
        <v>330100</v>
      </c>
      <c r="AM41" s="162"/>
      <c r="AN41" s="157"/>
      <c r="AO41" s="157"/>
      <c r="AP41" s="157"/>
      <c r="AQ41" s="157"/>
      <c r="AR41" s="157"/>
      <c r="AS41" s="157"/>
      <c r="AT41" s="157"/>
      <c r="AU41" s="157"/>
      <c r="BH41" s="197">
        <v>35</v>
      </c>
      <c r="BI41" s="217">
        <f t="shared" si="3"/>
        <v>396200</v>
      </c>
      <c r="BJ41" s="217">
        <f t="shared" si="1"/>
        <v>304665.85278806178</v>
      </c>
    </row>
    <row r="42" spans="2:87" s="163" customFormat="1" ht="12" customHeight="1" thickBot="1">
      <c r="B42" s="194" t="s">
        <v>524</v>
      </c>
      <c r="C42" s="194" t="str">
        <f>IF(VLOOKUP(C$20,제휴조건!$D$5:$P$27,6,0)=0,"없음",VLOOKUP(C$20,제휴조건!$D$5:$P$27,6,0))</f>
        <v>없음</v>
      </c>
      <c r="D42" s="257">
        <f>IFERROR(IF('AG 입력시트'!$AG$8=TRUE,0,VLOOKUP(C$20,제휴조건!$D$5:$P$27,7,0)),0)</f>
        <v>0</v>
      </c>
      <c r="E42" s="233">
        <f>IF(C42="취득원가",D42*C$28,IF(C42="MSRP",D42*(운용리스_비교!$AR$11+운용리스_비교!$BE$12),0))</f>
        <v>0</v>
      </c>
      <c r="F42" s="221"/>
      <c r="G42" s="194" t="s">
        <v>524</v>
      </c>
      <c r="H42" s="194" t="str">
        <f>IF(VLOOKUP(H$20,제휴조건!$D$5:$P$27,6,0)=0,"없음",VLOOKUP(H$20,제휴조건!$D$5:$P$27,6,0))</f>
        <v>없음</v>
      </c>
      <c r="I42" s="257">
        <f>IFERROR(IF('AG 입력시트'!$AG$8=TRUE,0,VLOOKUP(H$20,제휴조건!$D$5:$P$27,7,0)),0)</f>
        <v>0</v>
      </c>
      <c r="J42" s="233">
        <f>IF(H42="취득원가",I42*H$28,IF(H42="MSRP",I42*(운용리스_비교!$AR$11+운용리스_비교!$BE$12),0))</f>
        <v>0</v>
      </c>
      <c r="K42" s="222"/>
      <c r="L42" s="194" t="s">
        <v>524</v>
      </c>
      <c r="M42" s="194" t="str">
        <f>IF(VLOOKUP(M$20,제휴조건!$D$5:$P$27,6,0)=0,"없음",VLOOKUP(M$20,제휴조건!$D$5:$P$27,6,0))</f>
        <v>없음</v>
      </c>
      <c r="N42" s="257">
        <f>IFERROR(IF('AG 입력시트'!$AG$8=TRUE,0,VLOOKUP(M$20,제휴조건!$D$5:$P$27,7,0)),0)</f>
        <v>0</v>
      </c>
      <c r="O42" s="233">
        <f>IF(M42="취득원가",N42*M$28,IF(M42="MSRP",N42*(운용리스_비교!$AR$11+운용리스_비교!$BE$12),0))</f>
        <v>0</v>
      </c>
      <c r="P42" s="157"/>
      <c r="Q42" s="157"/>
      <c r="R42" s="194" t="s">
        <v>106</v>
      </c>
      <c r="S42" s="233">
        <f>IF(ROUND(ROUND(S41,3),3)=0%,C23*0%,IF(ROUND(S41,3)&lt;=1%,C23*S27,IF(ROUND(S41,3)&lt;=2%,C23*S28,IF(ROUND(S41,3)&lt;=3%,C23*S29,IF(ROUND(S41,3)&lt;=4%,C23*S30,IF(ROUND(S41,3)&lt;=5%,C23*S31,IF(ROUND(S41,3)&lt;=6%,C23*S32,IF(ROUND(S41,3)&lt;=7%,C23*S33,IF(ROUND(S41,3)&lt;=9%,C23*S34)))))))))</f>
        <v>153516</v>
      </c>
      <c r="T42" s="222" t="str">
        <f>IF(OR(운용리스_비교!$AR$48="한성자동차",운용리스_비교!$AR$48="모터원",운용리스_비교!$AR$48="KCC오토",운용리스_비교!$AR$48="BENZ_일반",운용리스_비교!AR48="태안모터스",LEFT(S65,8)="PANAMERA"),"Y","N")&amp;IF(S41&gt;=6%,"Y","N")</f>
        <v>NN</v>
      </c>
      <c r="U42" s="159"/>
      <c r="V42" s="201" t="s">
        <v>106</v>
      </c>
      <c r="W42" s="270">
        <f>IF(ROUND(ROUND(W41,3),3)=0%,H23*0%,IF(ROUND(W41,3)&lt;=1%,H23*W27,IF(ROUND(W41,3)&lt;=2%,H23*W28,IF(ROUND(W41,3)&lt;=3%,H23*W29,IF(ROUND(W41,3)&lt;=4%,H23*W30,IF(ROUND(W41,3)&lt;=5%,H23*W31,IF(ROUND(W41,3)&lt;=6%,H23*W32,IF(ROUND(W41,3)&lt;=7%,H23*W33,IF(ROUND(W41,3)&lt;=9%,H23*W34)))))))))</f>
        <v>153516</v>
      </c>
      <c r="X42" s="222" t="str">
        <f>IF(OR(운용리스_비교!$AR$48="한성자동차",운용리스_비교!$AR$48="모터원",운용리스_비교!$AR$48="KCC오토",운용리스_비교!$AR$48="BENZ_일반",운용리스_비교!AR48="태안모터스",LEFT(W65,8)="PANAMERA"),"Y","N")&amp;IF(W41&gt;=6%,"Y","N")</f>
        <v>NN</v>
      </c>
      <c r="Y42" s="159"/>
      <c r="Z42" s="201" t="s">
        <v>106</v>
      </c>
      <c r="AA42" s="270">
        <f>IF(ROUND(ROUND(AA41,3),3)=0%,M23*0%,IF(ROUND(AA41,3)&lt;=1%,M23*AA27,IF(ROUND(AA41,3)&lt;=2%,M23*AA28,IF(ROUND(AA41,3)&lt;=3%,M23*AA29,IF(ROUND(AA41,3)&lt;=4%,M23*AA30,IF(ROUND(AA41,3)&lt;=5%,M23*AA31,IF(ROUND(AA41,3)&lt;=6%,M23*AA32,IF(ROUND(AA41,3)&lt;=7%,M23*AA33,IF(ROUND(AA41,3)&lt;=9%,M23*AA34)))))))))</f>
        <v>153516</v>
      </c>
      <c r="AB42" s="222" t="str">
        <f>IF(OR(운용리스_비교!$AR$48="한성자동차",운용리스_비교!$AR$48="모터원",운용리스_비교!$AR$48="KCC오토",운용리스_비교!$AR$48="BENZ_일반",운용리스_비교!AR48="태안모터스",LEFT(AA65,8)="PANAMERA"),"Y","N")&amp;IF(AA41&gt;=6%,"Y","N")</f>
        <v>NN</v>
      </c>
      <c r="AC42" s="194">
        <v>4</v>
      </c>
      <c r="AD42" s="17">
        <f t="shared" si="2"/>
        <v>396200</v>
      </c>
      <c r="AE42" s="162"/>
      <c r="AF42" s="157"/>
      <c r="AG42" s="194">
        <v>4</v>
      </c>
      <c r="AH42" s="17">
        <f t="shared" si="4"/>
        <v>353800</v>
      </c>
      <c r="AI42" s="157"/>
      <c r="AJ42" s="157"/>
      <c r="AK42" s="194">
        <v>4</v>
      </c>
      <c r="AL42" s="17">
        <f t="shared" si="5"/>
        <v>330100</v>
      </c>
      <c r="AM42" s="162"/>
      <c r="AN42" s="157"/>
      <c r="AO42" s="157"/>
      <c r="AP42" s="157"/>
      <c r="AQ42" s="157"/>
      <c r="AR42" s="157"/>
      <c r="AS42" s="157"/>
      <c r="AT42" s="157"/>
      <c r="AU42" s="157"/>
      <c r="BH42" s="197">
        <v>36</v>
      </c>
      <c r="BI42" s="217">
        <f t="shared" ref="BI42:BI53" si="6">+IF(AC74&lt;$C$13,IF($AD$16&gt;0,$AD$17,$AD$15),IF(AC74=$C$13,IF($AD$16&gt;0,$AD$17,$AD$15)+$C$16,0))</f>
        <v>14352200</v>
      </c>
      <c r="BJ42" s="217">
        <f t="shared" si="1"/>
        <v>10953881.877116898</v>
      </c>
    </row>
    <row r="43" spans="2:87" s="163" customFormat="1" ht="12" customHeight="1" thickBot="1">
      <c r="B43" s="194" t="s">
        <v>525</v>
      </c>
      <c r="C43" s="194" t="str">
        <f>IF(VLOOKUP(C$20,제휴조건!$D$5:$P$27,8,0)=0,"없음",VLOOKUP(C$20,제휴조건!$D$5:$P$27,8,0))</f>
        <v>없음</v>
      </c>
      <c r="D43" s="257">
        <f>IFERROR(VLOOKUP(C$20,제휴조건!$D$5:$P$27,9,0),0)</f>
        <v>0</v>
      </c>
      <c r="E43" s="233">
        <f>IF(C43="취득원가",D43*C$28,IF(C43="MSRP",D43*(운용리스_비교!$AR$11+운용리스_비교!$BE$12),0))</f>
        <v>0</v>
      </c>
      <c r="F43" s="221"/>
      <c r="G43" s="194" t="s">
        <v>525</v>
      </c>
      <c r="H43" s="194" t="str">
        <f>IF(VLOOKUP(H$20,제휴조건!$D$5:$P$27,8,0)=0,"없음",VLOOKUP(H$20,제휴조건!$D$5:$P$27,8,0))</f>
        <v>없음</v>
      </c>
      <c r="I43" s="257">
        <f>IFERROR(VLOOKUP(H$20,제휴조건!$D$5:$P$27,9,0),0)</f>
        <v>0</v>
      </c>
      <c r="J43" s="233">
        <f>IF(H43="취득원가",I43*H$28,IF(H43="MSRP",I43*(운용리스_비교!$AR$11+운용리스_비교!$BE$12),0))</f>
        <v>0</v>
      </c>
      <c r="K43" s="222"/>
      <c r="L43" s="194" t="s">
        <v>525</v>
      </c>
      <c r="M43" s="194" t="str">
        <f>IF(VLOOKUP(M$20,제휴조건!$D$5:$P$27,8,0)=0,"없음",VLOOKUP(M$20,제휴조건!$D$5:$P$27,8,0))</f>
        <v>없음</v>
      </c>
      <c r="N43" s="257">
        <f>IFERROR(VLOOKUP(M$20,제휴조건!$D$5:$P$27,9,0),0)</f>
        <v>0</v>
      </c>
      <c r="O43" s="233">
        <f>IF(M43="취득원가",N43*M$28,IF(M43="MSRP",N43*(운용리스_비교!$AR$11+운용리스_비교!$BE$12),0))</f>
        <v>0</v>
      </c>
      <c r="P43" s="157"/>
      <c r="Q43" s="157"/>
      <c r="R43" s="298" t="s">
        <v>605</v>
      </c>
      <c r="S43" s="299">
        <f>+IF(T42="YYYY",0.2%,0)</f>
        <v>0</v>
      </c>
      <c r="T43" s="159"/>
      <c r="U43" s="159"/>
      <c r="V43" s="300" t="s">
        <v>605</v>
      </c>
      <c r="W43" s="301">
        <f>+IF(X42="YYYY",0.2%,0)</f>
        <v>0</v>
      </c>
      <c r="X43" s="159"/>
      <c r="Y43" s="159"/>
      <c r="Z43" s="300" t="s">
        <v>605</v>
      </c>
      <c r="AA43" s="301">
        <f>+IF(AB42="YYYY",0.2%,0)</f>
        <v>0</v>
      </c>
      <c r="AB43" s="157"/>
      <c r="AC43" s="194">
        <v>5</v>
      </c>
      <c r="AD43" s="17">
        <f t="shared" si="2"/>
        <v>396200</v>
      </c>
      <c r="AE43" s="162"/>
      <c r="AF43" s="157"/>
      <c r="AG43" s="194">
        <v>5</v>
      </c>
      <c r="AH43" s="17">
        <f t="shared" si="4"/>
        <v>353800</v>
      </c>
      <c r="AI43" s="157"/>
      <c r="AJ43" s="157"/>
      <c r="AK43" s="194">
        <v>5</v>
      </c>
      <c r="AL43" s="17">
        <f t="shared" si="5"/>
        <v>330100</v>
      </c>
      <c r="AM43" s="162"/>
      <c r="AN43" s="157"/>
      <c r="AO43" s="157"/>
      <c r="AP43" s="157"/>
      <c r="AQ43" s="157"/>
      <c r="AR43" s="157"/>
      <c r="AS43" s="157"/>
      <c r="AT43" s="157"/>
      <c r="AU43" s="157"/>
      <c r="BH43" s="197">
        <v>37</v>
      </c>
      <c r="BI43" s="217">
        <f t="shared" si="6"/>
        <v>0</v>
      </c>
      <c r="BJ43" s="217">
        <f t="shared" si="1"/>
        <v>0</v>
      </c>
      <c r="CI43" s="163" t="str">
        <f>+IF(운용리스_비교!BF44&gt;계산_운용리스!D44,"불가")</f>
        <v>불가</v>
      </c>
    </row>
    <row r="44" spans="2:87" s="163" customFormat="1" ht="12" customHeight="1">
      <c r="B44" s="194" t="s">
        <v>526</v>
      </c>
      <c r="C44" s="194" t="str">
        <f>IF(VLOOKUP(C$20,제휴조건!$D$5:$P$27,10,0)=0,"없음",VLOOKUP(C$20,제휴조건!$D$5:$P$27,10,0))</f>
        <v>없음</v>
      </c>
      <c r="D44" s="257">
        <f>IFERROR(VLOOKUP(C$20,제휴조건!$D$5:$P$27,11,0),0)</f>
        <v>0</v>
      </c>
      <c r="E44" s="233">
        <f>IF(C44="취득원가",D44*C$28,IF(C44="MSRP",D44*(운용리스_비교!$AR$11+운용리스_비교!$BE$12),0))</f>
        <v>0</v>
      </c>
      <c r="F44" s="221"/>
      <c r="G44" s="194" t="s">
        <v>526</v>
      </c>
      <c r="H44" s="194" t="str">
        <f>IF(VLOOKUP(H$20,제휴조건!$D$5:$P$27,10,0)=0,"없음",VLOOKUP(H$20,제휴조건!$D$5:$P$27,10,0))</f>
        <v>없음</v>
      </c>
      <c r="I44" s="257">
        <f>IFERROR(VLOOKUP(H$20,제휴조건!$D$5:$P$27,11,0),0)</f>
        <v>0</v>
      </c>
      <c r="J44" s="233">
        <f>IF(H44="취득원가",I44*H$28,IF(H44="MSRP",I44*(운용리스_비교!$AR$11+운용리스_비교!$BE$12),0))</f>
        <v>0</v>
      </c>
      <c r="K44" s="222"/>
      <c r="L44" s="194" t="s">
        <v>526</v>
      </c>
      <c r="M44" s="194" t="str">
        <f>IF(VLOOKUP(M$20,제휴조건!$D$5:$P$27,10,0)=0,"없음",VLOOKUP(M$20,제휴조건!$D$5:$P$27,10,0))</f>
        <v>없음</v>
      </c>
      <c r="N44" s="257">
        <f>IFERROR(VLOOKUP(M$20,제휴조건!$D$5:$P$27,11,0),0)</f>
        <v>0</v>
      </c>
      <c r="O44" s="233">
        <f>IF(M44="취득원가",N44*M$28,IF(M44="MSRP",N44*(운용리스_비교!$AR$11+운용리스_비교!$BE$12),0))</f>
        <v>0</v>
      </c>
      <c r="P44" s="157"/>
      <c r="Q44" s="157"/>
      <c r="R44" s="1932" t="s">
        <v>109</v>
      </c>
      <c r="S44" s="1932"/>
      <c r="T44" s="169"/>
      <c r="U44" s="159"/>
      <c r="V44" s="1932" t="s">
        <v>611</v>
      </c>
      <c r="W44" s="1932"/>
      <c r="X44" s="169"/>
      <c r="Y44" s="159"/>
      <c r="Z44" s="1932" t="s">
        <v>109</v>
      </c>
      <c r="AA44" s="1932"/>
      <c r="AB44" s="157"/>
      <c r="AC44" s="194">
        <v>6</v>
      </c>
      <c r="AD44" s="17">
        <f t="shared" si="2"/>
        <v>396200</v>
      </c>
      <c r="AE44" s="162"/>
      <c r="AF44" s="157"/>
      <c r="AG44" s="194">
        <v>6</v>
      </c>
      <c r="AH44" s="17">
        <f t="shared" si="4"/>
        <v>353800</v>
      </c>
      <c r="AI44" s="157"/>
      <c r="AJ44" s="157"/>
      <c r="AK44" s="194">
        <v>6</v>
      </c>
      <c r="AL44" s="17">
        <f t="shared" si="5"/>
        <v>330100</v>
      </c>
      <c r="AM44" s="162"/>
      <c r="AN44" s="157"/>
      <c r="AO44" s="157"/>
      <c r="AP44" s="157"/>
      <c r="AQ44" s="157"/>
      <c r="AR44" s="157"/>
      <c r="AS44" s="157"/>
      <c r="AT44" s="157"/>
      <c r="AU44" s="157"/>
      <c r="BH44" s="197">
        <v>38</v>
      </c>
      <c r="BI44" s="217">
        <f t="shared" si="6"/>
        <v>0</v>
      </c>
      <c r="BJ44" s="217">
        <f t="shared" si="1"/>
        <v>0</v>
      </c>
    </row>
    <row r="45" spans="2:87" s="163" customFormat="1" ht="12" customHeight="1">
      <c r="B45" s="194" t="s">
        <v>527</v>
      </c>
      <c r="C45" s="194" t="str">
        <f>IF(VLOOKUP(C$20,제휴조건!$D$5:$P$27,12,0)=0,"없음",VLOOKUP(C$20,제휴조건!$D$5:$P$27,12,0))</f>
        <v>없음</v>
      </c>
      <c r="D45" s="257">
        <f>IFERROR(VLOOKUP(C$20,제휴조건!$D$5:$P$27,13,0),0)</f>
        <v>0</v>
      </c>
      <c r="E45" s="233">
        <f>IF(C45="취득원가",D45*C$28,IF(C45="MSRP",D45*(운용리스_비교!$AR$11+운용리스_비교!$BE$12),0))</f>
        <v>0</v>
      </c>
      <c r="F45" s="221"/>
      <c r="G45" s="194" t="s">
        <v>527</v>
      </c>
      <c r="H45" s="194" t="str">
        <f>IF(VLOOKUP(H$20,제휴조건!$D$5:$P$27,12,0)=0,"없음",VLOOKUP(H$20,제휴조건!$D$5:$P$27,12,0))</f>
        <v>없음</v>
      </c>
      <c r="I45" s="257">
        <f>IFERROR(VLOOKUP(H$20,제휴조건!$D$5:$P$27,13,0),0)</f>
        <v>0</v>
      </c>
      <c r="J45" s="233">
        <f>IF(H45="취득원가",I45*H$28,IF(H45="MSRP",I45*(운용리스_비교!$AR$11+운용리스_비교!$BE$12),0))</f>
        <v>0</v>
      </c>
      <c r="K45" s="222"/>
      <c r="L45" s="194" t="s">
        <v>527</v>
      </c>
      <c r="M45" s="194" t="str">
        <f>IF(VLOOKUP(M$20,제휴조건!$D$5:$P$27,12,0)=0,"없음",VLOOKUP(M$20,제휴조건!$D$5:$P$27,12,0))</f>
        <v>없음</v>
      </c>
      <c r="N45" s="257">
        <f>IFERROR(VLOOKUP(M$20,제휴조건!$D$5:$P$27,13,0),0)</f>
        <v>0</v>
      </c>
      <c r="O45" s="233">
        <f>IF(M45="취득원가",N45*M$28,IF(M45="MSRP",N45*(운용리스_비교!$AR$11+운용리스_비교!$BE$12),0))</f>
        <v>0</v>
      </c>
      <c r="P45" s="157"/>
      <c r="Q45" s="157"/>
      <c r="R45" s="182" t="s">
        <v>110</v>
      </c>
      <c r="S45" s="243">
        <v>0.4</v>
      </c>
      <c r="T45" s="244"/>
      <c r="U45" s="159"/>
      <c r="V45" s="182" t="s">
        <v>110</v>
      </c>
      <c r="W45" s="243">
        <v>0.4</v>
      </c>
      <c r="X45" s="244"/>
      <c r="Y45" s="159"/>
      <c r="Z45" s="182" t="s">
        <v>110</v>
      </c>
      <c r="AA45" s="243">
        <v>0.4</v>
      </c>
      <c r="AB45" s="161"/>
      <c r="AC45" s="194">
        <v>7</v>
      </c>
      <c r="AD45" s="17">
        <f t="shared" si="2"/>
        <v>396200</v>
      </c>
      <c r="AE45" s="162"/>
      <c r="AF45" s="157"/>
      <c r="AG45" s="194">
        <v>7</v>
      </c>
      <c r="AH45" s="17">
        <f t="shared" si="4"/>
        <v>353800</v>
      </c>
      <c r="AI45" s="157"/>
      <c r="AJ45" s="157"/>
      <c r="AK45" s="194">
        <v>7</v>
      </c>
      <c r="AL45" s="17">
        <f t="shared" si="5"/>
        <v>330100</v>
      </c>
      <c r="AM45" s="162"/>
      <c r="AN45" s="157"/>
      <c r="AO45" s="157"/>
      <c r="AP45" s="157"/>
      <c r="AQ45" s="157"/>
      <c r="AR45" s="157"/>
      <c r="AS45" s="157"/>
      <c r="AT45" s="157"/>
      <c r="AU45" s="157"/>
      <c r="BH45" s="197">
        <v>39</v>
      </c>
      <c r="BI45" s="217">
        <f t="shared" si="6"/>
        <v>0</v>
      </c>
      <c r="BJ45" s="217">
        <f t="shared" si="1"/>
        <v>0</v>
      </c>
    </row>
    <row r="46" spans="2:87" s="163" customFormat="1" ht="12" customHeight="1">
      <c r="B46" s="194" t="s">
        <v>1145</v>
      </c>
      <c r="C46" s="194" t="s">
        <v>1146</v>
      </c>
      <c r="D46" s="257">
        <f>IF('AG 입력시트'!AG15=TRUE,0,VLOOKUP('AG 입력시트'!S9,제휴조건!$D$5:$F$27,3,0))</f>
        <v>6.0000000000000001E-3</v>
      </c>
      <c r="E46" s="233">
        <f>+C28*D46</f>
        <v>140134.86000000002</v>
      </c>
      <c r="F46" s="221"/>
      <c r="G46" s="194" t="s">
        <v>1145</v>
      </c>
      <c r="H46" s="194" t="s">
        <v>1146</v>
      </c>
      <c r="I46" s="257">
        <f>IF('AG 입력시트'!AG15=TRUE,0,VLOOKUP('AG 입력시트'!S9,제휴조건!$D$5:$F$27,3,0))</f>
        <v>6.0000000000000001E-3</v>
      </c>
      <c r="J46" s="233">
        <f>+H28*I46</f>
        <v>140134.86000000002</v>
      </c>
      <c r="K46" s="222"/>
      <c r="L46" s="194" t="s">
        <v>1145</v>
      </c>
      <c r="M46" s="194" t="s">
        <v>1146</v>
      </c>
      <c r="N46" s="257">
        <f>IF('AG 입력시트'!AG15=TRUE,0,VLOOKUP('AG 입력시트'!S9,제휴조건!$D$5:$F$27,3,0))</f>
        <v>6.0000000000000001E-3</v>
      </c>
      <c r="O46" s="233">
        <f>+M28*N46</f>
        <v>140134.86000000002</v>
      </c>
      <c r="P46" s="157"/>
      <c r="Q46" s="157"/>
      <c r="R46" s="194" t="s">
        <v>111</v>
      </c>
      <c r="S46" s="233">
        <f>ROUNDDOWN($C$3*S45,-4)</f>
        <v>9300000</v>
      </c>
      <c r="T46" s="222"/>
      <c r="U46" s="159"/>
      <c r="V46" s="194" t="s">
        <v>111</v>
      </c>
      <c r="W46" s="233">
        <f>ROUNDDOWN($H$3*W45,-4)</f>
        <v>9300000</v>
      </c>
      <c r="X46" s="222"/>
      <c r="Y46" s="159"/>
      <c r="Z46" s="194" t="s">
        <v>111</v>
      </c>
      <c r="AA46" s="233">
        <f>ROUNDDOWN($M$3*AA45,-4)</f>
        <v>9300000</v>
      </c>
      <c r="AB46" s="161"/>
      <c r="AC46" s="194">
        <v>8</v>
      </c>
      <c r="AD46" s="17">
        <f t="shared" si="2"/>
        <v>396200</v>
      </c>
      <c r="AE46" s="162"/>
      <c r="AF46" s="157"/>
      <c r="AG46" s="194">
        <v>8</v>
      </c>
      <c r="AH46" s="17">
        <f t="shared" si="4"/>
        <v>353800</v>
      </c>
      <c r="AI46" s="157"/>
      <c r="AJ46" s="157"/>
      <c r="AK46" s="194">
        <v>8</v>
      </c>
      <c r="AL46" s="17">
        <f t="shared" si="5"/>
        <v>330100</v>
      </c>
      <c r="AM46" s="162"/>
      <c r="AN46" s="157"/>
      <c r="AO46" s="157"/>
      <c r="AP46" s="157"/>
      <c r="AQ46" s="157"/>
      <c r="AR46" s="157"/>
      <c r="AS46" s="157"/>
      <c r="AT46" s="157"/>
      <c r="AU46" s="157"/>
      <c r="BH46" s="197">
        <v>40</v>
      </c>
      <c r="BI46" s="217">
        <f t="shared" si="6"/>
        <v>0</v>
      </c>
      <c r="BJ46" s="217">
        <f t="shared" si="1"/>
        <v>0</v>
      </c>
    </row>
    <row r="47" spans="2:87" s="163" customFormat="1" ht="12" customHeight="1">
      <c r="B47" s="194" t="s">
        <v>301</v>
      </c>
      <c r="C47" s="194" t="s">
        <v>521</v>
      </c>
      <c r="D47" s="474">
        <f>S42/C23</f>
        <v>6.6E-3</v>
      </c>
      <c r="E47" s="233">
        <f>S42</f>
        <v>153516</v>
      </c>
      <c r="F47" s="221"/>
      <c r="G47" s="194" t="s">
        <v>301</v>
      </c>
      <c r="H47" s="194" t="s">
        <v>521</v>
      </c>
      <c r="I47" s="474">
        <f>W42/H23</f>
        <v>6.6E-3</v>
      </c>
      <c r="J47" s="233">
        <f>W42</f>
        <v>153516</v>
      </c>
      <c r="K47" s="222"/>
      <c r="L47" s="194" t="s">
        <v>301</v>
      </c>
      <c r="M47" s="194" t="s">
        <v>521</v>
      </c>
      <c r="N47" s="474">
        <f>AA42/M23</f>
        <v>6.6E-3</v>
      </c>
      <c r="O47" s="233">
        <f>AA42</f>
        <v>153516</v>
      </c>
      <c r="P47" s="157"/>
      <c r="Q47" s="157"/>
      <c r="R47" s="201" t="s">
        <v>112</v>
      </c>
      <c r="S47" s="201" t="str">
        <f>IF(C$14+C$15&lt;S46,"N","Y")</f>
        <v>N</v>
      </c>
      <c r="T47" s="159"/>
      <c r="U47" s="159"/>
      <c r="V47" s="201" t="s">
        <v>112</v>
      </c>
      <c r="W47" s="201" t="str">
        <f>IF(H$14+H$15&lt;W46,"N","Y")</f>
        <v>N</v>
      </c>
      <c r="X47" s="159"/>
      <c r="Y47" s="159"/>
      <c r="Z47" s="201" t="s">
        <v>112</v>
      </c>
      <c r="AA47" s="201" t="str">
        <f>IF($M$14+$M$15&lt;AA46,"N","Y")</f>
        <v>N</v>
      </c>
      <c r="AB47" s="161"/>
      <c r="AC47" s="194">
        <v>9</v>
      </c>
      <c r="AD47" s="17">
        <f t="shared" si="2"/>
        <v>396200</v>
      </c>
      <c r="AE47" s="162"/>
      <c r="AF47" s="157"/>
      <c r="AG47" s="194">
        <v>9</v>
      </c>
      <c r="AH47" s="17">
        <f t="shared" si="4"/>
        <v>353800</v>
      </c>
      <c r="AI47" s="157"/>
      <c r="AJ47" s="157"/>
      <c r="AK47" s="194">
        <v>9</v>
      </c>
      <c r="AL47" s="17">
        <f t="shared" si="5"/>
        <v>330100</v>
      </c>
      <c r="AM47" s="162"/>
      <c r="AN47" s="157"/>
      <c r="AO47" s="157"/>
      <c r="AP47" s="157"/>
      <c r="AQ47" s="157"/>
      <c r="AR47" s="157"/>
      <c r="AS47" s="157"/>
      <c r="AT47" s="157"/>
      <c r="AU47" s="157"/>
      <c r="BH47" s="197">
        <v>41</v>
      </c>
      <c r="BI47" s="217">
        <f t="shared" si="6"/>
        <v>0</v>
      </c>
      <c r="BJ47" s="217">
        <f t="shared" si="1"/>
        <v>0</v>
      </c>
    </row>
    <row r="48" spans="2:87" s="163" customFormat="1" ht="12" customHeight="1">
      <c r="B48" s="186" t="s">
        <v>272</v>
      </c>
      <c r="C48" s="186" t="s">
        <v>302</v>
      </c>
      <c r="D48" s="302">
        <f>E48/C28</f>
        <v>4.2572925537585717E-2</v>
      </c>
      <c r="E48" s="303">
        <f>SUM(E39:E47)</f>
        <v>994325.15999999992</v>
      </c>
      <c r="F48" s="158"/>
      <c r="G48" s="186" t="s">
        <v>272</v>
      </c>
      <c r="H48" s="186" t="s">
        <v>302</v>
      </c>
      <c r="I48" s="302">
        <f>J48/H28</f>
        <v>4.2572925537585717E-2</v>
      </c>
      <c r="J48" s="303">
        <f>SUM(J39:J47)</f>
        <v>994325.15999999992</v>
      </c>
      <c r="K48" s="159"/>
      <c r="L48" s="186" t="s">
        <v>272</v>
      </c>
      <c r="M48" s="186" t="s">
        <v>304</v>
      </c>
      <c r="N48" s="302">
        <f>O48/M28</f>
        <v>4.2572925537585717E-2</v>
      </c>
      <c r="O48" s="303">
        <f>SUM(O39:O47)</f>
        <v>994325.15999999992</v>
      </c>
      <c r="P48" s="157"/>
      <c r="Q48" s="157"/>
      <c r="R48" s="304" t="s">
        <v>113</v>
      </c>
      <c r="S48" s="305">
        <f>IF(S47="Y",IF(운용리스_비교!$AR$5="수입",0.2%,0.3%),0)</f>
        <v>0</v>
      </c>
      <c r="T48" s="242"/>
      <c r="U48" s="159"/>
      <c r="V48" s="304" t="s">
        <v>113</v>
      </c>
      <c r="W48" s="305">
        <f>IF(W47="Y",IF(운용리스_비교!$AR$5="수입",0.2%,0.3%),0)</f>
        <v>0</v>
      </c>
      <c r="X48" s="242"/>
      <c r="Y48" s="159"/>
      <c r="Z48" s="304" t="s">
        <v>113</v>
      </c>
      <c r="AA48" s="305">
        <f>IF(AA47="Y",IF(운용리스_비교!$AR$5="수입",0.2%,0.3%),0)</f>
        <v>0</v>
      </c>
      <c r="AB48" s="161"/>
      <c r="AC48" s="194">
        <v>10</v>
      </c>
      <c r="AD48" s="17">
        <f t="shared" si="2"/>
        <v>396200</v>
      </c>
      <c r="AE48" s="162"/>
      <c r="AF48" s="157"/>
      <c r="AG48" s="194">
        <v>10</v>
      </c>
      <c r="AH48" s="17">
        <f t="shared" si="4"/>
        <v>353800</v>
      </c>
      <c r="AI48" s="157"/>
      <c r="AJ48" s="157"/>
      <c r="AK48" s="194">
        <v>10</v>
      </c>
      <c r="AL48" s="17">
        <f t="shared" si="5"/>
        <v>330100</v>
      </c>
      <c r="AM48" s="162"/>
      <c r="AN48" s="157"/>
      <c r="AO48" s="157"/>
      <c r="AP48" s="157"/>
      <c r="AQ48" s="157"/>
      <c r="AR48" s="157"/>
      <c r="AS48" s="157"/>
      <c r="AT48" s="157"/>
      <c r="AU48" s="157"/>
      <c r="BH48" s="197">
        <v>42</v>
      </c>
      <c r="BI48" s="217">
        <f t="shared" si="6"/>
        <v>0</v>
      </c>
      <c r="BJ48" s="217">
        <f t="shared" si="1"/>
        <v>0</v>
      </c>
    </row>
    <row r="49" spans="2:62" s="163" customFormat="1" ht="12" customHeight="1">
      <c r="B49" s="157"/>
      <c r="C49" s="157" t="str">
        <f>IF(D47&lt;=0%,"",IF(D47&lt;=0.22%,".",IF(D47&lt;=0.44%,"..",IF(D47&lt;=0.66%,"...",IF(D47&lt;=0.94%,"....",IF(D47&lt;=1.21%,"…..",IF(D47&lt;=1.4%,"……",IF(D47&lt;=1.58%,"…….",IF(D47&lt;=1.76%,"……..")))))))))</f>
        <v>...</v>
      </c>
      <c r="D49" s="314">
        <f>+SUM(D39:D47)</f>
        <v>4.2599999999999999E-2</v>
      </c>
      <c r="E49" s="157"/>
      <c r="F49" s="158"/>
      <c r="G49" s="157"/>
      <c r="H49" s="157" t="str">
        <f>IF(I47&lt;=0%,"",IF(I47&lt;=0.22%,".",IF(I47&lt;=0.44%,"..",IF(I47&lt;=0.66%,"...",IF(I47&lt;=0.94%,"....",IF(I47&lt;=1.21%,"…..",IF(I47&lt;=1.4%,"……",IF(I47&lt;=1.58%,"…….",IF(I47&lt;=1.76%,"……..")))))))))</f>
        <v>...</v>
      </c>
      <c r="I49" s="157"/>
      <c r="J49" s="157"/>
      <c r="K49" s="159"/>
      <c r="L49" s="157"/>
      <c r="M49" s="157" t="str">
        <f>IF(N47&lt;=0%,"",IF(N47&lt;=0.22%,".",IF(N47&lt;=0.44%,"..",IF(N47&lt;=0.66%,"...",IF(N47&lt;=0.94%,"....",IF(N47&lt;=1.21%,"…..",IF(N47&lt;=1.4%,"……",IF(N47&lt;=1.58%,"…….",IF(N47&lt;=1.76%,"……..")))))))))</f>
        <v>...</v>
      </c>
      <c r="N49" s="157"/>
      <c r="O49" s="157"/>
      <c r="P49" s="157"/>
      <c r="Q49" s="157"/>
      <c r="T49" s="306"/>
      <c r="U49" s="162"/>
      <c r="X49" s="306"/>
      <c r="Y49" s="162"/>
      <c r="AB49" s="161"/>
      <c r="AC49" s="194">
        <v>11</v>
      </c>
      <c r="AD49" s="17">
        <f t="shared" si="2"/>
        <v>396200</v>
      </c>
      <c r="AE49" s="162"/>
      <c r="AF49" s="157"/>
      <c r="AG49" s="194">
        <v>11</v>
      </c>
      <c r="AH49" s="17">
        <f t="shared" si="4"/>
        <v>353800</v>
      </c>
      <c r="AI49" s="157"/>
      <c r="AJ49" s="157"/>
      <c r="AK49" s="194">
        <v>11</v>
      </c>
      <c r="AL49" s="17">
        <f t="shared" si="5"/>
        <v>330100</v>
      </c>
      <c r="AM49" s="162"/>
      <c r="AN49" s="157"/>
      <c r="AO49" s="157"/>
      <c r="AP49" s="157"/>
      <c r="AQ49" s="157"/>
      <c r="AR49" s="157"/>
      <c r="AS49" s="157"/>
      <c r="AT49" s="157"/>
      <c r="AU49" s="157"/>
      <c r="BH49" s="197">
        <v>43</v>
      </c>
      <c r="BI49" s="217">
        <f t="shared" si="6"/>
        <v>0</v>
      </c>
      <c r="BJ49" s="217">
        <f t="shared" si="1"/>
        <v>0</v>
      </c>
    </row>
    <row r="50" spans="2:62" s="163" customFormat="1" ht="12" customHeight="1">
      <c r="B50" s="1932" t="s">
        <v>118</v>
      </c>
      <c r="C50" s="1932"/>
      <c r="D50" s="157"/>
      <c r="E50" s="157"/>
      <c r="F50" s="158"/>
      <c r="G50" s="1932" t="s">
        <v>118</v>
      </c>
      <c r="H50" s="1932"/>
      <c r="I50" s="157"/>
      <c r="J50" s="157"/>
      <c r="K50" s="159"/>
      <c r="L50" s="1932" t="s">
        <v>118</v>
      </c>
      <c r="M50" s="1932"/>
      <c r="N50" s="157"/>
      <c r="O50" s="157"/>
      <c r="P50" s="157"/>
      <c r="Q50" s="157"/>
      <c r="R50" s="182" t="s">
        <v>115</v>
      </c>
      <c r="S50" s="243">
        <v>1</v>
      </c>
      <c r="T50" s="244"/>
      <c r="U50" s="162"/>
      <c r="V50" s="182" t="s">
        <v>115</v>
      </c>
      <c r="W50" s="243">
        <v>1</v>
      </c>
      <c r="X50" s="244"/>
      <c r="Y50" s="162"/>
      <c r="Z50" s="182" t="s">
        <v>115</v>
      </c>
      <c r="AA50" s="243">
        <v>1</v>
      </c>
      <c r="AB50" s="161"/>
      <c r="AC50" s="194">
        <v>12</v>
      </c>
      <c r="AD50" s="17">
        <f t="shared" si="2"/>
        <v>396200</v>
      </c>
      <c r="AE50" s="162"/>
      <c r="AF50" s="157"/>
      <c r="AG50" s="194">
        <v>12</v>
      </c>
      <c r="AH50" s="17">
        <f t="shared" si="4"/>
        <v>353800</v>
      </c>
      <c r="AI50" s="157"/>
      <c r="AJ50" s="157"/>
      <c r="AK50" s="194">
        <v>12</v>
      </c>
      <c r="AL50" s="17">
        <f t="shared" si="5"/>
        <v>330100</v>
      </c>
      <c r="AM50" s="162"/>
      <c r="AN50" s="157"/>
      <c r="AO50" s="157"/>
      <c r="AP50" s="157"/>
      <c r="AQ50" s="157"/>
      <c r="AR50" s="157"/>
      <c r="AS50" s="157"/>
      <c r="AT50" s="157"/>
      <c r="AU50" s="157"/>
      <c r="BH50" s="197">
        <v>44</v>
      </c>
      <c r="BI50" s="217">
        <f t="shared" si="6"/>
        <v>0</v>
      </c>
      <c r="BJ50" s="217">
        <f t="shared" si="1"/>
        <v>0</v>
      </c>
    </row>
    <row r="51" spans="2:62" s="163" customFormat="1" ht="12" customHeight="1">
      <c r="B51" s="186" t="s">
        <v>119</v>
      </c>
      <c r="C51" s="303">
        <v>10000</v>
      </c>
      <c r="D51" s="157"/>
      <c r="E51" s="157"/>
      <c r="F51" s="158"/>
      <c r="G51" s="186" t="s">
        <v>119</v>
      </c>
      <c r="H51" s="303">
        <v>10000</v>
      </c>
      <c r="I51" s="157"/>
      <c r="J51" s="157"/>
      <c r="K51" s="159"/>
      <c r="L51" s="186" t="s">
        <v>119</v>
      </c>
      <c r="M51" s="303">
        <v>10000</v>
      </c>
      <c r="N51" s="157"/>
      <c r="O51" s="157"/>
      <c r="P51" s="157"/>
      <c r="Q51" s="157"/>
      <c r="R51" s="194" t="s">
        <v>111</v>
      </c>
      <c r="S51" s="233">
        <f>ROUNDDOWN($C$3*S50,-3)</f>
        <v>23260000</v>
      </c>
      <c r="T51" s="222"/>
      <c r="U51" s="162"/>
      <c r="V51" s="194" t="s">
        <v>111</v>
      </c>
      <c r="W51" s="233">
        <f>ROUNDDOWN($C$3*W50,-3)</f>
        <v>23260000</v>
      </c>
      <c r="X51" s="222"/>
      <c r="Y51" s="162"/>
      <c r="Z51" s="194" t="s">
        <v>111</v>
      </c>
      <c r="AA51" s="233">
        <f>ROUNDDOWN($C$3*AA50,-3)</f>
        <v>23260000</v>
      </c>
      <c r="AB51" s="161"/>
      <c r="AC51" s="194">
        <v>13</v>
      </c>
      <c r="AD51" s="17">
        <f t="shared" si="2"/>
        <v>396200</v>
      </c>
      <c r="AE51" s="162"/>
      <c r="AF51" s="157"/>
      <c r="AG51" s="194">
        <v>13</v>
      </c>
      <c r="AH51" s="17">
        <f t="shared" si="4"/>
        <v>353800</v>
      </c>
      <c r="AI51" s="157"/>
      <c r="AJ51" s="157"/>
      <c r="AK51" s="194">
        <v>13</v>
      </c>
      <c r="AL51" s="17">
        <f t="shared" si="5"/>
        <v>330100</v>
      </c>
      <c r="AM51" s="162"/>
      <c r="AN51" s="157"/>
      <c r="AO51" s="157"/>
      <c r="AP51" s="157"/>
      <c r="AQ51" s="157"/>
      <c r="AR51" s="157"/>
      <c r="AS51" s="157"/>
      <c r="AT51" s="157"/>
      <c r="AU51" s="157"/>
      <c r="BH51" s="197">
        <v>45</v>
      </c>
      <c r="BI51" s="217">
        <f t="shared" si="6"/>
        <v>0</v>
      </c>
      <c r="BJ51" s="217">
        <f t="shared" si="1"/>
        <v>0</v>
      </c>
    </row>
    <row r="52" spans="2:62" s="163" customFormat="1" ht="12" customHeight="1">
      <c r="B52" s="157"/>
      <c r="C52" s="157"/>
      <c r="D52" s="157"/>
      <c r="E52" s="157"/>
      <c r="F52" s="158"/>
      <c r="G52" s="157"/>
      <c r="H52" s="157"/>
      <c r="I52" s="157"/>
      <c r="J52" s="157"/>
      <c r="K52" s="159"/>
      <c r="L52" s="157"/>
      <c r="M52" s="157"/>
      <c r="N52" s="157"/>
      <c r="O52" s="157"/>
      <c r="P52" s="157"/>
      <c r="Q52" s="157"/>
      <c r="R52" s="201" t="s">
        <v>112</v>
      </c>
      <c r="S52" s="201" t="str">
        <f>IF($C$14+$C$15&lt;S51,"N","Y")</f>
        <v>N</v>
      </c>
      <c r="T52" s="159"/>
      <c r="U52" s="162"/>
      <c r="V52" s="201" t="s">
        <v>112</v>
      </c>
      <c r="W52" s="201" t="str">
        <f>IF($H$14+$H$15&lt;W51,"N","Y")</f>
        <v>N</v>
      </c>
      <c r="X52" s="159"/>
      <c r="Y52" s="162"/>
      <c r="Z52" s="201" t="s">
        <v>112</v>
      </c>
      <c r="AA52" s="201" t="str">
        <f>IF($M$14+$M$15&lt;AA51,"N","Y")</f>
        <v>N</v>
      </c>
      <c r="AB52" s="161"/>
      <c r="AC52" s="194">
        <v>14</v>
      </c>
      <c r="AD52" s="17">
        <f t="shared" si="2"/>
        <v>396200</v>
      </c>
      <c r="AE52" s="162"/>
      <c r="AF52" s="157"/>
      <c r="AG52" s="194">
        <v>14</v>
      </c>
      <c r="AH52" s="17">
        <f t="shared" si="4"/>
        <v>353800</v>
      </c>
      <c r="AI52" s="157"/>
      <c r="AJ52" s="157"/>
      <c r="AK52" s="194">
        <v>14</v>
      </c>
      <c r="AL52" s="17">
        <f t="shared" si="5"/>
        <v>330100</v>
      </c>
      <c r="AM52" s="162"/>
      <c r="AN52" s="157"/>
      <c r="AO52" s="157"/>
      <c r="AP52" s="157"/>
      <c r="AQ52" s="157"/>
      <c r="AR52" s="157"/>
      <c r="AS52" s="157"/>
      <c r="AT52" s="157"/>
      <c r="AU52" s="157"/>
      <c r="BH52" s="197">
        <v>46</v>
      </c>
      <c r="BI52" s="217">
        <f t="shared" si="6"/>
        <v>0</v>
      </c>
      <c r="BJ52" s="217">
        <f t="shared" si="1"/>
        <v>0</v>
      </c>
    </row>
    <row r="53" spans="2:62" s="163" customFormat="1" ht="12" customHeight="1">
      <c r="B53" s="163" t="s">
        <v>121</v>
      </c>
      <c r="D53" s="157"/>
      <c r="E53" s="157"/>
      <c r="F53" s="221"/>
      <c r="G53" s="163" t="s">
        <v>121</v>
      </c>
      <c r="I53" s="157"/>
      <c r="J53" s="157"/>
      <c r="K53" s="222"/>
      <c r="L53" s="163" t="s">
        <v>121</v>
      </c>
      <c r="N53" s="157"/>
      <c r="O53" s="157"/>
      <c r="P53" s="157"/>
      <c r="Q53" s="157"/>
      <c r="R53" s="304" t="s">
        <v>113</v>
      </c>
      <c r="S53" s="305">
        <f>IF(S52="Y",0.3%,0)</f>
        <v>0</v>
      </c>
      <c r="T53" s="242"/>
      <c r="U53" s="162"/>
      <c r="V53" s="304" t="s">
        <v>113</v>
      </c>
      <c r="W53" s="305">
        <f>IF(W52="Y",0.3%,0)</f>
        <v>0</v>
      </c>
      <c r="X53" s="242"/>
      <c r="Y53" s="162"/>
      <c r="Z53" s="304" t="s">
        <v>113</v>
      </c>
      <c r="AA53" s="305">
        <f>IF(AA52="Y",0.3%,0)</f>
        <v>0</v>
      </c>
      <c r="AB53" s="161"/>
      <c r="AC53" s="194">
        <v>15</v>
      </c>
      <c r="AD53" s="17">
        <f t="shared" si="2"/>
        <v>396200</v>
      </c>
      <c r="AE53" s="162"/>
      <c r="AF53" s="157"/>
      <c r="AG53" s="194">
        <v>15</v>
      </c>
      <c r="AH53" s="17">
        <f t="shared" si="4"/>
        <v>353800</v>
      </c>
      <c r="AI53" s="157"/>
      <c r="AJ53" s="157"/>
      <c r="AK53" s="194">
        <v>15</v>
      </c>
      <c r="AL53" s="17">
        <f t="shared" si="5"/>
        <v>330100</v>
      </c>
      <c r="AM53" s="162"/>
      <c r="AN53" s="157"/>
      <c r="AO53" s="157"/>
      <c r="AP53" s="157"/>
      <c r="AQ53" s="157"/>
      <c r="AR53" s="157"/>
      <c r="AS53" s="157"/>
      <c r="AT53" s="157"/>
      <c r="AU53" s="157"/>
      <c r="BH53" s="197">
        <v>47</v>
      </c>
      <c r="BI53" s="217">
        <f t="shared" si="6"/>
        <v>0</v>
      </c>
      <c r="BJ53" s="217">
        <f t="shared" si="1"/>
        <v>0</v>
      </c>
    </row>
    <row r="54" spans="2:62" s="163" customFormat="1" ht="12" customHeight="1">
      <c r="B54" s="182" t="s">
        <v>122</v>
      </c>
      <c r="C54" s="307">
        <f>IF(D4="국산",13.5%,15%)</f>
        <v>0.13500000000000001</v>
      </c>
      <c r="D54" s="232">
        <f>ROUNDDOWN(C28*C54,0)</f>
        <v>3153034</v>
      </c>
      <c r="E54" s="21"/>
      <c r="F54" s="158"/>
      <c r="G54" s="182" t="s">
        <v>122</v>
      </c>
      <c r="H54" s="307">
        <f>IF(I4="국산",13.5%,15%)</f>
        <v>0.13500000000000001</v>
      </c>
      <c r="I54" s="232">
        <f>ROUNDDOWN(H28*H54,0)</f>
        <v>3153034</v>
      </c>
      <c r="J54" s="21"/>
      <c r="K54" s="159"/>
      <c r="L54" s="182" t="s">
        <v>122</v>
      </c>
      <c r="M54" s="307">
        <f>IF(N4="국산",13.5%,15%)</f>
        <v>0.13500000000000001</v>
      </c>
      <c r="N54" s="232">
        <f>ROUNDDOWN(M28*M54,0)</f>
        <v>3153034</v>
      </c>
      <c r="O54" s="21"/>
      <c r="P54" s="157"/>
      <c r="Q54" s="157"/>
      <c r="R54" s="161"/>
      <c r="S54" s="161"/>
      <c r="T54" s="162"/>
      <c r="U54" s="162"/>
      <c r="V54" s="161"/>
      <c r="W54" s="161"/>
      <c r="X54" s="162"/>
      <c r="Y54" s="162"/>
      <c r="Z54" s="161"/>
      <c r="AA54" s="161"/>
      <c r="AB54" s="161"/>
      <c r="AC54" s="194">
        <v>16</v>
      </c>
      <c r="AD54" s="17">
        <f t="shared" si="2"/>
        <v>396200</v>
      </c>
      <c r="AE54" s="162"/>
      <c r="AF54" s="157"/>
      <c r="AG54" s="194">
        <v>16</v>
      </c>
      <c r="AH54" s="17">
        <f t="shared" si="4"/>
        <v>353800</v>
      </c>
      <c r="AI54" s="157"/>
      <c r="AJ54" s="157"/>
      <c r="AK54" s="194">
        <v>16</v>
      </c>
      <c r="AL54" s="17">
        <f t="shared" si="5"/>
        <v>330100</v>
      </c>
      <c r="AM54" s="162"/>
      <c r="AN54" s="157"/>
      <c r="AO54" s="157"/>
      <c r="AP54" s="157"/>
      <c r="AQ54" s="157"/>
      <c r="AR54" s="157"/>
      <c r="AS54" s="157"/>
      <c r="AT54" s="157"/>
      <c r="AU54" s="157"/>
      <c r="BH54" s="197">
        <v>48</v>
      </c>
      <c r="BI54" s="217">
        <f t="shared" si="3"/>
        <v>0</v>
      </c>
      <c r="BJ54" s="217">
        <f t="shared" si="1"/>
        <v>0</v>
      </c>
    </row>
    <row r="55" spans="2:62" s="163" customFormat="1" ht="12" customHeight="1">
      <c r="B55" s="201" t="s">
        <v>123</v>
      </c>
      <c r="C55" s="201" t="b">
        <f>+IF(E48&gt;D54,FALSE,TRUE)</f>
        <v>1</v>
      </c>
      <c r="D55" s="201"/>
      <c r="E55" s="191"/>
      <c r="F55" s="158"/>
      <c r="G55" s="201" t="s">
        <v>123</v>
      </c>
      <c r="H55" s="201" t="b">
        <f>+IF(J48&gt;I54,FALSE,TRUE)</f>
        <v>1</v>
      </c>
      <c r="I55" s="201"/>
      <c r="J55" s="191"/>
      <c r="K55" s="159"/>
      <c r="L55" s="201" t="s">
        <v>123</v>
      </c>
      <c r="M55" s="201" t="b">
        <f>+IF(O48&gt;N54,FALSE,TRUE)</f>
        <v>1</v>
      </c>
      <c r="N55" s="201"/>
      <c r="O55" s="191"/>
      <c r="P55" s="157"/>
      <c r="Q55" s="157"/>
      <c r="R55" s="182" t="s">
        <v>117</v>
      </c>
      <c r="S55" s="243">
        <v>1</v>
      </c>
      <c r="T55" s="244"/>
      <c r="U55" s="162"/>
      <c r="V55" s="182" t="s">
        <v>117</v>
      </c>
      <c r="W55" s="243">
        <v>1</v>
      </c>
      <c r="X55" s="244"/>
      <c r="Y55" s="162"/>
      <c r="Z55" s="182" t="s">
        <v>117</v>
      </c>
      <c r="AA55" s="243">
        <v>1</v>
      </c>
      <c r="AB55" s="157"/>
      <c r="AC55" s="194">
        <v>17</v>
      </c>
      <c r="AD55" s="17">
        <f t="shared" si="2"/>
        <v>396200</v>
      </c>
      <c r="AE55" s="162"/>
      <c r="AF55" s="157"/>
      <c r="AG55" s="194">
        <v>17</v>
      </c>
      <c r="AH55" s="17">
        <f t="shared" si="4"/>
        <v>353800</v>
      </c>
      <c r="AI55" s="157"/>
      <c r="AJ55" s="157"/>
      <c r="AK55" s="194">
        <v>17</v>
      </c>
      <c r="AL55" s="17">
        <f t="shared" si="5"/>
        <v>330100</v>
      </c>
      <c r="AM55" s="162"/>
      <c r="AN55" s="157"/>
      <c r="AO55" s="157"/>
      <c r="AP55" s="157"/>
      <c r="AQ55" s="157"/>
      <c r="AR55" s="157"/>
      <c r="AS55" s="157"/>
      <c r="AT55" s="157"/>
      <c r="AU55" s="157"/>
      <c r="BH55" s="197">
        <v>49</v>
      </c>
      <c r="BI55" s="217">
        <f t="shared" si="3"/>
        <v>0</v>
      </c>
      <c r="BJ55" s="217">
        <f t="shared" si="1"/>
        <v>0</v>
      </c>
    </row>
    <row r="56" spans="2:62" s="163" customFormat="1" ht="12" customHeight="1">
      <c r="B56" s="157"/>
      <c r="C56" s="157"/>
      <c r="D56" s="157"/>
      <c r="E56" s="157"/>
      <c r="F56" s="158"/>
      <c r="G56" s="157"/>
      <c r="H56" s="157"/>
      <c r="I56" s="157"/>
      <c r="J56" s="157"/>
      <c r="K56" s="159"/>
      <c r="L56" s="157"/>
      <c r="M56" s="157"/>
      <c r="N56" s="157"/>
      <c r="O56" s="157"/>
      <c r="P56" s="157"/>
      <c r="Q56" s="157"/>
      <c r="R56" s="194" t="s">
        <v>111</v>
      </c>
      <c r="S56" s="233">
        <f>ROUNDDOWN($C$3*S55,-3)</f>
        <v>23260000</v>
      </c>
      <c r="T56" s="222"/>
      <c r="U56" s="162"/>
      <c r="V56" s="194" t="s">
        <v>111</v>
      </c>
      <c r="W56" s="233">
        <f>ROUNDDOWN($C$3*W55,-3)</f>
        <v>23260000</v>
      </c>
      <c r="X56" s="222"/>
      <c r="Y56" s="162"/>
      <c r="Z56" s="194" t="s">
        <v>111</v>
      </c>
      <c r="AA56" s="233">
        <f>ROUNDDOWN($C$3*AA55,-3)</f>
        <v>23260000</v>
      </c>
      <c r="AB56" s="157"/>
      <c r="AC56" s="194">
        <v>18</v>
      </c>
      <c r="AD56" s="17">
        <f t="shared" si="2"/>
        <v>396200</v>
      </c>
      <c r="AE56" s="162"/>
      <c r="AF56" s="157"/>
      <c r="AG56" s="194">
        <v>18</v>
      </c>
      <c r="AH56" s="17">
        <f t="shared" si="4"/>
        <v>353800</v>
      </c>
      <c r="AI56" s="157"/>
      <c r="AJ56" s="157"/>
      <c r="AK56" s="194">
        <v>18</v>
      </c>
      <c r="AL56" s="17">
        <f t="shared" si="5"/>
        <v>330100</v>
      </c>
      <c r="AM56" s="162"/>
      <c r="AN56" s="157"/>
      <c r="AO56" s="157"/>
      <c r="AP56" s="157"/>
      <c r="AQ56" s="157"/>
      <c r="AR56" s="157"/>
      <c r="AS56" s="157"/>
      <c r="AT56" s="157"/>
      <c r="AU56" s="157"/>
      <c r="BH56" s="197">
        <v>50</v>
      </c>
      <c r="BI56" s="217">
        <f t="shared" si="3"/>
        <v>0</v>
      </c>
      <c r="BJ56" s="217">
        <f t="shared" si="1"/>
        <v>0</v>
      </c>
    </row>
    <row r="57" spans="2:62" s="163" customFormat="1" ht="12" customHeight="1">
      <c r="B57" s="292" t="s">
        <v>124</v>
      </c>
      <c r="C57" s="157"/>
      <c r="D57" s="157"/>
      <c r="E57" s="157"/>
      <c r="F57" s="293"/>
      <c r="G57" s="292" t="s">
        <v>124</v>
      </c>
      <c r="H57" s="157"/>
      <c r="I57" s="157"/>
      <c r="J57" s="157"/>
      <c r="K57" s="169"/>
      <c r="L57" s="292" t="s">
        <v>124</v>
      </c>
      <c r="M57" s="157"/>
      <c r="N57" s="157"/>
      <c r="O57" s="157"/>
      <c r="P57" s="157"/>
      <c r="Q57" s="157"/>
      <c r="R57" s="201" t="s">
        <v>112</v>
      </c>
      <c r="S57" s="201" t="str">
        <f>IF($C$14+$C$15&lt;S56,"N","Y")</f>
        <v>N</v>
      </c>
      <c r="T57" s="159"/>
      <c r="U57" s="162"/>
      <c r="V57" s="201" t="s">
        <v>112</v>
      </c>
      <c r="W57" s="201" t="str">
        <f>IF($H$14+$H$15&lt;W56,"N","Y")</f>
        <v>N</v>
      </c>
      <c r="X57" s="159"/>
      <c r="Y57" s="162"/>
      <c r="Z57" s="201" t="s">
        <v>112</v>
      </c>
      <c r="AA57" s="201" t="str">
        <f>IF($M$14+$M$15&lt;AA56,"N","Y")</f>
        <v>N</v>
      </c>
      <c r="AB57" s="157"/>
      <c r="AC57" s="194">
        <v>19</v>
      </c>
      <c r="AD57" s="17">
        <f t="shared" si="2"/>
        <v>396200</v>
      </c>
      <c r="AE57" s="162"/>
      <c r="AF57" s="157"/>
      <c r="AG57" s="194">
        <v>19</v>
      </c>
      <c r="AH57" s="17">
        <f t="shared" si="4"/>
        <v>353800</v>
      </c>
      <c r="AI57" s="157"/>
      <c r="AJ57" s="157"/>
      <c r="AK57" s="194">
        <v>19</v>
      </c>
      <c r="AL57" s="17">
        <f t="shared" si="5"/>
        <v>330100</v>
      </c>
      <c r="AM57" s="162"/>
      <c r="AN57" s="157"/>
      <c r="AO57" s="157"/>
      <c r="AP57" s="157"/>
      <c r="AQ57" s="157"/>
      <c r="AR57" s="157"/>
      <c r="AS57" s="157"/>
      <c r="AT57" s="157"/>
      <c r="AU57" s="157"/>
      <c r="BH57" s="197">
        <v>51</v>
      </c>
      <c r="BI57" s="217">
        <f t="shared" si="3"/>
        <v>0</v>
      </c>
      <c r="BJ57" s="217">
        <f t="shared" si="1"/>
        <v>0</v>
      </c>
    </row>
    <row r="58" spans="2:62" s="163" customFormat="1" ht="12" customHeight="1">
      <c r="B58" s="186" t="s">
        <v>122</v>
      </c>
      <c r="C58" s="308">
        <f>IF(C54-(SUM(E40:E47)/C28)&gt;E58,E58,C54-(SUM(E40:E47)/C28))</f>
        <v>0.12242707446241428</v>
      </c>
      <c r="D58" s="157" t="s">
        <v>1252</v>
      </c>
      <c r="E58" s="160">
        <f>IF(C20="한성자동차",14%,IF(C20="KCC오토",14%,IF(C20="모터원",14%,13%)))</f>
        <v>0.13</v>
      </c>
      <c r="F58" s="158"/>
      <c r="G58" s="186" t="s">
        <v>122</v>
      </c>
      <c r="H58" s="308">
        <f>IF(H54-(SUM(J40:J47)/H28)&gt;J58,J58,H54-(SUM(J40:J47)/H28))</f>
        <v>0.12242707446241428</v>
      </c>
      <c r="I58" s="157" t="s">
        <v>1252</v>
      </c>
      <c r="J58" s="160">
        <f>IF(H20="한성자동차",14%,IF(H20="KCC오토",14%,IF(H20="모터원",14%,13%)))</f>
        <v>0.13</v>
      </c>
      <c r="K58" s="159"/>
      <c r="L58" s="186" t="s">
        <v>122</v>
      </c>
      <c r="M58" s="308">
        <f>IF(M54-(SUM(O40:O47)/M28)&gt;O58,O58,M54-(SUM(O40:O47)/M28))</f>
        <v>0.12242707446241428</v>
      </c>
      <c r="N58" s="157" t="s">
        <v>1252</v>
      </c>
      <c r="O58" s="160">
        <f>IF(M20="한성자동차",14%,IF(M20="KCC오토",14%,IF(M20="모터원",14%,13%)))</f>
        <v>0.13</v>
      </c>
      <c r="P58" s="157"/>
      <c r="Q58" s="157"/>
      <c r="R58" s="304" t="s">
        <v>113</v>
      </c>
      <c r="S58" s="305">
        <f>IF(S57="Y",0.5%,0)</f>
        <v>0</v>
      </c>
      <c r="T58" s="242"/>
      <c r="U58" s="162"/>
      <c r="V58" s="304" t="s">
        <v>113</v>
      </c>
      <c r="W58" s="305">
        <f>IF(W57="Y",0.5%,0)</f>
        <v>0</v>
      </c>
      <c r="X58" s="242"/>
      <c r="Y58" s="162"/>
      <c r="Z58" s="304" t="s">
        <v>113</v>
      </c>
      <c r="AA58" s="305">
        <f>IF(AA57="Y",0.5%,0)</f>
        <v>0</v>
      </c>
      <c r="AB58" s="157"/>
      <c r="AC58" s="194">
        <v>20</v>
      </c>
      <c r="AD58" s="17">
        <f t="shared" si="2"/>
        <v>396200</v>
      </c>
      <c r="AE58" s="162"/>
      <c r="AF58" s="157"/>
      <c r="AG58" s="194">
        <v>20</v>
      </c>
      <c r="AH58" s="17">
        <f t="shared" si="4"/>
        <v>353800</v>
      </c>
      <c r="AI58" s="157"/>
      <c r="AJ58" s="157"/>
      <c r="AK58" s="194">
        <v>20</v>
      </c>
      <c r="AL58" s="17">
        <f t="shared" si="5"/>
        <v>330100</v>
      </c>
      <c r="AM58" s="162"/>
      <c r="AN58" s="157"/>
      <c r="AO58" s="157"/>
      <c r="AP58" s="157"/>
      <c r="AQ58" s="157"/>
      <c r="AR58" s="157"/>
      <c r="AS58" s="157"/>
      <c r="AT58" s="157"/>
      <c r="AU58" s="157"/>
      <c r="BH58" s="197">
        <v>52</v>
      </c>
      <c r="BI58" s="217">
        <f t="shared" si="3"/>
        <v>0</v>
      </c>
      <c r="BJ58" s="217">
        <f t="shared" si="1"/>
        <v>0</v>
      </c>
    </row>
    <row r="59" spans="2:62" s="163" customFormat="1" ht="12" customHeight="1">
      <c r="B59" s="157"/>
      <c r="C59" s="157"/>
      <c r="D59" s="157"/>
      <c r="E59" s="157"/>
      <c r="F59" s="158"/>
      <c r="K59" s="159"/>
      <c r="L59" s="157"/>
      <c r="M59" s="157"/>
      <c r="N59" s="157"/>
      <c r="O59" s="157"/>
      <c r="P59" s="157"/>
      <c r="Q59" s="157"/>
      <c r="R59" s="161"/>
      <c r="S59" s="161"/>
      <c r="T59" s="162"/>
      <c r="U59" s="159"/>
      <c r="V59" s="161"/>
      <c r="W59" s="161"/>
      <c r="X59" s="162"/>
      <c r="Y59" s="159"/>
      <c r="Z59" s="161"/>
      <c r="AA59" s="161"/>
      <c r="AB59" s="157"/>
      <c r="AC59" s="194">
        <v>21</v>
      </c>
      <c r="AD59" s="17">
        <f t="shared" si="2"/>
        <v>396200</v>
      </c>
      <c r="AE59" s="162"/>
      <c r="AF59" s="157"/>
      <c r="AG59" s="194">
        <v>21</v>
      </c>
      <c r="AH59" s="17">
        <f t="shared" si="4"/>
        <v>353800</v>
      </c>
      <c r="AI59" s="157"/>
      <c r="AJ59" s="157"/>
      <c r="AK59" s="194">
        <v>21</v>
      </c>
      <c r="AL59" s="17">
        <f t="shared" si="5"/>
        <v>330100</v>
      </c>
      <c r="AM59" s="162"/>
      <c r="AN59" s="157"/>
      <c r="AO59" s="157"/>
      <c r="AP59" s="157"/>
      <c r="AQ59" s="157"/>
      <c r="AR59" s="157"/>
      <c r="AS59" s="157"/>
      <c r="AT59" s="157"/>
      <c r="AU59" s="157"/>
      <c r="BH59" s="197">
        <v>53</v>
      </c>
      <c r="BI59" s="217">
        <f t="shared" si="3"/>
        <v>0</v>
      </c>
      <c r="BJ59" s="217">
        <f t="shared" si="1"/>
        <v>0</v>
      </c>
    </row>
    <row r="60" spans="2:62" s="163" customFormat="1" ht="12" customHeight="1">
      <c r="B60" s="186" t="s">
        <v>303</v>
      </c>
      <c r="C60" s="676">
        <f>'AG 입력시트'!S13</f>
        <v>0</v>
      </c>
      <c r="D60" s="713"/>
      <c r="E60" s="157"/>
      <c r="F60" s="158"/>
      <c r="G60" s="186" t="s">
        <v>303</v>
      </c>
      <c r="H60" s="632">
        <f>+'AG 입력시트'!S13+H63</f>
        <v>0</v>
      </c>
      <c r="I60" s="157"/>
      <c r="J60" s="157"/>
      <c r="K60" s="159"/>
      <c r="L60" s="186" t="s">
        <v>303</v>
      </c>
      <c r="M60" s="632">
        <f>+'AG 입력시트'!S13+M63</f>
        <v>0</v>
      </c>
      <c r="N60" s="157"/>
      <c r="O60" s="157"/>
      <c r="P60" s="157"/>
      <c r="Q60" s="157"/>
      <c r="R60" s="182" t="s">
        <v>120</v>
      </c>
      <c r="S60" s="243">
        <v>1</v>
      </c>
      <c r="T60" s="244"/>
      <c r="U60" s="159"/>
      <c r="V60" s="182" t="s">
        <v>120</v>
      </c>
      <c r="W60" s="243">
        <v>1</v>
      </c>
      <c r="X60" s="244"/>
      <c r="Y60" s="159"/>
      <c r="Z60" s="182" t="s">
        <v>120</v>
      </c>
      <c r="AA60" s="243">
        <v>1</v>
      </c>
      <c r="AB60" s="157"/>
      <c r="AC60" s="194">
        <v>22</v>
      </c>
      <c r="AD60" s="17">
        <f t="shared" si="2"/>
        <v>396200</v>
      </c>
      <c r="AE60" s="162"/>
      <c r="AF60" s="157"/>
      <c r="AG60" s="194">
        <v>22</v>
      </c>
      <c r="AH60" s="17">
        <f t="shared" si="4"/>
        <v>353800</v>
      </c>
      <c r="AI60" s="157"/>
      <c r="AJ60" s="157"/>
      <c r="AK60" s="194">
        <v>22</v>
      </c>
      <c r="AL60" s="17">
        <f t="shared" si="5"/>
        <v>330100</v>
      </c>
      <c r="AM60" s="162"/>
      <c r="AN60" s="157"/>
      <c r="AO60" s="157"/>
      <c r="AP60" s="157"/>
      <c r="AQ60" s="157"/>
      <c r="AR60" s="157"/>
      <c r="AS60" s="157"/>
      <c r="AT60" s="157"/>
      <c r="AU60" s="157"/>
      <c r="BH60" s="197">
        <v>54</v>
      </c>
      <c r="BI60" s="217">
        <f t="shared" si="3"/>
        <v>0</v>
      </c>
      <c r="BJ60" s="217">
        <f t="shared" si="1"/>
        <v>0</v>
      </c>
    </row>
    <row r="61" spans="2:62" s="163" customFormat="1" ht="12" customHeight="1">
      <c r="B61" s="186"/>
      <c r="C61" s="312"/>
      <c r="D61" s="157"/>
      <c r="E61" s="157"/>
      <c r="F61" s="158"/>
      <c r="G61" s="186"/>
      <c r="H61" s="312"/>
      <c r="I61" s="157"/>
      <c r="J61" s="157"/>
      <c r="K61" s="159"/>
      <c r="L61" s="186"/>
      <c r="M61" s="312"/>
      <c r="N61" s="157"/>
      <c r="O61" s="157"/>
      <c r="P61" s="157"/>
      <c r="Q61" s="157"/>
      <c r="R61" s="194" t="s">
        <v>111</v>
      </c>
      <c r="S61" s="233">
        <f>ROUNDDOWN($C$3*S60,-3)</f>
        <v>23260000</v>
      </c>
      <c r="T61" s="222"/>
      <c r="U61" s="159"/>
      <c r="V61" s="194" t="s">
        <v>111</v>
      </c>
      <c r="W61" s="233">
        <f>ROUNDDOWN($C$3*W60,-3)</f>
        <v>23260000</v>
      </c>
      <c r="X61" s="222"/>
      <c r="Y61" s="159"/>
      <c r="Z61" s="194" t="s">
        <v>111</v>
      </c>
      <c r="AA61" s="233">
        <f>ROUNDDOWN($C$3*AA60,-3)</f>
        <v>23260000</v>
      </c>
      <c r="AB61" s="157"/>
      <c r="AC61" s="194">
        <v>23</v>
      </c>
      <c r="AD61" s="17">
        <f t="shared" si="2"/>
        <v>396200</v>
      </c>
      <c r="AE61" s="162"/>
      <c r="AF61" s="157"/>
      <c r="AG61" s="194">
        <v>23</v>
      </c>
      <c r="AH61" s="17">
        <f t="shared" si="4"/>
        <v>353800</v>
      </c>
      <c r="AI61" s="157"/>
      <c r="AJ61" s="157"/>
      <c r="AK61" s="194">
        <v>23</v>
      </c>
      <c r="AL61" s="17">
        <f t="shared" si="5"/>
        <v>330100</v>
      </c>
      <c r="AM61" s="162"/>
      <c r="AN61" s="157"/>
      <c r="AO61" s="157"/>
      <c r="AP61" s="157"/>
      <c r="AQ61" s="157"/>
      <c r="AR61" s="157"/>
      <c r="AS61" s="157"/>
      <c r="AT61" s="157"/>
      <c r="AU61" s="157"/>
      <c r="BH61" s="197">
        <v>55</v>
      </c>
      <c r="BI61" s="217">
        <f t="shared" si="3"/>
        <v>0</v>
      </c>
      <c r="BJ61" s="217">
        <f t="shared" si="1"/>
        <v>0</v>
      </c>
    </row>
    <row r="62" spans="2:62" s="163" customFormat="1" ht="12" customHeight="1">
      <c r="B62" s="182"/>
      <c r="C62" s="312"/>
      <c r="D62" s="157"/>
      <c r="E62" s="157"/>
      <c r="F62" s="158"/>
      <c r="G62" s="186"/>
      <c r="H62" s="312"/>
      <c r="I62" s="157"/>
      <c r="J62" s="157"/>
      <c r="K62" s="159"/>
      <c r="L62" s="186"/>
      <c r="M62" s="312"/>
      <c r="N62" s="157"/>
      <c r="O62" s="157"/>
      <c r="P62" s="157"/>
      <c r="Q62" s="157"/>
      <c r="R62" s="201" t="s">
        <v>112</v>
      </c>
      <c r="S62" s="201" t="str">
        <f>IF($C$14+$C$15&lt;S61,"N","Y")</f>
        <v>N</v>
      </c>
      <c r="T62" s="159"/>
      <c r="U62" s="159"/>
      <c r="V62" s="201" t="s">
        <v>112</v>
      </c>
      <c r="W62" s="201" t="str">
        <f>IF($H$14+$H$15&lt;W61,"N","Y")</f>
        <v>N</v>
      </c>
      <c r="X62" s="159"/>
      <c r="Y62" s="159"/>
      <c r="Z62" s="201" t="s">
        <v>112</v>
      </c>
      <c r="AA62" s="201" t="str">
        <f>IF($M$14+$M$15&lt;AA61,"N","Y")</f>
        <v>N</v>
      </c>
      <c r="AB62" s="157"/>
      <c r="AC62" s="194">
        <v>24</v>
      </c>
      <c r="AD62" s="17">
        <f t="shared" si="2"/>
        <v>396200</v>
      </c>
      <c r="AE62" s="162"/>
      <c r="AF62" s="157"/>
      <c r="AG62" s="194">
        <v>24</v>
      </c>
      <c r="AH62" s="17">
        <f t="shared" si="4"/>
        <v>353800</v>
      </c>
      <c r="AI62" s="157"/>
      <c r="AJ62" s="157"/>
      <c r="AK62" s="194">
        <v>24</v>
      </c>
      <c r="AL62" s="17">
        <f t="shared" si="5"/>
        <v>330100</v>
      </c>
      <c r="AM62" s="162"/>
      <c r="AN62" s="157"/>
      <c r="AO62" s="157"/>
      <c r="AP62" s="157"/>
      <c r="AQ62" s="157"/>
      <c r="AR62" s="157"/>
      <c r="AS62" s="157"/>
      <c r="AT62" s="157"/>
      <c r="AU62" s="157"/>
      <c r="BH62" s="197">
        <v>56</v>
      </c>
      <c r="BI62" s="217">
        <f t="shared" si="3"/>
        <v>0</v>
      </c>
      <c r="BJ62" s="217">
        <f t="shared" si="1"/>
        <v>0</v>
      </c>
    </row>
    <row r="63" spans="2:62" s="163" customFormat="1" ht="12" customHeight="1">
      <c r="B63" s="186"/>
      <c r="C63" s="312"/>
      <c r="D63" s="157"/>
      <c r="E63" s="157"/>
      <c r="F63" s="158"/>
      <c r="G63" s="186"/>
      <c r="H63" s="312"/>
      <c r="I63" s="157"/>
      <c r="J63" s="157"/>
      <c r="K63" s="159"/>
      <c r="L63" s="186"/>
      <c r="M63" s="312"/>
      <c r="N63" s="157"/>
      <c r="O63" s="157"/>
      <c r="P63" s="157"/>
      <c r="Q63" s="157"/>
      <c r="AB63" s="157"/>
      <c r="AC63" s="194">
        <v>25</v>
      </c>
      <c r="AD63" s="17">
        <f t="shared" si="2"/>
        <v>396200</v>
      </c>
      <c r="AE63" s="162"/>
      <c r="AF63" s="157"/>
      <c r="AG63" s="194">
        <v>25</v>
      </c>
      <c r="AH63" s="17">
        <f t="shared" si="4"/>
        <v>353800</v>
      </c>
      <c r="AI63" s="157"/>
      <c r="AJ63" s="157"/>
      <c r="AK63" s="194">
        <v>25</v>
      </c>
      <c r="AL63" s="17">
        <f t="shared" si="5"/>
        <v>330100</v>
      </c>
      <c r="AM63" s="162"/>
      <c r="AN63" s="157"/>
      <c r="AO63" s="157"/>
      <c r="AP63" s="157"/>
      <c r="AQ63" s="157"/>
      <c r="AR63" s="157"/>
      <c r="AS63" s="157"/>
      <c r="AT63" s="157"/>
      <c r="AU63" s="157"/>
      <c r="BH63" s="197">
        <v>57</v>
      </c>
      <c r="BI63" s="217">
        <f t="shared" si="3"/>
        <v>0</v>
      </c>
      <c r="BJ63" s="217">
        <f t="shared" si="1"/>
        <v>0</v>
      </c>
    </row>
    <row r="64" spans="2:62" s="163" customFormat="1" ht="12" customHeight="1">
      <c r="B64" s="157"/>
      <c r="C64" s="157"/>
      <c r="D64" s="157"/>
      <c r="E64" s="157"/>
      <c r="F64" s="157"/>
      <c r="G64" s="157"/>
      <c r="H64" s="157"/>
      <c r="I64" s="157"/>
      <c r="J64" s="157"/>
      <c r="K64" s="157"/>
      <c r="L64" s="159"/>
      <c r="M64" s="159"/>
      <c r="N64" s="157"/>
      <c r="O64" s="157"/>
      <c r="P64" s="157"/>
      <c r="Q64" s="157"/>
      <c r="R64" s="1932" t="s">
        <v>1013</v>
      </c>
      <c r="S64" s="1932"/>
      <c r="V64" s="1932" t="s">
        <v>1013</v>
      </c>
      <c r="W64" s="1932"/>
      <c r="Z64" s="1932" t="s">
        <v>1013</v>
      </c>
      <c r="AA64" s="1932"/>
      <c r="AB64" s="157"/>
      <c r="AC64" s="194">
        <v>26</v>
      </c>
      <c r="AD64" s="17">
        <f t="shared" si="2"/>
        <v>396200</v>
      </c>
      <c r="AE64" s="162"/>
      <c r="AF64" s="157"/>
      <c r="AG64" s="194">
        <v>26</v>
      </c>
      <c r="AH64" s="17">
        <f t="shared" si="4"/>
        <v>353800</v>
      </c>
      <c r="AI64" s="157"/>
      <c r="AJ64" s="157"/>
      <c r="AK64" s="194">
        <v>26</v>
      </c>
      <c r="AL64" s="17">
        <f t="shared" si="5"/>
        <v>330100</v>
      </c>
      <c r="AM64" s="162"/>
      <c r="AN64" s="157"/>
      <c r="AO64" s="157"/>
      <c r="AP64" s="157"/>
      <c r="AQ64" s="157"/>
      <c r="AS64" s="157"/>
      <c r="AT64" s="157"/>
      <c r="AU64" s="157"/>
      <c r="BH64" s="197">
        <v>58</v>
      </c>
      <c r="BI64" s="217">
        <f t="shared" si="3"/>
        <v>0</v>
      </c>
      <c r="BJ64" s="217">
        <f t="shared" si="1"/>
        <v>0</v>
      </c>
    </row>
    <row r="65" spans="1:62" s="163" customFormat="1" ht="12" customHeight="1">
      <c r="B65" s="186" t="s">
        <v>1001</v>
      </c>
      <c r="C65" s="295">
        <f>(운용리스_비교!$AR$11+운용리스_비교!$BE$12)/1.1715*5%</f>
        <v>992744.34485702089</v>
      </c>
      <c r="D65" s="157"/>
      <c r="E65" s="157"/>
      <c r="F65" s="157"/>
      <c r="G65" s="186" t="s">
        <v>715</v>
      </c>
      <c r="H65" s="303">
        <f>(운용리스_비교!$AR$11+운용리스_비교!$BE$12)/1.1715*5%</f>
        <v>992744.34485702089</v>
      </c>
      <c r="I65" s="157"/>
      <c r="J65" s="157"/>
      <c r="K65" s="157"/>
      <c r="L65" s="186" t="s">
        <v>1009</v>
      </c>
      <c r="M65" s="303">
        <f>(운용리스_비교!$AR$11+운용리스_비교!$BE$12)/1.1715*5%</f>
        <v>992744.34485702089</v>
      </c>
      <c r="N65" s="157"/>
      <c r="O65" s="157"/>
      <c r="P65" s="157"/>
      <c r="Q65" s="157"/>
      <c r="R65" s="1107" t="s">
        <v>1014</v>
      </c>
      <c r="S65" s="1108" t="str">
        <f>운용리스_비교!$AR$7</f>
        <v>레이_(가솔린)</v>
      </c>
      <c r="T65" s="159" t="str">
        <f>+IF(AND(운용리스_비교!$AR$48="BENZ_일반",LEFT(S65,2)="E "),"Y",IF(AND(운용리스_비교!$AR$48="BENZ_일반",RIGHT(S65,10)="4M (4door)"),"Y",IF(AND(운용리스_비교!$AR$48="BENZ_일반",LEFT(S65,5)="S 450"),"Y",IF(AND(운용리스_비교!$AR$48="BENZ_일반",LEFT(S65,5)="S 500"),"Y","N"))))</f>
        <v>N</v>
      </c>
      <c r="U65" s="159"/>
      <c r="V65" s="1107" t="s">
        <v>1014</v>
      </c>
      <c r="W65" s="1108" t="str">
        <f>운용리스_비교!$AR$7</f>
        <v>레이_(가솔린)</v>
      </c>
      <c r="X65" s="159" t="str">
        <f>+IF(AND(운용리스_비교!$AR$48="BENZ_일반",LEFT(W65,2)="E "),"Y",IF(AND(운용리스_비교!$AR$48="BENZ_일반",RIGHT(W65,10)="4M (4door)"),"Y",IF(AND(운용리스_비교!$AR$48="BENZ_일반",LEFT(W65,5)="S 450"),"Y",IF(AND(운용리스_비교!$AR$48="BENZ_일반",LEFT(W65,5)="S 500"),"Y","N"))))</f>
        <v>N</v>
      </c>
      <c r="Z65" s="1107" t="s">
        <v>1014</v>
      </c>
      <c r="AA65" s="1108" t="str">
        <f>운용리스_비교!$AR$7</f>
        <v>레이_(가솔린)</v>
      </c>
      <c r="AB65" s="159" t="str">
        <f>+IF(AND(운용리스_비교!$AR$48="BENZ_일반",LEFT(AA65,2)="E "),"Y",IF(AND(운용리스_비교!$AR$48="BENZ_일반",RIGHT(AA65,10)="4M (4door)"),"Y",IF(AND(운용리스_비교!$AR$48="BENZ_일반",LEFT(AA65,5)="S 450"),"Y",IF(AND(운용리스_비교!$AR$48="BENZ_일반",LEFT(AA65,5)="S 500"),"Y","N"))))</f>
        <v>N</v>
      </c>
      <c r="AC65" s="194">
        <v>27</v>
      </c>
      <c r="AD65" s="17">
        <f t="shared" si="2"/>
        <v>396200</v>
      </c>
      <c r="AE65" s="306"/>
      <c r="AG65" s="194">
        <v>27</v>
      </c>
      <c r="AH65" s="17">
        <f t="shared" si="4"/>
        <v>353800</v>
      </c>
      <c r="AK65" s="194">
        <v>27</v>
      </c>
      <c r="AL65" s="17">
        <f t="shared" si="5"/>
        <v>330100</v>
      </c>
      <c r="AM65" s="306"/>
      <c r="AT65" s="157"/>
      <c r="AU65" s="157"/>
      <c r="BH65" s="197">
        <v>59</v>
      </c>
      <c r="BI65" s="217">
        <f t="shared" si="3"/>
        <v>0</v>
      </c>
      <c r="BJ65" s="217">
        <f t="shared" si="1"/>
        <v>0</v>
      </c>
    </row>
    <row r="66" spans="1:62" s="163" customFormat="1" ht="12" customHeight="1">
      <c r="B66" s="186" t="s">
        <v>1002</v>
      </c>
      <c r="C66" s="295">
        <f>(운용리스_비교!$AR$11+운용리스_비교!$BE$12)/1.1715*5% -IF(RIGHT(운용리스_비교!$AR$7,6)="하이브리드)",1000000)</f>
        <v>992744.34485702089</v>
      </c>
      <c r="D66" s="157"/>
      <c r="E66" s="157"/>
      <c r="F66" s="157"/>
      <c r="G66" s="186" t="s">
        <v>716</v>
      </c>
      <c r="H66" s="303">
        <f>(운용리스_비교!$AR$11+운용리스_비교!$BE$12)/1.1715*5% -IF(RIGHT(운용리스_비교!$AR$7,6)="하이브리드)",1000000)</f>
        <v>992744.34485702089</v>
      </c>
      <c r="I66" s="157"/>
      <c r="J66" s="157"/>
      <c r="K66" s="157"/>
      <c r="L66" s="186" t="s">
        <v>1010</v>
      </c>
      <c r="M66" s="303">
        <f>(운용리스_비교!$AR$11+운용리스_비교!$BE$12)/1.1715*5% -IF(RIGHT(운용리스_비교!$AR$7,6)="하이브리드)",1000000)</f>
        <v>992744.34485702089</v>
      </c>
      <c r="N66" s="157"/>
      <c r="O66" s="157"/>
      <c r="P66" s="157"/>
      <c r="Q66" s="157"/>
      <c r="R66" s="1109" t="s">
        <v>1153</v>
      </c>
      <c r="S66" s="1110">
        <f>IF(AND(SUM(D39,D40,D43,D46)&gt;=7.0000001%,D4="수입",T66="A"),0.2%,IF(AND(SUM(D39,D40,D43,D46)&gt;=7.0000001%,D4="수입",T66="B"),0.2%,IF(AND(SUM(D39,D40,D43,D46)&gt;=7.0000001%,D4="수입",T66="C"),0.2%,IF(AND(SUM(D39,D40,D43,D46)&gt;=7.0000001%,D4="국산"),0.2%,0%))))+IF(AND(SUM(D39,D40,D43,D46)&gt;=10.0000001%,D4="수입",T66="A"),0.2%,IF(AND(SUM(D39,D40,D43,D46)&gt;=10.0000001%,D4="수입",T66="B"),0.2%,IF(AND(SUM(D39,D40,D43,D46)&gt;=1%,D4="수입",T66="C"),0.2%)))+IF(AND(SUM(D39,D40,D43,D46)&gt;=7.0000001%,D4="국산",C13=60),0.1%,0%)</f>
        <v>0</v>
      </c>
      <c r="T66" s="159" t="str">
        <f>+VLOOKUP(운용리스_비교!$AR$6,차량정보!$Z$4:$AA$41,2,0)</f>
        <v>국산</v>
      </c>
      <c r="U66" s="159"/>
      <c r="V66" s="1109" t="s">
        <v>1153</v>
      </c>
      <c r="W66" s="1110">
        <f>IF(AND(SUM(I39,I40,I43,I46)&gt;=7.0000001%,I4="수입",X66="A"),0.2%,IF(AND(SUM(I39,I40,I43,I46)&gt;=7.0000001%,I4="수입",X66="B"),0.2%,IF(AND(SUM(I39,I40,I43,I46)&gt;=7.0000001%,I4="수입",X66="C"),0.2%,IF(AND(SUM(I39,I40,I43,I46)&gt;=7.0000001%,I4="국산"),0.2%,0%))))+IF(AND(SUM(I39,I40,I43,I46)&gt;=10.0000001%,I4="수입",X66="A"),0.2%,IF(AND(SUM(I39,I40,I43,I46)&gt;=10.0000001%,I4="수입",X66="B"),0.2%,IF(AND(SUM(I39,I40,I43,I46)&gt;=10.0000001%,I4="수입",X66="C"),0.2%)))
+IF(AND(SUM(I39,I40,I43,I46)&gt;=7.0000001%,I4="국산",H13=60),0.1%,0%)</f>
        <v>0</v>
      </c>
      <c r="X66" s="159" t="str">
        <f>+VLOOKUP(운용리스_비교!$AR$6,차량정보!$Z$4:$AA$41,2,0)</f>
        <v>국산</v>
      </c>
      <c r="Z66" s="1109" t="s">
        <v>1153</v>
      </c>
      <c r="AA66" s="1110">
        <f>IF(AND(SUM(N39,N40,N43,N46)&gt;=7.0000001%,N4="수입",AB66="A"),0.2%,IF(AND(SUM(N39,N40,N43,N46)&gt;=7.0000001%,N4="수입",AB66="B"),0.2%,IF(AND(SUM(N39,N40,N43,N46)&gt;=7.0000001%,N4="수입",AB66="C"),0.2%,IF(AND(SUM(N39,N40,N43,N46)&gt;=7.0000001%,N4="국산"),0.2%,0%))))+IF(AND(SUM(N39,N40,N43,N46)&gt;=10.0000001%,N4="수입",AB66="A"),0.2%,IF(AND(SUM(N39,N40,N43,N46)&gt;=10.0000001%,N4="수입",AB66="B"),0.2%,IF(AND(SUM(N39,N40,N43,N46)&gt;=10.0000001%,N4="수입",AB66="C"),0.2%)))
+IF(AND(SUM(N39,N40,N43,N46)&gt;=7.0000001%,N4="국산",M13=60),0.1%,0%)</f>
        <v>0</v>
      </c>
      <c r="AB66" s="157" t="str">
        <f>+VLOOKUP(운용리스_비교!$AR$6,차량정보!$Z$4:$AA$41,2,0)</f>
        <v>국산</v>
      </c>
      <c r="AC66" s="194">
        <v>28</v>
      </c>
      <c r="AD66" s="17">
        <f t="shared" si="2"/>
        <v>396200</v>
      </c>
      <c r="AE66" s="306"/>
      <c r="AG66" s="194">
        <v>28</v>
      </c>
      <c r="AH66" s="17">
        <f t="shared" si="4"/>
        <v>353800</v>
      </c>
      <c r="AK66" s="194">
        <v>28</v>
      </c>
      <c r="AL66" s="17">
        <f t="shared" si="5"/>
        <v>330100</v>
      </c>
      <c r="AM66" s="306"/>
      <c r="AT66" s="157"/>
      <c r="AU66" s="157"/>
      <c r="BH66" s="197">
        <v>60</v>
      </c>
      <c r="BI66" s="217">
        <f t="shared" si="3"/>
        <v>396200</v>
      </c>
      <c r="BJ66" s="217">
        <f t="shared" si="1"/>
        <v>252540.14797065966</v>
      </c>
    </row>
    <row r="67" spans="1:62" s="163" customFormat="1" ht="12" customHeight="1">
      <c r="B67" s="186" t="s">
        <v>1003</v>
      </c>
      <c r="C67" s="295">
        <f>(운용리스_비교!$AR$11+운용리스_비교!$BE$12)/1.1715*3.5% -IF(RIGHT(운용리스_비교!$AR$7,6)="하이브리드)",1000000)</f>
        <v>694921.04139991465</v>
      </c>
      <c r="D67" s="157"/>
      <c r="E67" s="157"/>
      <c r="F67" s="157"/>
      <c r="G67" s="186" t="s">
        <v>717</v>
      </c>
      <c r="H67" s="303">
        <f>(운용리스_비교!$AR$11+운용리스_비교!$BE$12)/1.1715*3.5% -IF(RIGHT(운용리스_비교!$AR$7,6)="하이브리드)",1000000)</f>
        <v>694921.04139991465</v>
      </c>
      <c r="I67" s="157"/>
      <c r="J67" s="157"/>
      <c r="K67" s="157"/>
      <c r="L67" s="186" t="s">
        <v>996</v>
      </c>
      <c r="M67" s="303">
        <f>(운용리스_비교!$AR$11+운용리스_비교!$BE$12)/1.1715*3.5% -IF(RIGHT(운용리스_비교!$AR$7,6)="하이브리드)",1000000)</f>
        <v>694921.04139991465</v>
      </c>
      <c r="N67" s="157"/>
      <c r="O67" s="157"/>
      <c r="P67" s="157"/>
      <c r="Q67" s="157"/>
      <c r="R67" s="1111" t="s">
        <v>2649</v>
      </c>
      <c r="S67" s="1110">
        <f>IF(AND(C13=36,D4="국산"),VLOOKUP(S68,차량정보!$AK$32:$AN$39,2,0),IF(AND(C13=48,D4="국산"),VLOOKUP(S68,차량정보!$AK$32:$AN$39,3,0),IF(AND(C13=60,D4="국산"),VLOOKUP(S68,차량정보!$AK$32:$AN$39,4,0),0%)))</f>
        <v>3.0000000000000001E-3</v>
      </c>
      <c r="T67" s="159" t="str">
        <f>IF(LEFT(S65,1)="g","제네시스","일반국산")</f>
        <v>일반국산</v>
      </c>
      <c r="U67" s="316"/>
      <c r="V67" s="1111" t="s">
        <v>2650</v>
      </c>
      <c r="W67" s="1110">
        <f>IF(AND(H13=36,I4="국산"),VLOOKUP(W68,차량정보!$AK$32:$AN$39,2,0),IF(AND(H13=48,I4="국산"),VLOOKUP(W68,차량정보!$AK$32:$AN$39,3,0),IF(AND(H13=60,I4="국산"),VLOOKUP(W68,차량정보!$AK$32:$AN$39,4,0),0%)))</f>
        <v>3.0000000000000001E-3</v>
      </c>
      <c r="X67" s="159" t="str">
        <f>IF(LEFT(W65,1)="g","제네시스","일반국산")</f>
        <v>일반국산</v>
      </c>
      <c r="Y67" s="316"/>
      <c r="Z67" s="1111" t="s">
        <v>2650</v>
      </c>
      <c r="AA67" s="1110">
        <f>IF(AND(M13=36,N4="국산"),VLOOKUP(AA68,차량정보!$AK$32:$AN$39,2,0),IF(AND(M13=48,N4="국산"),VLOOKUP(AA68,차량정보!$AK$32:$AN$39,3,0),IF(AND(M13=60,N4="국산"),VLOOKUP(AA68,차량정보!$AK$32:$AN$39,4,0),0%)))</f>
        <v>3.0000000000000001E-3</v>
      </c>
      <c r="AB67" s="157" t="str">
        <f>IF(LEFT(AA65,1)="g","제네시스","일반국산")</f>
        <v>일반국산</v>
      </c>
      <c r="AC67" s="194">
        <v>29</v>
      </c>
      <c r="AD67" s="17">
        <f t="shared" si="2"/>
        <v>396200</v>
      </c>
      <c r="AE67" s="306"/>
      <c r="AG67" s="194">
        <v>29</v>
      </c>
      <c r="AH67" s="17">
        <f t="shared" si="4"/>
        <v>353800</v>
      </c>
      <c r="AK67" s="194">
        <v>29</v>
      </c>
      <c r="AL67" s="17">
        <f t="shared" si="5"/>
        <v>330100</v>
      </c>
      <c r="AM67" s="306"/>
      <c r="AR67" s="157"/>
      <c r="BH67" s="310"/>
      <c r="BI67" s="311">
        <f>SUM(BI7:BI66)</f>
        <v>28615400</v>
      </c>
      <c r="BJ67" s="311">
        <f>SUM(BJ7:BJ66)</f>
        <v>23355810.000000045</v>
      </c>
    </row>
    <row r="68" spans="1:62" s="163" customFormat="1" ht="12" customHeight="1">
      <c r="B68" s="186" t="s">
        <v>1004</v>
      </c>
      <c r="C68" s="295">
        <f>MAX(IF((C66-C67)&gt;1000000,C66-1000000,C67)-IF(E3="전기차특판",3000000,0),0)</f>
        <v>694921.04139991465</v>
      </c>
      <c r="D68" s="157"/>
      <c r="E68" s="157"/>
      <c r="F68" s="157"/>
      <c r="G68" s="186" t="s">
        <v>721</v>
      </c>
      <c r="H68" s="303">
        <f>MAX(IF((H66-H67)&gt;1000000,H66-1000000,H67)-IF(J3="전기차특판",3000000,0),0)</f>
        <v>694921.04139991465</v>
      </c>
      <c r="I68" s="157"/>
      <c r="J68" s="157"/>
      <c r="K68" s="157"/>
      <c r="L68" s="186" t="s">
        <v>997</v>
      </c>
      <c r="M68" s="303">
        <f>MAX(IF((M66-M67)&gt;1000000,M66-1000000,M67)-IF(O3="전기차특판",3000000,0),0)</f>
        <v>694921.04139991465</v>
      </c>
      <c r="N68" s="157"/>
      <c r="O68" s="157"/>
      <c r="P68" s="157"/>
      <c r="Q68" s="157"/>
      <c r="R68" s="1111" t="s">
        <v>2652</v>
      </c>
      <c r="S68" s="1110" t="str">
        <f>IF(D4="국산",VLOOKUP(S65,차량정보!$D$853:$AI$1094,32,0),"")</f>
        <v>C</v>
      </c>
      <c r="T68" s="159"/>
      <c r="U68" s="159"/>
      <c r="V68" s="1111" t="s">
        <v>2651</v>
      </c>
      <c r="W68" s="1110" t="str">
        <f>IF(I4="국산",VLOOKUP(W65,차량정보!$D$853:$AI$1094,32,0),"")</f>
        <v>C</v>
      </c>
      <c r="X68" s="159"/>
      <c r="Y68" s="159"/>
      <c r="Z68" s="1111" t="s">
        <v>2651</v>
      </c>
      <c r="AA68" s="1110" t="str">
        <f>IF(N4="국산",VLOOKUP(AA65,차량정보!$D$853:$AI$1094,32,0),"")</f>
        <v>C</v>
      </c>
      <c r="AB68" s="157"/>
      <c r="AC68" s="194">
        <v>30</v>
      </c>
      <c r="AD68" s="17">
        <f t="shared" si="2"/>
        <v>396200</v>
      </c>
      <c r="AE68" s="162"/>
      <c r="AF68" s="157"/>
      <c r="AG68" s="194">
        <v>30</v>
      </c>
      <c r="AH68" s="17">
        <f t="shared" si="4"/>
        <v>353800</v>
      </c>
      <c r="AI68" s="157"/>
      <c r="AJ68" s="157"/>
      <c r="AK68" s="194">
        <v>30</v>
      </c>
      <c r="AL68" s="17">
        <f t="shared" si="5"/>
        <v>330100</v>
      </c>
      <c r="AM68" s="162"/>
      <c r="AN68" s="157"/>
      <c r="AO68" s="157"/>
      <c r="AP68" s="157"/>
      <c r="AQ68" s="157"/>
      <c r="AR68" s="157"/>
      <c r="AS68" s="157"/>
    </row>
    <row r="69" spans="1:62" s="163" customFormat="1" ht="11.25">
      <c r="B69" s="186" t="s">
        <v>1005</v>
      </c>
      <c r="C69" s="295"/>
      <c r="D69" s="157"/>
      <c r="E69" s="157"/>
      <c r="F69" s="157"/>
      <c r="G69" s="186" t="s">
        <v>1008</v>
      </c>
      <c r="H69" s="303"/>
      <c r="I69" s="157"/>
      <c r="J69" s="157"/>
      <c r="K69" s="157"/>
      <c r="L69" s="186" t="s">
        <v>998</v>
      </c>
      <c r="M69" s="303"/>
      <c r="N69" s="157"/>
      <c r="O69" s="157"/>
      <c r="P69" s="157"/>
      <c r="R69" s="1290" t="s">
        <v>2653</v>
      </c>
      <c r="S69" s="1291">
        <v>0</v>
      </c>
      <c r="T69" s="1292"/>
      <c r="U69" s="1292"/>
      <c r="V69" s="1290" t="s">
        <v>2653</v>
      </c>
      <c r="W69" s="1291">
        <v>0</v>
      </c>
      <c r="X69" s="1292"/>
      <c r="Y69" s="1292"/>
      <c r="Z69" s="1290" t="s">
        <v>2653</v>
      </c>
      <c r="AA69" s="1291">
        <v>0</v>
      </c>
      <c r="AB69" s="157"/>
      <c r="AC69" s="194">
        <v>31</v>
      </c>
      <c r="AD69" s="17">
        <f t="shared" si="2"/>
        <v>396200</v>
      </c>
      <c r="AE69" s="162"/>
      <c r="AF69" s="157"/>
      <c r="AG69" s="194">
        <v>31</v>
      </c>
      <c r="AH69" s="17">
        <f t="shared" si="4"/>
        <v>353800</v>
      </c>
      <c r="AI69" s="157"/>
      <c r="AJ69" s="157"/>
      <c r="AK69" s="194">
        <v>31</v>
      </c>
      <c r="AL69" s="17">
        <f t="shared" si="5"/>
        <v>330100</v>
      </c>
      <c r="AM69" s="162"/>
      <c r="AN69" s="157"/>
      <c r="AO69" s="157"/>
      <c r="AP69" s="157"/>
      <c r="AQ69" s="157"/>
      <c r="AR69" s="157"/>
      <c r="AS69" s="157"/>
    </row>
    <row r="70" spans="1:62" s="163" customFormat="1" ht="11.25">
      <c r="B70" s="186" t="s">
        <v>1006</v>
      </c>
      <c r="C70" s="295">
        <f>(운용리스_비교!$AR$11+운용리스_비교!$BE$12)-C69</f>
        <v>23260000</v>
      </c>
      <c r="D70" s="157"/>
      <c r="E70" s="157"/>
      <c r="F70" s="157"/>
      <c r="G70" s="186" t="s">
        <v>999</v>
      </c>
      <c r="H70" s="303">
        <f>(운용리스_비교!$AR$11+운용리스_비교!$BE$12)-H69</f>
        <v>23260000</v>
      </c>
      <c r="I70" s="157"/>
      <c r="J70" s="157"/>
      <c r="K70" s="157"/>
      <c r="L70" s="186" t="s">
        <v>999</v>
      </c>
      <c r="M70" s="303">
        <f>(운용리스_비교!$AR$11+운용리스_비교!$BE$12)-M69</f>
        <v>23260000</v>
      </c>
      <c r="N70" s="157"/>
      <c r="O70" s="157"/>
      <c r="P70" s="157"/>
      <c r="R70" s="1112" t="s">
        <v>1228</v>
      </c>
      <c r="S70" s="1113">
        <f>+IF(S71=TRUE,0.2%,0%)</f>
        <v>0</v>
      </c>
      <c r="T70" s="159"/>
      <c r="U70" s="159"/>
      <c r="V70" s="1112" t="s">
        <v>1228</v>
      </c>
      <c r="W70" s="1113">
        <f>+IF(W71=TRUE,0.2%,0%)</f>
        <v>0</v>
      </c>
      <c r="X70" s="159"/>
      <c r="Y70" s="159"/>
      <c r="Z70" s="1112" t="s">
        <v>1228</v>
      </c>
      <c r="AA70" s="1113">
        <f>+IF(AA71=TRUE,0.2%,0%)</f>
        <v>0</v>
      </c>
      <c r="AB70" s="157"/>
      <c r="AC70" s="194">
        <v>32</v>
      </c>
      <c r="AD70" s="17">
        <f t="shared" si="2"/>
        <v>396200</v>
      </c>
      <c r="AE70" s="162"/>
      <c r="AF70" s="157"/>
      <c r="AG70" s="194">
        <v>32</v>
      </c>
      <c r="AH70" s="17">
        <f t="shared" si="4"/>
        <v>353800</v>
      </c>
      <c r="AI70" s="157"/>
      <c r="AJ70" s="157"/>
      <c r="AK70" s="194">
        <v>32</v>
      </c>
      <c r="AL70" s="17">
        <f t="shared" si="5"/>
        <v>330100</v>
      </c>
      <c r="AM70" s="162"/>
      <c r="AN70" s="157"/>
      <c r="AO70" s="157"/>
      <c r="AP70" s="157"/>
      <c r="AQ70" s="157"/>
      <c r="AR70" s="157"/>
      <c r="AS70" s="157"/>
      <c r="AT70" s="157"/>
      <c r="AU70" s="157"/>
    </row>
    <row r="71" spans="1:62" s="163" customFormat="1" ht="11.25">
      <c r="A71" s="157"/>
      <c r="B71" s="186" t="s">
        <v>1007</v>
      </c>
      <c r="C71" s="366">
        <f>ROUNDUP(IF(AND(OR(F3="현대특판",F3="기아특판",F3="전기차특판"),VLOOKUP(운용리스_비교!$AR$7,차량정보!$D$877:$Q$1627,13,0)&gt;0),VLOOKUP(운용리스_비교!$AR$7,차량정보!$D$877:$Q$1627,13,0)*C70,0),-3)
-1000+IF(MOD(C70,1000)&lt;500,MOD(C70,1000)+1000,MOD(C70,1000))
+ROUNDUP(IF(AND(F3="KG모빌리티_특판",VLOOKUP(운용리스_비교!$AR$7,차량정보!$D$877:$Q$1627,13,0)&gt;0),VLOOKUP(운용리스_비교!$AR$7,차량정보!$D$877:$Q$1627,13,0)*D71,0),-3)
+ROUNDUP(IF(AND(F3="르노_특판",VLOOKUP(운용리스_비교!$AR$7,차량정보!$D$877:$Q$1627,13,0)&gt;0),VLOOKUP(운용리스_비교!$AR$7,차량정보!$D$877:$Q$1627,13,0)*C70,0),-3)</f>
        <v>0</v>
      </c>
      <c r="D71" s="157">
        <f>IF(운용리스_비교!$BM$11="커스터마이징 적용",계산_운용리스!C70-운용리스_비교!$BN$12,계산_운용리스!C70)</f>
        <v>23260000</v>
      </c>
      <c r="E71" s="313" t="s">
        <v>3226</v>
      </c>
      <c r="F71" s="157"/>
      <c r="G71" s="186" t="s">
        <v>718</v>
      </c>
      <c r="H71" s="303">
        <f>ROUNDUP(IF(AND(OR(K3="현대특판",K3="기아특판",K3="전기차특판"),VLOOKUP(운용리스_비교!$AR$7,차량정보!$D$877:$Q$1627,13,0)&gt;0),VLOOKUP(운용리스_비교!$AR$7,차량정보!$D$877:$Q$1627,13,0)*H70,0),-3)
-1000+IF(MOD(H70,1000)&lt;500,MOD(H70,1000)+1000,MOD(H70,1000))
+ROUNDUP(IF(AND(K3="KG모빌리티_특판",VLOOKUP(운용리스_비교!$AR$7,차량정보!$D$877:$Q$1627,13,0)&gt;0),VLOOKUP(운용리스_비교!$AR$7,차량정보!$D$877:$Q$1627,13,0)*I71,0),-3)
+ROUNDUP(IF(AND(K3="르노_특판",VLOOKUP(운용리스_비교!$AR$7,차량정보!$D$877:$Q$1627,13,0)&gt;0),VLOOKUP(운용리스_비교!$AR$7,차량정보!$D$877:$Q$1627,13,0)*H70,0),-3)</f>
        <v>0</v>
      </c>
      <c r="I71" s="157">
        <f>IF(운용리스_비교!$BM$11="커스터마이징 적용",계산_운용리스!H23-운용리스_비교!$BN$12,계산_운용리스!H23)</f>
        <v>23260000</v>
      </c>
      <c r="J71" s="313" t="s">
        <v>3226</v>
      </c>
      <c r="K71" s="157"/>
      <c r="L71" s="186" t="s">
        <v>1000</v>
      </c>
      <c r="M71" s="303">
        <f>ROUNDUP(IF(AND(OR(P3="현대특판",P3="기아특판",P3="전기차특판"),VLOOKUP(운용리스_비교!$AR$7,차량정보!$D$877:$Q$1627,13,0)&gt;0),VLOOKUP(운용리스_비교!$AR$7,차량정보!$D$877:$Q$1627,13,0)*M70,0),-3)
-1000+IF(MOD(M70,1000)&lt;500,MOD(M70,1000)+1000,MOD(M70,1000))
+ROUNDUP(IF(AND(P3="KG모빌리티_특판",VLOOKUP(운용리스_비교!$AR$7,차량정보!$D$877:$Q$1627,13,0)&gt;0),VLOOKUP(운용리스_비교!$AR$7,차량정보!$D$877:$Q$1627,13,0)*N71,0),-3)
+ROUNDUP(IF(AND(P3="르노_특판",VLOOKUP(운용리스_비교!$AR$7,차량정보!$D$877:$Q$1627,13,0)&gt;0),VLOOKUP(운용리스_비교!$AR$7,차량정보!$D$877:$Q$1627,13,0)*M70,0),-3)</f>
        <v>0</v>
      </c>
      <c r="N71" s="157">
        <f>IF(운용리스_비교!$BM$11="커스터마이징 적용",계산_운용리스!M23-운용리스_비교!$BN$12,계산_운용리스!M23)</f>
        <v>23260000</v>
      </c>
      <c r="O71" s="313" t="s">
        <v>3226</v>
      </c>
      <c r="P71" s="157"/>
      <c r="R71" s="157"/>
      <c r="S71" s="157" t="b">
        <v>0</v>
      </c>
      <c r="T71" s="159"/>
      <c r="U71" s="159"/>
      <c r="V71" s="157"/>
      <c r="W71" s="157" t="b">
        <f>+S71</f>
        <v>0</v>
      </c>
      <c r="X71" s="159"/>
      <c r="Y71" s="159"/>
      <c r="Z71" s="157"/>
      <c r="AA71" s="157" t="b">
        <f>+S71</f>
        <v>0</v>
      </c>
      <c r="AB71" s="157"/>
      <c r="AC71" s="194">
        <v>33</v>
      </c>
      <c r="AD71" s="17">
        <f t="shared" si="2"/>
        <v>396200</v>
      </c>
      <c r="AE71" s="162"/>
      <c r="AF71" s="157"/>
      <c r="AG71" s="194">
        <v>33</v>
      </c>
      <c r="AH71" s="17">
        <f t="shared" si="4"/>
        <v>353800</v>
      </c>
      <c r="AI71" s="157"/>
      <c r="AJ71" s="157"/>
      <c r="AK71" s="194">
        <v>33</v>
      </c>
      <c r="AL71" s="17">
        <f t="shared" si="5"/>
        <v>330100</v>
      </c>
      <c r="AM71" s="162"/>
      <c r="AN71" s="157"/>
      <c r="AO71" s="157"/>
      <c r="AP71" s="157"/>
      <c r="AQ71" s="157"/>
      <c r="AR71" s="157"/>
      <c r="AS71" s="157"/>
      <c r="AT71" s="157"/>
      <c r="AU71" s="157"/>
    </row>
    <row r="72" spans="1:62" s="163" customFormat="1" ht="12" customHeight="1">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94">
        <v>34</v>
      </c>
      <c r="AD72" s="17">
        <f t="shared" si="2"/>
        <v>396200</v>
      </c>
      <c r="AE72" s="162"/>
      <c r="AF72" s="157"/>
      <c r="AG72" s="194">
        <v>34</v>
      </c>
      <c r="AH72" s="17">
        <f t="shared" si="4"/>
        <v>353800</v>
      </c>
      <c r="AI72" s="157"/>
      <c r="AJ72" s="157"/>
      <c r="AK72" s="194">
        <v>34</v>
      </c>
      <c r="AL72" s="17">
        <f t="shared" si="5"/>
        <v>330100</v>
      </c>
      <c r="AM72" s="162"/>
      <c r="AN72" s="157"/>
      <c r="AO72" s="157"/>
      <c r="AP72" s="157"/>
      <c r="AQ72" s="157"/>
      <c r="AR72" s="157"/>
      <c r="AS72" s="157"/>
      <c r="AT72" s="157"/>
      <c r="AU72" s="157"/>
    </row>
    <row r="73" spans="1:62" s="163" customFormat="1" ht="12" customHeight="1">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94">
        <v>35</v>
      </c>
      <c r="AD73" s="17">
        <f t="shared" si="2"/>
        <v>396200</v>
      </c>
      <c r="AE73" s="162"/>
      <c r="AF73" s="157"/>
      <c r="AG73" s="194">
        <v>35</v>
      </c>
      <c r="AH73" s="17">
        <f t="shared" si="4"/>
        <v>353800</v>
      </c>
      <c r="AI73" s="157"/>
      <c r="AJ73" s="157"/>
      <c r="AK73" s="194">
        <v>35</v>
      </c>
      <c r="AL73" s="17">
        <f t="shared" si="5"/>
        <v>330100</v>
      </c>
      <c r="AM73" s="162"/>
      <c r="AN73" s="157"/>
      <c r="AO73" s="157"/>
      <c r="AP73" s="157"/>
      <c r="AQ73" s="157"/>
      <c r="AR73" s="157"/>
      <c r="AS73" s="157"/>
      <c r="AT73" s="157"/>
      <c r="AU73" s="157"/>
    </row>
    <row r="74" spans="1:62" s="163" customFormat="1" ht="12" customHeight="1">
      <c r="A74" s="157"/>
      <c r="B74" s="157"/>
      <c r="C74" s="157"/>
      <c r="D74" s="157"/>
      <c r="E74" s="157"/>
      <c r="F74" s="157"/>
      <c r="G74" s="157"/>
      <c r="H74" s="157"/>
      <c r="I74" s="157"/>
      <c r="J74" s="157"/>
      <c r="K74" s="157"/>
      <c r="L74" s="157"/>
      <c r="M74" s="157"/>
      <c r="N74" s="157"/>
      <c r="O74" s="157"/>
      <c r="P74" s="157"/>
      <c r="Q74" s="157"/>
      <c r="R74" s="1304" t="s">
        <v>147</v>
      </c>
      <c r="S74" s="1305">
        <v>0</v>
      </c>
      <c r="T74" s="1292">
        <f>+VLOOKUP(S65,차량정보!$D$4:$AL$52712,35,0)</f>
        <v>0</v>
      </c>
      <c r="U74" s="1292"/>
      <c r="V74" s="1304" t="s">
        <v>147</v>
      </c>
      <c r="W74" s="1305">
        <v>0</v>
      </c>
      <c r="X74" s="1292">
        <f>+VLOOKUP(W65,차량정보!$D$4:$AL$52712,35,0)</f>
        <v>0</v>
      </c>
      <c r="Y74" s="1292"/>
      <c r="Z74" s="1304" t="s">
        <v>147</v>
      </c>
      <c r="AA74" s="1305">
        <v>0</v>
      </c>
      <c r="AB74" s="157">
        <f>+VLOOKUP(AA65,차량정보!$D$4:$AL$52712,35,0)</f>
        <v>0</v>
      </c>
      <c r="AC74" s="194">
        <v>36</v>
      </c>
      <c r="AD74" s="17">
        <f t="shared" si="2"/>
        <v>14352200</v>
      </c>
      <c r="AE74" s="162"/>
      <c r="AF74" s="157"/>
      <c r="AG74" s="194">
        <v>36</v>
      </c>
      <c r="AH74" s="17">
        <f t="shared" si="4"/>
        <v>353800</v>
      </c>
      <c r="AI74" s="157"/>
      <c r="AJ74" s="157"/>
      <c r="AK74" s="194">
        <v>36</v>
      </c>
      <c r="AL74" s="17">
        <f t="shared" si="5"/>
        <v>330100</v>
      </c>
      <c r="AM74" s="162"/>
      <c r="AN74" s="157"/>
      <c r="AO74" s="157"/>
      <c r="AP74" s="157"/>
      <c r="AQ74" s="157"/>
      <c r="AR74" s="157"/>
      <c r="AS74" s="157"/>
      <c r="AT74" s="157"/>
      <c r="AU74" s="157"/>
    </row>
    <row r="75" spans="1:62" s="163" customFormat="1" ht="11.25">
      <c r="A75" s="157"/>
      <c r="B75" s="157"/>
      <c r="C75" s="157"/>
      <c r="D75" s="157"/>
      <c r="E75" s="157"/>
      <c r="F75" s="157"/>
      <c r="G75" s="157"/>
      <c r="H75" s="157"/>
      <c r="I75" s="157"/>
      <c r="J75" s="157"/>
      <c r="K75" s="157"/>
      <c r="L75" s="157"/>
      <c r="M75" s="157"/>
      <c r="N75" s="157"/>
      <c r="O75" s="157"/>
      <c r="P75" s="157"/>
      <c r="Q75" s="157"/>
      <c r="R75" s="1306" t="s">
        <v>1673</v>
      </c>
      <c r="S75" s="1307">
        <v>0</v>
      </c>
      <c r="T75" s="1292" t="str">
        <f>+VLOOKUP(S65,차량정보!$D$4:$AL$52712,22,0)</f>
        <v>N</v>
      </c>
      <c r="U75" s="1292"/>
      <c r="V75" s="1306" t="s">
        <v>1673</v>
      </c>
      <c r="W75" s="1307">
        <v>0</v>
      </c>
      <c r="X75" s="1292" t="str">
        <f>+VLOOKUP(W65,차량정보!$D$4:$AL$52712,22,0)</f>
        <v>N</v>
      </c>
      <c r="Y75" s="1292"/>
      <c r="Z75" s="1306" t="s">
        <v>1673</v>
      </c>
      <c r="AA75" s="1307">
        <v>0</v>
      </c>
      <c r="AB75" s="159" t="str">
        <f>+VLOOKUP(AA65,차량정보!$D$4:$AL$52712,22,0)</f>
        <v>N</v>
      </c>
      <c r="AC75" s="194">
        <v>37</v>
      </c>
      <c r="AD75" s="17">
        <f t="shared" si="2"/>
        <v>0</v>
      </c>
      <c r="AE75" s="162"/>
      <c r="AF75" s="157"/>
      <c r="AG75" s="194">
        <v>37</v>
      </c>
      <c r="AH75" s="17">
        <f t="shared" si="4"/>
        <v>353800</v>
      </c>
      <c r="AI75" s="157"/>
      <c r="AJ75" s="157"/>
      <c r="AK75" s="194">
        <v>37</v>
      </c>
      <c r="AL75" s="17">
        <f t="shared" si="5"/>
        <v>330100</v>
      </c>
      <c r="AM75" s="162"/>
      <c r="AN75" s="162"/>
      <c r="AO75" s="157"/>
      <c r="AP75" s="157"/>
      <c r="AQ75" s="157"/>
      <c r="AR75" s="157"/>
      <c r="AS75" s="157"/>
      <c r="AT75" s="157"/>
      <c r="AU75" s="157"/>
      <c r="AV75" s="157"/>
    </row>
    <row r="76" spans="1:62" s="163" customFormat="1" thickBot="1">
      <c r="A76" s="157"/>
      <c r="B76" s="157"/>
      <c r="C76" s="157"/>
      <c r="D76" s="157"/>
      <c r="E76" s="157"/>
      <c r="F76" s="157"/>
      <c r="G76" s="157"/>
      <c r="H76" s="157"/>
      <c r="I76" s="157"/>
      <c r="J76" s="157"/>
      <c r="K76" s="157"/>
      <c r="L76" s="157"/>
      <c r="M76" s="157"/>
      <c r="N76" s="157"/>
      <c r="O76" s="157"/>
      <c r="P76" s="157"/>
      <c r="Q76" s="157"/>
      <c r="R76" s="1292"/>
      <c r="S76" s="1292"/>
      <c r="T76" s="1292"/>
      <c r="U76" s="1292"/>
      <c r="V76" s="1292"/>
      <c r="W76" s="1292"/>
      <c r="X76" s="1292"/>
      <c r="Y76" s="1292"/>
      <c r="Z76" s="1292"/>
      <c r="AA76" s="1292"/>
      <c r="AB76" s="157"/>
      <c r="AC76" s="194">
        <v>38</v>
      </c>
      <c r="AD76" s="17">
        <f t="shared" si="2"/>
        <v>0</v>
      </c>
      <c r="AE76" s="162"/>
      <c r="AF76" s="157"/>
      <c r="AG76" s="194">
        <v>38</v>
      </c>
      <c r="AH76" s="17">
        <f t="shared" si="4"/>
        <v>353800</v>
      </c>
      <c r="AI76" s="157"/>
      <c r="AJ76" s="157"/>
      <c r="AK76" s="194">
        <v>38</v>
      </c>
      <c r="AL76" s="17">
        <f t="shared" si="5"/>
        <v>330100</v>
      </c>
      <c r="AM76" s="162"/>
      <c r="AN76" s="162"/>
      <c r="AO76" s="157"/>
      <c r="AP76" s="157"/>
      <c r="AQ76" s="157"/>
      <c r="AR76" s="157"/>
      <c r="AS76" s="157"/>
      <c r="AT76" s="157"/>
      <c r="AU76" s="157"/>
      <c r="AV76" s="157"/>
    </row>
    <row r="77" spans="1:62" s="163" customFormat="1" thickBot="1">
      <c r="A77" s="157"/>
      <c r="B77" s="157"/>
      <c r="C77" s="157"/>
      <c r="D77" s="157"/>
      <c r="E77" s="157"/>
      <c r="F77" s="157"/>
      <c r="G77" s="157"/>
      <c r="H77" s="157"/>
      <c r="I77" s="157"/>
      <c r="J77" s="157"/>
      <c r="K77" s="157"/>
      <c r="L77" s="157"/>
      <c r="M77" s="157"/>
      <c r="N77" s="157"/>
      <c r="O77" s="157"/>
      <c r="P77" s="157"/>
      <c r="Q77" s="157"/>
      <c r="R77" s="1308" t="s">
        <v>1742</v>
      </c>
      <c r="S77" s="1309">
        <v>0</v>
      </c>
      <c r="T77" s="1292"/>
      <c r="U77" s="1292"/>
      <c r="V77" s="1308" t="s">
        <v>1742</v>
      </c>
      <c r="W77" s="1309">
        <v>0</v>
      </c>
      <c r="X77" s="1292"/>
      <c r="Y77" s="1292"/>
      <c r="Z77" s="1308" t="s">
        <v>1742</v>
      </c>
      <c r="AA77" s="1309">
        <v>0</v>
      </c>
      <c r="AB77" s="157"/>
      <c r="AC77" s="194">
        <v>39</v>
      </c>
      <c r="AD77" s="17">
        <f t="shared" si="2"/>
        <v>0</v>
      </c>
      <c r="AE77" s="162"/>
      <c r="AF77" s="157"/>
      <c r="AG77" s="194">
        <v>39</v>
      </c>
      <c r="AH77" s="17">
        <f t="shared" si="4"/>
        <v>353800</v>
      </c>
      <c r="AI77" s="157"/>
      <c r="AJ77" s="157"/>
      <c r="AK77" s="194">
        <v>39</v>
      </c>
      <c r="AL77" s="17">
        <f t="shared" si="5"/>
        <v>330100</v>
      </c>
      <c r="AM77" s="162"/>
      <c r="AN77" s="162"/>
      <c r="AO77" s="157"/>
      <c r="AP77" s="157"/>
      <c r="AQ77" s="157"/>
      <c r="AR77" s="157"/>
      <c r="AS77" s="157"/>
      <c r="AT77" s="157"/>
      <c r="AU77" s="157"/>
      <c r="AV77" s="157"/>
    </row>
    <row r="78" spans="1:62" s="163" customFormat="1" ht="11.25">
      <c r="A78" s="157"/>
      <c r="B78" s="157"/>
      <c r="C78" s="157"/>
      <c r="D78" s="157"/>
      <c r="E78" s="157"/>
      <c r="F78" s="157"/>
      <c r="G78" s="157"/>
      <c r="H78" s="157"/>
      <c r="I78" s="157"/>
      <c r="J78" s="157"/>
      <c r="K78" s="157"/>
      <c r="L78" s="157"/>
      <c r="M78" s="157"/>
      <c r="N78" s="157"/>
      <c r="O78" s="157"/>
      <c r="P78" s="157"/>
      <c r="Q78" s="157"/>
      <c r="R78" s="157"/>
      <c r="S78" s="157"/>
      <c r="T78" s="157"/>
      <c r="U78" s="157"/>
      <c r="V78" s="157"/>
      <c r="W78" s="157"/>
      <c r="X78" s="157"/>
      <c r="Y78" s="157"/>
      <c r="Z78" s="157"/>
      <c r="AA78" s="157"/>
      <c r="AB78" s="157"/>
      <c r="AC78" s="194">
        <v>40</v>
      </c>
      <c r="AD78" s="17">
        <f t="shared" si="2"/>
        <v>0</v>
      </c>
      <c r="AE78" s="162"/>
      <c r="AF78" s="157"/>
      <c r="AG78" s="194">
        <v>40</v>
      </c>
      <c r="AH78" s="17">
        <f t="shared" si="4"/>
        <v>353800</v>
      </c>
      <c r="AI78" s="157"/>
      <c r="AJ78" s="157"/>
      <c r="AK78" s="194">
        <v>40</v>
      </c>
      <c r="AL78" s="17">
        <f t="shared" si="5"/>
        <v>330100</v>
      </c>
      <c r="AM78" s="162"/>
      <c r="AN78" s="162"/>
      <c r="AO78" s="157"/>
      <c r="AP78" s="157"/>
      <c r="AQ78" s="157"/>
      <c r="AR78" s="157"/>
      <c r="AS78" s="157"/>
      <c r="AT78" s="157"/>
      <c r="AU78" s="157"/>
      <c r="AV78" s="157"/>
    </row>
    <row r="79" spans="1:62" s="163" customFormat="1" ht="11.25">
      <c r="A79" s="157"/>
      <c r="B79" s="157"/>
      <c r="C79" s="157"/>
      <c r="D79" s="157"/>
      <c r="E79" s="157"/>
      <c r="F79" s="157"/>
      <c r="G79" s="157"/>
      <c r="H79" s="157"/>
      <c r="I79" s="157"/>
      <c r="J79" s="157"/>
      <c r="K79" s="157"/>
      <c r="L79" s="157"/>
      <c r="M79" s="157"/>
      <c r="N79" s="157"/>
      <c r="O79" s="157"/>
      <c r="P79" s="157"/>
      <c r="Q79" s="157"/>
      <c r="R79" s="157"/>
      <c r="S79" s="157"/>
      <c r="T79" s="157"/>
      <c r="U79" s="157"/>
      <c r="V79" s="157"/>
      <c r="W79" s="157"/>
      <c r="X79" s="157"/>
      <c r="Y79" s="157"/>
      <c r="Z79" s="157"/>
      <c r="AA79" s="157"/>
      <c r="AB79" s="157"/>
      <c r="AC79" s="194">
        <v>41</v>
      </c>
      <c r="AD79" s="17">
        <f t="shared" si="2"/>
        <v>0</v>
      </c>
      <c r="AE79" s="162"/>
      <c r="AF79" s="157"/>
      <c r="AG79" s="194">
        <v>41</v>
      </c>
      <c r="AH79" s="17">
        <f t="shared" si="4"/>
        <v>353800</v>
      </c>
      <c r="AI79" s="157"/>
      <c r="AJ79" s="157"/>
      <c r="AK79" s="194">
        <v>41</v>
      </c>
      <c r="AL79" s="17">
        <f t="shared" si="5"/>
        <v>330100</v>
      </c>
      <c r="AM79" s="162"/>
      <c r="AN79" s="162"/>
      <c r="AO79" s="157"/>
      <c r="AP79" s="157"/>
      <c r="AQ79" s="157"/>
      <c r="AR79" s="157"/>
      <c r="AS79" s="157"/>
      <c r="AT79" s="157"/>
      <c r="AU79" s="157"/>
      <c r="AV79" s="157"/>
    </row>
    <row r="80" spans="1:62" s="163" customFormat="1" thickBot="1">
      <c r="A80" s="157"/>
      <c r="B80" s="157"/>
      <c r="C80" s="157"/>
      <c r="D80" s="157"/>
      <c r="E80" s="157"/>
      <c r="F80" s="157"/>
      <c r="G80" s="157"/>
      <c r="H80" s="157"/>
      <c r="I80" s="157"/>
      <c r="J80" s="157"/>
      <c r="K80" s="157"/>
      <c r="L80" s="157"/>
      <c r="M80" s="157"/>
      <c r="N80" s="157"/>
      <c r="O80" s="157"/>
      <c r="P80" s="157"/>
      <c r="Q80" s="157"/>
      <c r="R80" s="157"/>
      <c r="S80" s="157"/>
      <c r="T80" s="157"/>
      <c r="U80" s="157"/>
      <c r="V80" s="157"/>
      <c r="W80" s="157"/>
      <c r="X80" s="157"/>
      <c r="Y80" s="157"/>
      <c r="Z80" s="157"/>
      <c r="AA80" s="157"/>
      <c r="AB80" s="157"/>
      <c r="AC80" s="194">
        <v>42</v>
      </c>
      <c r="AD80" s="17">
        <f t="shared" si="2"/>
        <v>0</v>
      </c>
      <c r="AE80" s="162"/>
      <c r="AF80" s="157"/>
      <c r="AG80" s="194">
        <v>42</v>
      </c>
      <c r="AH80" s="17">
        <f t="shared" si="4"/>
        <v>353800</v>
      </c>
      <c r="AI80" s="157"/>
      <c r="AJ80" s="157"/>
      <c r="AK80" s="194">
        <v>42</v>
      </c>
      <c r="AL80" s="17">
        <f t="shared" si="5"/>
        <v>330100</v>
      </c>
      <c r="AM80" s="162"/>
      <c r="AN80" s="162"/>
      <c r="AO80" s="157"/>
      <c r="AP80" s="157"/>
      <c r="AQ80" s="157"/>
      <c r="AR80" s="157"/>
      <c r="AS80" s="157"/>
      <c r="AT80" s="157"/>
      <c r="AU80" s="157"/>
      <c r="AV80" s="157"/>
    </row>
    <row r="81" spans="1:48" s="163" customFormat="1" thickBot="1">
      <c r="A81" s="157"/>
      <c r="B81" s="157"/>
      <c r="C81" s="157"/>
      <c r="D81" s="157"/>
      <c r="E81" s="157"/>
      <c r="F81" s="157"/>
      <c r="G81" s="157"/>
      <c r="H81" s="157"/>
      <c r="I81" s="157"/>
      <c r="J81" s="157"/>
      <c r="K81" s="157"/>
      <c r="L81" s="157"/>
      <c r="M81" s="157"/>
      <c r="N81" s="157"/>
      <c r="O81" s="157"/>
      <c r="P81" s="157"/>
      <c r="Q81" s="157"/>
      <c r="R81" s="976" t="s">
        <v>2148</v>
      </c>
      <c r="S81" s="977" t="s">
        <v>2151</v>
      </c>
      <c r="T81" s="159"/>
      <c r="U81" s="159"/>
      <c r="V81" s="976" t="s">
        <v>2148</v>
      </c>
      <c r="W81" s="977" t="s">
        <v>2151</v>
      </c>
      <c r="X81" s="159"/>
      <c r="Y81" s="159"/>
      <c r="Z81" s="976" t="s">
        <v>2148</v>
      </c>
      <c r="AA81" s="977" t="s">
        <v>2151</v>
      </c>
      <c r="AB81" s="159"/>
      <c r="AC81" s="194">
        <v>43</v>
      </c>
      <c r="AD81" s="17">
        <f t="shared" si="2"/>
        <v>0</v>
      </c>
      <c r="AE81" s="162"/>
      <c r="AF81" s="157"/>
      <c r="AG81" s="194">
        <v>43</v>
      </c>
      <c r="AH81" s="17">
        <f t="shared" si="4"/>
        <v>353800</v>
      </c>
      <c r="AI81" s="157"/>
      <c r="AJ81" s="157"/>
      <c r="AK81" s="194">
        <v>43</v>
      </c>
      <c r="AL81" s="17">
        <f t="shared" si="5"/>
        <v>330100</v>
      </c>
      <c r="AM81" s="162"/>
      <c r="AN81" s="162"/>
      <c r="AO81" s="157"/>
      <c r="AP81" s="157"/>
      <c r="AQ81" s="157"/>
      <c r="AR81" s="157"/>
      <c r="AS81" s="157"/>
      <c r="AT81" s="157"/>
      <c r="AU81" s="157"/>
      <c r="AV81" s="157"/>
    </row>
    <row r="82" spans="1:48" s="163" customFormat="1" ht="11.25">
      <c r="A82" s="157"/>
      <c r="B82" s="157"/>
      <c r="C82" s="157"/>
      <c r="D82" s="157"/>
      <c r="E82" s="157"/>
      <c r="F82" s="157"/>
      <c r="G82" s="157"/>
      <c r="H82" s="157"/>
      <c r="I82" s="157"/>
      <c r="J82" s="157"/>
      <c r="K82" s="157"/>
      <c r="L82" s="157"/>
      <c r="M82" s="157"/>
      <c r="N82" s="157"/>
      <c r="O82" s="157"/>
      <c r="P82" s="157"/>
      <c r="Q82" s="157"/>
      <c r="R82" s="1031" t="s">
        <v>2149</v>
      </c>
      <c r="S82" s="1032" t="str">
        <f>IF(E3="수입",VLOOKUP(S65,차량정보!$D$4:$S$8555,16,0),"N")</f>
        <v>N</v>
      </c>
      <c r="T82" s="159"/>
      <c r="U82" s="159"/>
      <c r="V82" s="1031" t="s">
        <v>2149</v>
      </c>
      <c r="W82" s="1032" t="str">
        <f>IF(J3="수입",VLOOKUP(W65,차량정보!$D$4:$S$8555,16,0),"N")</f>
        <v>N</v>
      </c>
      <c r="X82" s="159"/>
      <c r="Y82" s="159"/>
      <c r="Z82" s="1031" t="s">
        <v>2149</v>
      </c>
      <c r="AA82" s="1032" t="str">
        <f>IF(O3="수입",VLOOKUP(AA65,차량정보!$D$4:$S$8555,16,0),"N")</f>
        <v>N</v>
      </c>
      <c r="AB82" s="159"/>
      <c r="AC82" s="194">
        <v>44</v>
      </c>
      <c r="AD82" s="17">
        <f t="shared" si="2"/>
        <v>0</v>
      </c>
      <c r="AE82" s="162"/>
      <c r="AF82" s="157"/>
      <c r="AG82" s="194">
        <v>44</v>
      </c>
      <c r="AH82" s="17">
        <f t="shared" si="4"/>
        <v>353800</v>
      </c>
      <c r="AI82" s="157"/>
      <c r="AJ82" s="157"/>
      <c r="AK82" s="194">
        <v>44</v>
      </c>
      <c r="AL82" s="17">
        <f t="shared" si="5"/>
        <v>330100</v>
      </c>
      <c r="AM82" s="162"/>
      <c r="AN82" s="162"/>
      <c r="AO82" s="157"/>
      <c r="AP82" s="157"/>
      <c r="AQ82" s="157"/>
      <c r="AR82" s="157"/>
      <c r="AS82" s="157"/>
      <c r="AT82" s="157"/>
      <c r="AU82" s="157"/>
      <c r="AV82" s="157"/>
    </row>
    <row r="83" spans="1:48" s="163" customFormat="1" ht="17.25" customHeight="1" thickBot="1">
      <c r="A83" s="157"/>
      <c r="B83" s="157"/>
      <c r="C83" s="157"/>
      <c r="D83" s="157"/>
      <c r="E83" s="157"/>
      <c r="F83" s="157"/>
      <c r="G83" s="157"/>
      <c r="H83" s="157"/>
      <c r="I83" s="157"/>
      <c r="J83" s="157"/>
      <c r="K83" s="157"/>
      <c r="L83" s="157"/>
      <c r="M83" s="157"/>
      <c r="N83" s="157"/>
      <c r="O83" s="157"/>
      <c r="P83" s="157"/>
      <c r="Q83" s="157"/>
      <c r="R83" s="1033" t="s">
        <v>2150</v>
      </c>
      <c r="S83" s="1034">
        <v>0</v>
      </c>
      <c r="T83" s="159"/>
      <c r="U83" s="159"/>
      <c r="V83" s="1033" t="s">
        <v>2150</v>
      </c>
      <c r="W83" s="1034">
        <v>0</v>
      </c>
      <c r="X83" s="159"/>
      <c r="Y83" s="159"/>
      <c r="Z83" s="1033" t="s">
        <v>2150</v>
      </c>
      <c r="AA83" s="1034">
        <v>0</v>
      </c>
      <c r="AB83" s="159"/>
      <c r="AC83" s="194">
        <v>45</v>
      </c>
      <c r="AD83" s="17">
        <f t="shared" si="2"/>
        <v>0</v>
      </c>
      <c r="AE83" s="162"/>
      <c r="AF83" s="157"/>
      <c r="AG83" s="194">
        <v>45</v>
      </c>
      <c r="AH83" s="17">
        <f t="shared" si="4"/>
        <v>353800</v>
      </c>
      <c r="AI83" s="157"/>
      <c r="AJ83" s="157"/>
      <c r="AK83" s="194">
        <v>45</v>
      </c>
      <c r="AL83" s="17">
        <f t="shared" si="5"/>
        <v>330100</v>
      </c>
      <c r="AM83" s="162"/>
      <c r="AN83" s="162"/>
      <c r="AO83" s="157"/>
      <c r="AP83" s="157"/>
      <c r="AQ83" s="157"/>
      <c r="AR83" s="157"/>
      <c r="AS83" s="157"/>
      <c r="AT83" s="157"/>
      <c r="AU83" s="157"/>
      <c r="AV83" s="157"/>
    </row>
    <row r="84" spans="1:48" s="163" customFormat="1" thickBot="1">
      <c r="A84" s="157"/>
      <c r="B84" s="157"/>
      <c r="C84" s="157"/>
      <c r="D84" s="157"/>
      <c r="E84" s="157"/>
      <c r="F84" s="157"/>
      <c r="G84" s="157"/>
      <c r="H84" s="157"/>
      <c r="I84" s="157"/>
      <c r="J84" s="157"/>
      <c r="K84" s="157"/>
      <c r="L84" s="157"/>
      <c r="M84" s="157"/>
      <c r="N84" s="157"/>
      <c r="O84" s="157"/>
      <c r="P84" s="157"/>
      <c r="Q84" s="157"/>
      <c r="R84" s="1035" t="s">
        <v>2151</v>
      </c>
      <c r="S84" s="1036">
        <f>IF(AND(D4="수입",S85&gt;100001,T84=2),"취급불가",0)</f>
        <v>0</v>
      </c>
      <c r="T84" s="159">
        <f>IF(D4="수입",VLOOKUP(S65,차량정보!$D$4:$T$8555,17,0),0)</f>
        <v>0</v>
      </c>
      <c r="U84" s="159"/>
      <c r="V84" s="1035" t="s">
        <v>2151</v>
      </c>
      <c r="W84" s="1036">
        <f>IF(AND(I4="수입",W85&gt;100001,X84=2),"취급불가",0)</f>
        <v>0</v>
      </c>
      <c r="X84" s="159">
        <f>IF(I4="수입",VLOOKUP(W65,차량정보!$D$4:$T$8555,17,0),0)</f>
        <v>0</v>
      </c>
      <c r="Y84" s="159"/>
      <c r="Z84" s="1035" t="s">
        <v>2151</v>
      </c>
      <c r="AA84" s="1036">
        <f>IF(AND(N4="수입",AA85&gt;100001,AB84=2),"취급불가",0)</f>
        <v>0</v>
      </c>
      <c r="AB84" s="159">
        <f>IF(N4="수입",VLOOKUP(AA65,차량정보!$D$4:$T$8555,17,0),0)</f>
        <v>0</v>
      </c>
      <c r="AC84" s="194">
        <v>46</v>
      </c>
      <c r="AD84" s="17">
        <f t="shared" si="2"/>
        <v>0</v>
      </c>
      <c r="AE84" s="162"/>
      <c r="AF84" s="157"/>
      <c r="AG84" s="194">
        <v>46</v>
      </c>
      <c r="AH84" s="17">
        <f t="shared" si="4"/>
        <v>353800</v>
      </c>
      <c r="AI84" s="157"/>
      <c r="AJ84" s="157"/>
      <c r="AK84" s="194">
        <v>46</v>
      </c>
      <c r="AL84" s="17">
        <f t="shared" si="5"/>
        <v>330100</v>
      </c>
      <c r="AM84" s="162"/>
      <c r="AN84" s="162"/>
      <c r="AO84" s="157"/>
      <c r="AP84" s="157"/>
      <c r="AQ84" s="157"/>
      <c r="AR84" s="157"/>
      <c r="AS84" s="157"/>
      <c r="AT84" s="157"/>
      <c r="AU84" s="157"/>
      <c r="AV84" s="157"/>
    </row>
    <row r="85" spans="1:48" s="163" customFormat="1" ht="11.25">
      <c r="A85" s="157"/>
      <c r="B85" s="157"/>
      <c r="C85" s="157"/>
      <c r="D85" s="157"/>
      <c r="E85" s="157"/>
      <c r="F85" s="157"/>
      <c r="G85" s="157"/>
      <c r="H85" s="157"/>
      <c r="I85" s="157"/>
      <c r="J85" s="157"/>
      <c r="K85" s="157"/>
      <c r="L85" s="157"/>
      <c r="M85" s="157"/>
      <c r="N85" s="157"/>
      <c r="O85" s="157"/>
      <c r="P85" s="157"/>
      <c r="Q85" s="157"/>
      <c r="R85" s="157"/>
      <c r="S85" s="281">
        <f>(C17*(C13/12))</f>
        <v>60000</v>
      </c>
      <c r="T85" s="159"/>
      <c r="U85" s="159"/>
      <c r="V85" s="157"/>
      <c r="W85" s="281">
        <f>(H17*(H13/12))</f>
        <v>80000</v>
      </c>
      <c r="X85" s="159"/>
      <c r="Y85" s="159"/>
      <c r="Z85" s="157"/>
      <c r="AA85" s="281">
        <f>(M17*(M13/12))</f>
        <v>100000</v>
      </c>
      <c r="AB85" s="159"/>
      <c r="AC85" s="194">
        <v>47</v>
      </c>
      <c r="AD85" s="17">
        <f t="shared" si="2"/>
        <v>0</v>
      </c>
      <c r="AE85" s="162"/>
      <c r="AF85" s="157"/>
      <c r="AG85" s="194">
        <v>47</v>
      </c>
      <c r="AH85" s="17">
        <f t="shared" si="4"/>
        <v>353800</v>
      </c>
      <c r="AI85" s="157"/>
      <c r="AJ85" s="157"/>
      <c r="AK85" s="194">
        <v>47</v>
      </c>
      <c r="AL85" s="17">
        <f t="shared" si="5"/>
        <v>330100</v>
      </c>
      <c r="AM85" s="162"/>
      <c r="AN85" s="157"/>
      <c r="AO85" s="157"/>
      <c r="AP85" s="157"/>
      <c r="AQ85" s="157"/>
      <c r="AR85" s="157"/>
      <c r="AS85" s="157"/>
      <c r="AT85" s="157"/>
      <c r="AU85" s="157"/>
    </row>
    <row r="86" spans="1:48" s="163" customFormat="1" ht="14.25" thickBot="1">
      <c r="A86" s="157"/>
      <c r="B86" s="157"/>
      <c r="C86" s="157"/>
      <c r="D86" s="157"/>
      <c r="E86" s="157"/>
      <c r="F86" s="157"/>
      <c r="G86" s="157"/>
      <c r="H86" s="157"/>
      <c r="I86" s="157"/>
      <c r="J86" s="157"/>
      <c r="K86" s="157"/>
      <c r="L86" s="157"/>
      <c r="M86" s="157"/>
      <c r="N86" s="157"/>
      <c r="O86" s="157"/>
      <c r="P86" s="157"/>
      <c r="Q86" s="157"/>
      <c r="R86" s="937" t="s">
        <v>2155</v>
      </c>
      <c r="S86" s="1040" t="s">
        <v>1680</v>
      </c>
      <c r="T86" s="159"/>
      <c r="U86" s="159"/>
      <c r="V86" s="937" t="s">
        <v>2155</v>
      </c>
      <c r="W86" s="1040" t="s">
        <v>2156</v>
      </c>
      <c r="X86" s="159"/>
      <c r="Y86" s="159"/>
      <c r="Z86" s="937" t="s">
        <v>2155</v>
      </c>
      <c r="AA86" s="1040" t="s">
        <v>2157</v>
      </c>
      <c r="AB86" s="157"/>
      <c r="AC86" s="194">
        <v>48</v>
      </c>
      <c r="AD86" s="17">
        <f t="shared" si="2"/>
        <v>0</v>
      </c>
      <c r="AE86" s="162"/>
      <c r="AF86" s="157"/>
      <c r="AG86" s="194">
        <v>48</v>
      </c>
      <c r="AH86" s="17">
        <f t="shared" si="4"/>
        <v>12680800</v>
      </c>
      <c r="AI86" s="157"/>
      <c r="AJ86" s="157"/>
      <c r="AK86" s="194">
        <v>48</v>
      </c>
      <c r="AL86" s="17">
        <f t="shared" si="5"/>
        <v>330100</v>
      </c>
      <c r="AM86" s="162"/>
      <c r="AN86" s="157"/>
      <c r="AO86" s="157"/>
      <c r="AP86" s="157"/>
      <c r="AQ86" s="157"/>
      <c r="AR86" s="157"/>
      <c r="AS86" s="157"/>
      <c r="AT86" s="157"/>
      <c r="AU86" s="157"/>
    </row>
    <row r="87" spans="1:48" s="163" customFormat="1" ht="13.5">
      <c r="A87" s="157"/>
      <c r="B87" s="157"/>
      <c r="C87" s="157"/>
      <c r="D87" s="157"/>
      <c r="E87" s="157"/>
      <c r="F87" s="157"/>
      <c r="G87" s="157"/>
      <c r="H87" s="157"/>
      <c r="I87" s="157"/>
      <c r="J87" s="157"/>
      <c r="K87" s="157"/>
      <c r="L87" s="157"/>
      <c r="M87" s="157"/>
      <c r="N87" s="157"/>
      <c r="O87" s="157"/>
      <c r="P87" s="157"/>
      <c r="Q87" s="157"/>
      <c r="R87" s="933">
        <v>36</v>
      </c>
      <c r="S87" s="934">
        <v>0</v>
      </c>
      <c r="T87" s="159"/>
      <c r="U87" s="159"/>
      <c r="V87" s="933">
        <v>36</v>
      </c>
      <c r="W87" s="934">
        <v>0</v>
      </c>
      <c r="X87" s="159"/>
      <c r="Y87" s="159"/>
      <c r="Z87" s="933">
        <v>36</v>
      </c>
      <c r="AA87" s="934">
        <v>0</v>
      </c>
      <c r="AB87" s="157"/>
      <c r="AC87" s="194">
        <v>49</v>
      </c>
      <c r="AD87" s="17">
        <f t="shared" si="2"/>
        <v>0</v>
      </c>
      <c r="AE87" s="162"/>
      <c r="AF87" s="157"/>
      <c r="AG87" s="194">
        <v>49</v>
      </c>
      <c r="AH87" s="17">
        <f t="shared" si="4"/>
        <v>0</v>
      </c>
      <c r="AI87" s="157"/>
      <c r="AJ87" s="157"/>
      <c r="AK87" s="194">
        <v>49</v>
      </c>
      <c r="AL87" s="17">
        <f t="shared" si="5"/>
        <v>330100</v>
      </c>
      <c r="AM87" s="162"/>
      <c r="AN87" s="157"/>
      <c r="AO87" s="157"/>
      <c r="AP87" s="157"/>
      <c r="AQ87" s="157"/>
      <c r="AR87" s="157"/>
      <c r="AS87" s="157"/>
      <c r="AT87" s="157"/>
      <c r="AU87" s="157"/>
    </row>
    <row r="88" spans="1:48" s="163" customFormat="1" ht="13.5">
      <c r="A88" s="157"/>
      <c r="B88" s="157"/>
      <c r="C88" s="157"/>
      <c r="D88" s="157"/>
      <c r="E88" s="157"/>
      <c r="F88" s="157"/>
      <c r="G88" s="157"/>
      <c r="H88" s="157"/>
      <c r="I88" s="157"/>
      <c r="J88" s="157"/>
      <c r="K88" s="157"/>
      <c r="L88" s="157"/>
      <c r="M88" s="157"/>
      <c r="N88" s="157"/>
      <c r="O88" s="157"/>
      <c r="P88" s="157"/>
      <c r="Q88" s="157"/>
      <c r="R88" s="1041">
        <v>48</v>
      </c>
      <c r="S88" s="1042">
        <v>0</v>
      </c>
      <c r="T88" s="159"/>
      <c r="U88" s="159"/>
      <c r="V88" s="1041">
        <v>48</v>
      </c>
      <c r="W88" s="1042">
        <v>0</v>
      </c>
      <c r="X88" s="159"/>
      <c r="Y88" s="159"/>
      <c r="Z88" s="1041">
        <v>48</v>
      </c>
      <c r="AA88" s="1042">
        <v>0</v>
      </c>
      <c r="AB88" s="157"/>
      <c r="AC88" s="194">
        <v>50</v>
      </c>
      <c r="AD88" s="17">
        <f t="shared" si="2"/>
        <v>0</v>
      </c>
      <c r="AE88" s="162"/>
      <c r="AF88" s="157"/>
      <c r="AG88" s="194">
        <v>50</v>
      </c>
      <c r="AH88" s="17">
        <f t="shared" si="4"/>
        <v>0</v>
      </c>
      <c r="AI88" s="157"/>
      <c r="AJ88" s="157"/>
      <c r="AK88" s="194">
        <v>50</v>
      </c>
      <c r="AL88" s="17">
        <f t="shared" si="5"/>
        <v>330100</v>
      </c>
      <c r="AM88" s="162"/>
      <c r="AN88" s="157"/>
      <c r="AO88" s="157"/>
      <c r="AP88" s="157"/>
      <c r="AQ88" s="157"/>
      <c r="AR88" s="157"/>
      <c r="AS88" s="157"/>
      <c r="AT88" s="157"/>
      <c r="AU88" s="157"/>
    </row>
    <row r="89" spans="1:48" s="163" customFormat="1" ht="14.25" thickBot="1">
      <c r="A89" s="157"/>
      <c r="B89" s="157"/>
      <c r="C89" s="157"/>
      <c r="D89" s="157"/>
      <c r="E89" s="157"/>
      <c r="F89" s="157"/>
      <c r="G89" s="157"/>
      <c r="H89" s="157"/>
      <c r="I89" s="157"/>
      <c r="J89" s="157"/>
      <c r="K89" s="157"/>
      <c r="L89" s="157"/>
      <c r="M89" s="1932" t="s">
        <v>3061</v>
      </c>
      <c r="N89" s="1932"/>
      <c r="O89" s="157"/>
      <c r="P89" s="157"/>
      <c r="Q89" s="157"/>
      <c r="R89" s="935">
        <v>60</v>
      </c>
      <c r="S89" s="936">
        <v>0</v>
      </c>
      <c r="T89" s="159"/>
      <c r="U89" s="159"/>
      <c r="V89" s="935">
        <v>60</v>
      </c>
      <c r="W89" s="936">
        <v>0</v>
      </c>
      <c r="X89" s="159"/>
      <c r="Y89" s="159"/>
      <c r="Z89" s="935">
        <v>60</v>
      </c>
      <c r="AA89" s="936">
        <v>0</v>
      </c>
      <c r="AB89" s="157"/>
      <c r="AC89" s="194">
        <v>51</v>
      </c>
      <c r="AD89" s="17">
        <f t="shared" si="2"/>
        <v>0</v>
      </c>
      <c r="AE89" s="162"/>
      <c r="AF89" s="157"/>
      <c r="AG89" s="194">
        <v>51</v>
      </c>
      <c r="AH89" s="17">
        <f t="shared" si="4"/>
        <v>0</v>
      </c>
      <c r="AI89" s="157"/>
      <c r="AJ89" s="157"/>
      <c r="AK89" s="194">
        <v>51</v>
      </c>
      <c r="AL89" s="17">
        <f t="shared" si="5"/>
        <v>330100</v>
      </c>
      <c r="AM89" s="162"/>
      <c r="AN89" s="157"/>
      <c r="AO89" s="157"/>
      <c r="AP89" s="157"/>
      <c r="AQ89" s="157"/>
      <c r="AR89" s="157"/>
      <c r="AS89" s="157"/>
      <c r="AT89" s="157"/>
      <c r="AU89" s="157"/>
    </row>
    <row r="90" spans="1:48" s="163" customFormat="1" ht="14.25" thickBot="1">
      <c r="A90" s="157"/>
      <c r="B90" s="157"/>
      <c r="C90" s="157"/>
      <c r="D90" s="157"/>
      <c r="E90" s="157"/>
      <c r="F90" s="157"/>
      <c r="G90" s="157"/>
      <c r="H90" s="157"/>
      <c r="I90" s="157"/>
      <c r="J90" s="157"/>
      <c r="K90" s="157"/>
      <c r="L90" s="157"/>
      <c r="M90" s="1149" t="s">
        <v>3062</v>
      </c>
      <c r="N90" s="1149" t="str">
        <f>R104</f>
        <v>Y</v>
      </c>
      <c r="O90" s="157"/>
      <c r="P90" s="157"/>
      <c r="Q90" s="157"/>
      <c r="R90" s="937" t="s">
        <v>2466</v>
      </c>
      <c r="S90" s="1040" t="s">
        <v>1680</v>
      </c>
      <c r="T90" s="159"/>
      <c r="U90" s="159"/>
      <c r="V90" s="937" t="s">
        <v>2466</v>
      </c>
      <c r="W90" s="1040" t="s">
        <v>2156</v>
      </c>
      <c r="X90" s="159"/>
      <c r="Y90" s="159"/>
      <c r="Z90" s="937" t="s">
        <v>2466</v>
      </c>
      <c r="AA90" s="1040" t="s">
        <v>2157</v>
      </c>
      <c r="AB90" s="157"/>
      <c r="AC90" s="194">
        <v>52</v>
      </c>
      <c r="AD90" s="17">
        <f t="shared" si="2"/>
        <v>0</v>
      </c>
      <c r="AE90" s="162"/>
      <c r="AF90" s="157"/>
      <c r="AG90" s="194">
        <v>52</v>
      </c>
      <c r="AH90" s="17">
        <f t="shared" si="4"/>
        <v>0</v>
      </c>
      <c r="AI90" s="157"/>
      <c r="AJ90" s="157"/>
      <c r="AK90" s="194">
        <v>52</v>
      </c>
      <c r="AL90" s="17">
        <f t="shared" si="5"/>
        <v>330100</v>
      </c>
      <c r="AM90" s="162"/>
      <c r="AN90" s="157"/>
      <c r="AO90" s="157"/>
      <c r="AP90" s="157"/>
      <c r="AQ90" s="157"/>
      <c r="AR90" s="157"/>
      <c r="AS90" s="157"/>
      <c r="AT90" s="157"/>
      <c r="AU90" s="157"/>
    </row>
    <row r="91" spans="1:48" s="163" customFormat="1" ht="13.5">
      <c r="A91" s="157"/>
      <c r="B91" s="157"/>
      <c r="C91" s="157"/>
      <c r="D91" s="157"/>
      <c r="E91" s="157"/>
      <c r="F91" s="157"/>
      <c r="G91" s="157"/>
      <c r="H91" s="157"/>
      <c r="I91" s="157"/>
      <c r="J91" s="157"/>
      <c r="K91" s="157"/>
      <c r="L91" s="157"/>
      <c r="M91" s="1221" t="s">
        <v>3071</v>
      </c>
      <c r="N91" s="1224">
        <f>IF(R104="Y",IFERROR(VLOOKUP(S65,프로모션잔가시트!$I$5:$J$100,2,0),1.21),계산_운용리스!M106)</f>
        <v>6.6E-3</v>
      </c>
      <c r="O91" s="157"/>
      <c r="P91" s="157"/>
      <c r="Q91" s="157"/>
      <c r="R91" s="933" t="s">
        <v>3236</v>
      </c>
      <c r="S91" s="934">
        <f>IF(AND(D4="수입",C17=30000,C13=36),6%,0%)</f>
        <v>0</v>
      </c>
      <c r="T91" s="159"/>
      <c r="U91" s="159"/>
      <c r="V91" s="933" t="s">
        <v>3236</v>
      </c>
      <c r="W91" s="934">
        <f>IF(AND(I4="수입",H17=30000,H13=36),6%,0%)</f>
        <v>0</v>
      </c>
      <c r="X91" s="159"/>
      <c r="Y91" s="159"/>
      <c r="Z91" s="933" t="s">
        <v>3236</v>
      </c>
      <c r="AA91" s="934">
        <f>IF(AND(N4="수입",M17=30000,M13=36),6%,0%)</f>
        <v>0</v>
      </c>
      <c r="AB91" s="157"/>
      <c r="AC91" s="194">
        <v>53</v>
      </c>
      <c r="AD91" s="17">
        <f t="shared" si="2"/>
        <v>0</v>
      </c>
      <c r="AE91" s="162"/>
      <c r="AF91" s="157"/>
      <c r="AG91" s="194">
        <v>53</v>
      </c>
      <c r="AH91" s="17">
        <f t="shared" si="4"/>
        <v>0</v>
      </c>
      <c r="AI91" s="157"/>
      <c r="AJ91" s="157"/>
      <c r="AK91" s="194">
        <v>53</v>
      </c>
      <c r="AL91" s="17">
        <f t="shared" si="5"/>
        <v>330100</v>
      </c>
      <c r="AM91" s="162"/>
      <c r="AN91" s="157"/>
      <c r="AO91" s="157"/>
      <c r="AP91" s="157"/>
      <c r="AQ91" s="157"/>
      <c r="AR91" s="157"/>
      <c r="AS91" s="157"/>
      <c r="AT91" s="157"/>
      <c r="AU91" s="157"/>
    </row>
    <row r="92" spans="1:48" s="163" customFormat="1" ht="13.5">
      <c r="A92" s="157"/>
      <c r="B92" s="157"/>
      <c r="C92" s="157"/>
      <c r="D92" s="157"/>
      <c r="E92" s="157"/>
      <c r="F92" s="157"/>
      <c r="G92" s="157"/>
      <c r="H92" s="157"/>
      <c r="I92" s="157"/>
      <c r="J92" s="157"/>
      <c r="K92" s="157"/>
      <c r="L92" s="157"/>
      <c r="M92" s="157" t="s">
        <v>3063</v>
      </c>
      <c r="N92" s="1225">
        <f>IF($N$91=0.66%,M102,N102)</f>
        <v>1.1000000000000001E-3</v>
      </c>
      <c r="O92" s="157"/>
      <c r="P92" s="157"/>
      <c r="Q92" s="157"/>
      <c r="R92" s="1041" t="s">
        <v>3237</v>
      </c>
      <c r="S92" s="1042">
        <f>IF(AND(D4="수입",C17=30000,C13=48),6%,0%)</f>
        <v>0</v>
      </c>
      <c r="T92" s="159"/>
      <c r="U92" s="159"/>
      <c r="V92" s="1041" t="s">
        <v>3237</v>
      </c>
      <c r="W92" s="1042">
        <f>IF(AND(I4="수입",H17=30000,H13=48),6%,0%)</f>
        <v>0</v>
      </c>
      <c r="X92" s="159"/>
      <c r="Y92" s="159"/>
      <c r="Z92" s="1041" t="s">
        <v>3237</v>
      </c>
      <c r="AA92" s="1042">
        <f>IF(AND(N4="수입",M17=30000,M13=48),6%,0%)</f>
        <v>0</v>
      </c>
      <c r="AB92" s="157"/>
      <c r="AC92" s="194">
        <v>54</v>
      </c>
      <c r="AD92" s="17">
        <f t="shared" si="2"/>
        <v>0</v>
      </c>
      <c r="AE92" s="162"/>
      <c r="AF92" s="157"/>
      <c r="AG92" s="194">
        <v>54</v>
      </c>
      <c r="AH92" s="17">
        <f t="shared" si="4"/>
        <v>0</v>
      </c>
      <c r="AI92" s="157"/>
      <c r="AJ92" s="157"/>
      <c r="AK92" s="194">
        <v>54</v>
      </c>
      <c r="AL92" s="17">
        <f t="shared" si="5"/>
        <v>330100</v>
      </c>
      <c r="AM92" s="162"/>
      <c r="AN92" s="157"/>
      <c r="AO92" s="157"/>
      <c r="AP92" s="157"/>
      <c r="AQ92" s="157"/>
      <c r="AR92" s="157"/>
      <c r="AS92" s="157"/>
      <c r="AT92" s="157"/>
      <c r="AU92" s="157"/>
    </row>
    <row r="93" spans="1:48" s="163" customFormat="1" ht="14.25" thickBot="1">
      <c r="A93" s="157"/>
      <c r="B93" s="157"/>
      <c r="C93" s="157"/>
      <c r="D93" s="157"/>
      <c r="E93" s="157"/>
      <c r="F93" s="157"/>
      <c r="G93" s="157"/>
      <c r="H93" s="157"/>
      <c r="I93" s="157"/>
      <c r="J93" s="157"/>
      <c r="K93" s="157"/>
      <c r="L93" s="157"/>
      <c r="M93" s="157" t="s">
        <v>3064</v>
      </c>
      <c r="N93" s="1225">
        <f t="shared" ref="N93:N99" si="7">IF($N$91=0.66%,M103,N103)</f>
        <v>2.2000000000000001E-3</v>
      </c>
      <c r="O93" s="157"/>
      <c r="P93" s="157"/>
      <c r="Q93" s="157"/>
      <c r="R93" s="935" t="s">
        <v>3238</v>
      </c>
      <c r="S93" s="936">
        <f>IF(AND(D4="수입",C17=30000,C13=60),6%,0%)</f>
        <v>0</v>
      </c>
      <c r="T93" s="159"/>
      <c r="U93" s="159"/>
      <c r="V93" s="935" t="s">
        <v>3238</v>
      </c>
      <c r="W93" s="936">
        <f>IF(AND(I4="수입",H17=30000,H13=60),6%,0%)</f>
        <v>0</v>
      </c>
      <c r="X93" s="159"/>
      <c r="Y93" s="159"/>
      <c r="Z93" s="935" t="s">
        <v>3238</v>
      </c>
      <c r="AA93" s="936">
        <f>IF(AND(N4="수입",M17=30000,M13=60),6%,0%)</f>
        <v>0</v>
      </c>
      <c r="AB93" s="157"/>
      <c r="AC93" s="194">
        <v>55</v>
      </c>
      <c r="AD93" s="17">
        <f t="shared" si="2"/>
        <v>0</v>
      </c>
      <c r="AE93" s="162"/>
      <c r="AF93" s="157"/>
      <c r="AG93" s="194">
        <v>55</v>
      </c>
      <c r="AH93" s="17">
        <f t="shared" si="4"/>
        <v>0</v>
      </c>
      <c r="AI93" s="157"/>
      <c r="AJ93" s="157"/>
      <c r="AK93" s="194">
        <v>55</v>
      </c>
      <c r="AL93" s="17">
        <f t="shared" si="5"/>
        <v>330100</v>
      </c>
      <c r="AM93" s="162"/>
      <c r="AN93" s="157"/>
      <c r="AO93" s="157"/>
      <c r="AP93" s="157"/>
      <c r="AQ93" s="157"/>
      <c r="AR93" s="157"/>
      <c r="AS93" s="157"/>
      <c r="AT93" s="157"/>
      <c r="AU93" s="157"/>
    </row>
    <row r="94" spans="1:48" s="163" customFormat="1" thickBot="1">
      <c r="A94" s="157"/>
      <c r="B94" s="157"/>
      <c r="C94" s="157"/>
      <c r="D94" s="157"/>
      <c r="E94" s="157"/>
      <c r="F94" s="157"/>
      <c r="G94" s="157"/>
      <c r="H94" s="157"/>
      <c r="I94" s="157"/>
      <c r="J94" s="157"/>
      <c r="K94" s="157"/>
      <c r="L94" s="157"/>
      <c r="M94" s="157" t="s">
        <v>3065</v>
      </c>
      <c r="N94" s="1225">
        <f t="shared" si="7"/>
        <v>3.3E-3</v>
      </c>
      <c r="O94" s="157"/>
      <c r="P94" s="157"/>
      <c r="Q94" s="157"/>
      <c r="R94" s="157"/>
      <c r="S94" s="157" t="str">
        <f>+VLOOKUP(S65,차량정보!$D$4:$X$77432,21,0)</f>
        <v>10만원</v>
      </c>
      <c r="T94" s="159"/>
      <c r="U94" s="159"/>
      <c r="V94" s="157"/>
      <c r="W94" s="157" t="str">
        <f>+VLOOKUP(W65,차량정보!$D$4:$X$77432,21,0)</f>
        <v>10만원</v>
      </c>
      <c r="X94" s="159"/>
      <c r="Y94" s="159"/>
      <c r="Z94" s="157"/>
      <c r="AA94" s="157" t="str">
        <f>+VLOOKUP(AA65,차량정보!$D$4:$X$77432,21,0)</f>
        <v>10만원</v>
      </c>
      <c r="AB94" s="157"/>
      <c r="AC94" s="194">
        <v>56</v>
      </c>
      <c r="AD94" s="17">
        <f t="shared" si="2"/>
        <v>0</v>
      </c>
      <c r="AE94" s="162"/>
      <c r="AF94" s="157"/>
      <c r="AG94" s="194">
        <v>56</v>
      </c>
      <c r="AH94" s="17">
        <f t="shared" si="4"/>
        <v>0</v>
      </c>
      <c r="AI94" s="157"/>
      <c r="AJ94" s="157"/>
      <c r="AK94" s="194">
        <v>56</v>
      </c>
      <c r="AL94" s="17">
        <f t="shared" si="5"/>
        <v>330100</v>
      </c>
      <c r="AM94" s="162"/>
      <c r="AN94" s="157"/>
      <c r="AO94" s="157"/>
      <c r="AP94" s="157"/>
      <c r="AQ94" s="157"/>
      <c r="AR94" s="157"/>
      <c r="AS94" s="157"/>
      <c r="AT94" s="157"/>
      <c r="AU94" s="157"/>
    </row>
    <row r="95" spans="1:48" s="163" customFormat="1" ht="14.25" thickBot="1">
      <c r="A95" s="157"/>
      <c r="B95" s="157"/>
      <c r="C95" s="157"/>
      <c r="D95" s="157"/>
      <c r="E95" s="157"/>
      <c r="F95" s="157"/>
      <c r="G95" s="157"/>
      <c r="H95" s="157"/>
      <c r="I95" s="157"/>
      <c r="J95" s="157"/>
      <c r="K95" s="157"/>
      <c r="L95" s="157"/>
      <c r="M95" s="157" t="s">
        <v>3066</v>
      </c>
      <c r="N95" s="1225">
        <f t="shared" si="7"/>
        <v>4.4000000000000003E-3</v>
      </c>
      <c r="O95" s="157"/>
      <c r="P95" s="157"/>
      <c r="Q95" s="157"/>
      <c r="R95" s="1310" t="s">
        <v>2459</v>
      </c>
      <c r="S95" s="1311" t="s">
        <v>1680</v>
      </c>
      <c r="T95" s="1292"/>
      <c r="U95" s="1292"/>
      <c r="V95" s="1310" t="s">
        <v>2459</v>
      </c>
      <c r="W95" s="1311" t="s">
        <v>2461</v>
      </c>
      <c r="X95" s="1292"/>
      <c r="Y95" s="1292"/>
      <c r="Z95" s="1310" t="s">
        <v>2459</v>
      </c>
      <c r="AA95" s="1311" t="s">
        <v>2460</v>
      </c>
      <c r="AB95" s="157"/>
      <c r="AC95" s="194">
        <v>57</v>
      </c>
      <c r="AD95" s="17">
        <f t="shared" si="2"/>
        <v>0</v>
      </c>
      <c r="AE95" s="162"/>
      <c r="AF95" s="157"/>
      <c r="AG95" s="194">
        <v>57</v>
      </c>
      <c r="AH95" s="17">
        <f t="shared" si="4"/>
        <v>0</v>
      </c>
      <c r="AI95" s="157"/>
      <c r="AJ95" s="157"/>
      <c r="AK95" s="194">
        <v>57</v>
      </c>
      <c r="AL95" s="17">
        <f t="shared" si="5"/>
        <v>330100</v>
      </c>
      <c r="AM95" s="162"/>
      <c r="AN95" s="157"/>
      <c r="AO95" s="157"/>
      <c r="AP95" s="157"/>
      <c r="AQ95" s="157"/>
      <c r="AR95" s="157"/>
      <c r="AS95" s="157"/>
      <c r="AT95" s="157"/>
      <c r="AU95" s="157"/>
    </row>
    <row r="96" spans="1:48" s="163" customFormat="1" ht="13.5">
      <c r="A96" s="157"/>
      <c r="B96" s="157"/>
      <c r="C96" s="157"/>
      <c r="D96" s="157"/>
      <c r="E96" s="157"/>
      <c r="F96" s="157"/>
      <c r="G96" s="157"/>
      <c r="H96" s="157"/>
      <c r="I96" s="157"/>
      <c r="J96" s="157"/>
      <c r="K96" s="157"/>
      <c r="L96" s="157"/>
      <c r="M96" s="157" t="s">
        <v>3067</v>
      </c>
      <c r="N96" s="1225">
        <f t="shared" si="7"/>
        <v>6.6E-3</v>
      </c>
      <c r="O96" s="157"/>
      <c r="P96" s="157"/>
      <c r="Q96" s="157"/>
      <c r="R96" s="1930" t="s">
        <v>2458</v>
      </c>
      <c r="S96" s="1312">
        <v>0</v>
      </c>
      <c r="T96" s="1292"/>
      <c r="U96" s="1292"/>
      <c r="V96" s="1930" t="s">
        <v>2462</v>
      </c>
      <c r="W96" s="1312">
        <v>0</v>
      </c>
      <c r="X96" s="1292"/>
      <c r="Y96" s="1292"/>
      <c r="Z96" s="1930" t="s">
        <v>2463</v>
      </c>
      <c r="AA96" s="1312">
        <v>0</v>
      </c>
      <c r="AB96" s="157"/>
      <c r="AC96" s="194">
        <v>58</v>
      </c>
      <c r="AD96" s="17">
        <f t="shared" si="2"/>
        <v>0</v>
      </c>
      <c r="AE96" s="162"/>
      <c r="AF96" s="157"/>
      <c r="AG96" s="194">
        <v>58</v>
      </c>
      <c r="AH96" s="17">
        <f t="shared" si="4"/>
        <v>0</v>
      </c>
      <c r="AI96" s="157"/>
      <c r="AJ96" s="157"/>
      <c r="AK96" s="194">
        <v>58</v>
      </c>
      <c r="AL96" s="17">
        <f t="shared" si="5"/>
        <v>330100</v>
      </c>
      <c r="AM96" s="162"/>
      <c r="AN96" s="157"/>
      <c r="AO96" s="157"/>
      <c r="AP96" s="157"/>
      <c r="AQ96" s="157"/>
      <c r="AR96" s="157"/>
      <c r="AS96" s="157"/>
      <c r="AT96" s="157"/>
      <c r="AU96" s="157"/>
    </row>
    <row r="97" spans="2:91" ht="14.25" thickBot="1">
      <c r="F97" s="157"/>
      <c r="K97" s="157"/>
      <c r="M97" s="157" t="s">
        <v>3068</v>
      </c>
      <c r="N97" s="1225" t="e">
        <f t="shared" si="7"/>
        <v>#N/A</v>
      </c>
      <c r="R97" s="1931"/>
      <c r="S97" s="1313">
        <v>0</v>
      </c>
      <c r="T97" s="1292"/>
      <c r="U97" s="1292"/>
      <c r="V97" s="1931"/>
      <c r="W97" s="1313">
        <v>0</v>
      </c>
      <c r="X97" s="1292"/>
      <c r="Y97" s="1292"/>
      <c r="Z97" s="1931"/>
      <c r="AA97" s="1313">
        <v>0</v>
      </c>
      <c r="AC97" s="194">
        <v>59</v>
      </c>
      <c r="AD97" s="17">
        <f t="shared" si="2"/>
        <v>0</v>
      </c>
      <c r="AE97" s="162"/>
      <c r="AF97" s="157"/>
      <c r="AG97" s="194">
        <v>59</v>
      </c>
      <c r="AH97" s="17">
        <f t="shared" si="4"/>
        <v>0</v>
      </c>
      <c r="AI97" s="157"/>
      <c r="AJ97" s="157"/>
      <c r="AK97" s="194">
        <v>59</v>
      </c>
      <c r="AL97" s="17">
        <f t="shared" si="5"/>
        <v>330100</v>
      </c>
      <c r="AM97" s="162"/>
      <c r="AN97" s="157"/>
      <c r="AO97" s="157"/>
      <c r="AP97" s="157"/>
      <c r="AQ97" s="157"/>
      <c r="AR97" s="157"/>
      <c r="AS97" s="157"/>
      <c r="AT97" s="157"/>
      <c r="AU97" s="157"/>
      <c r="AV97" s="163"/>
      <c r="AW97" s="163"/>
      <c r="AX97" s="163"/>
      <c r="AY97" s="163"/>
      <c r="AZ97" s="163"/>
      <c r="BA97" s="163"/>
      <c r="BB97" s="163"/>
      <c r="BC97" s="163"/>
      <c r="BD97" s="163"/>
      <c r="BE97" s="163"/>
      <c r="BF97" s="163"/>
      <c r="BG97" s="163"/>
      <c r="BH97" s="163"/>
      <c r="BI97" s="163"/>
      <c r="BJ97" s="163"/>
      <c r="BK97" s="163"/>
      <c r="BL97" s="163"/>
      <c r="BM97" s="163"/>
      <c r="BN97" s="163"/>
      <c r="BO97" s="163"/>
      <c r="BP97" s="163"/>
      <c r="BQ97" s="163"/>
      <c r="BR97" s="163"/>
      <c r="BS97" s="163"/>
      <c r="BT97" s="163"/>
      <c r="BU97" s="163"/>
      <c r="BV97" s="163"/>
      <c r="BW97" s="163"/>
      <c r="BX97" s="163"/>
      <c r="BY97" s="163"/>
      <c r="BZ97" s="163"/>
      <c r="CA97" s="163"/>
      <c r="CB97" s="163"/>
      <c r="CC97" s="163"/>
      <c r="CD97" s="163"/>
      <c r="CE97" s="163"/>
      <c r="CF97" s="163"/>
      <c r="CG97" s="163"/>
      <c r="CH97" s="163"/>
      <c r="CI97" s="163"/>
      <c r="CJ97" s="163"/>
      <c r="CK97" s="163"/>
      <c r="CL97" s="163"/>
      <c r="CM97" s="163"/>
    </row>
    <row r="98" spans="2:91" ht="11.25">
      <c r="F98" s="157"/>
      <c r="K98" s="157"/>
      <c r="M98" s="157" t="s">
        <v>3069</v>
      </c>
      <c r="N98" s="1225" t="e">
        <f t="shared" si="7"/>
        <v>#N/A</v>
      </c>
      <c r="T98" s="157"/>
      <c r="V98" s="159"/>
      <c r="W98" s="159"/>
      <c r="X98" s="157"/>
      <c r="Y98" s="157"/>
      <c r="AC98" s="157"/>
      <c r="AD98" s="27">
        <f t="shared" si="2"/>
        <v>396200</v>
      </c>
      <c r="AE98" s="162"/>
      <c r="AF98" s="157"/>
      <c r="AG98" s="201">
        <v>60</v>
      </c>
      <c r="AH98" s="27">
        <f t="shared" si="4"/>
        <v>0</v>
      </c>
      <c r="AI98" s="157"/>
      <c r="AJ98" s="157"/>
      <c r="AK98" s="201">
        <v>60</v>
      </c>
      <c r="AL98" s="27">
        <f t="shared" si="5"/>
        <v>10797100</v>
      </c>
      <c r="AM98" s="162"/>
      <c r="AN98" s="157"/>
      <c r="AO98" s="157"/>
      <c r="AP98" s="157"/>
      <c r="AQ98" s="157"/>
      <c r="AR98" s="157"/>
      <c r="AS98" s="157"/>
      <c r="AT98" s="157"/>
      <c r="AU98" s="157"/>
      <c r="AV98" s="163"/>
      <c r="AW98" s="163"/>
      <c r="AX98" s="163"/>
      <c r="AY98" s="163"/>
      <c r="AZ98" s="163"/>
      <c r="BA98" s="163"/>
      <c r="BB98" s="163"/>
      <c r="BC98" s="163"/>
      <c r="BD98" s="163"/>
      <c r="BE98" s="163"/>
      <c r="BF98" s="163"/>
      <c r="BG98" s="163"/>
      <c r="BH98" s="163"/>
      <c r="BI98" s="163"/>
      <c r="BJ98" s="163"/>
      <c r="BK98" s="163"/>
      <c r="BL98" s="163"/>
      <c r="BM98" s="163"/>
      <c r="BN98" s="163"/>
      <c r="BO98" s="163"/>
      <c r="BP98" s="163"/>
      <c r="BQ98" s="163"/>
      <c r="BR98" s="163"/>
      <c r="BS98" s="163"/>
      <c r="BT98" s="163"/>
      <c r="BU98" s="163"/>
      <c r="BV98" s="163"/>
      <c r="BW98" s="163"/>
      <c r="BX98" s="163"/>
      <c r="BY98" s="163"/>
      <c r="BZ98" s="163"/>
      <c r="CA98" s="163"/>
      <c r="CB98" s="163"/>
      <c r="CC98" s="163"/>
      <c r="CD98" s="163"/>
      <c r="CE98" s="163"/>
      <c r="CF98" s="163"/>
      <c r="CG98" s="163"/>
      <c r="CH98" s="163"/>
      <c r="CI98" s="163"/>
      <c r="CJ98" s="163"/>
      <c r="CK98" s="163"/>
      <c r="CL98" s="163"/>
      <c r="CM98" s="163"/>
    </row>
    <row r="99" spans="2:91" ht="11.25">
      <c r="F99" s="157"/>
      <c r="K99" s="157"/>
      <c r="M99" s="1226" t="s">
        <v>3070</v>
      </c>
      <c r="N99" s="1227" t="e">
        <f t="shared" si="7"/>
        <v>#N/A</v>
      </c>
      <c r="R99" s="1932" t="s">
        <v>2706</v>
      </c>
      <c r="S99" s="1932"/>
      <c r="T99" s="157"/>
      <c r="V99" s="1932" t="s">
        <v>2706</v>
      </c>
      <c r="W99" s="1932"/>
      <c r="X99" s="157"/>
      <c r="Y99" s="157"/>
      <c r="Z99" s="1932" t="s">
        <v>2706</v>
      </c>
      <c r="AA99" s="1932"/>
      <c r="AC99" s="157"/>
      <c r="AD99" s="161"/>
      <c r="AE99" s="162"/>
      <c r="AF99" s="157"/>
      <c r="AG99" s="157"/>
      <c r="AH99" s="161"/>
      <c r="AI99" s="157"/>
      <c r="AJ99" s="157"/>
      <c r="AK99" s="157"/>
      <c r="AL99" s="161"/>
      <c r="AM99" s="162"/>
      <c r="AN99" s="157"/>
      <c r="AO99" s="157"/>
      <c r="AP99" s="157"/>
      <c r="AQ99" s="157"/>
      <c r="AR99" s="157"/>
      <c r="AS99" s="157"/>
      <c r="AT99" s="157"/>
      <c r="AU99" s="157"/>
      <c r="AV99" s="163"/>
      <c r="AW99" s="163"/>
      <c r="AX99" s="163"/>
      <c r="AY99" s="163"/>
      <c r="AZ99" s="163"/>
      <c r="BA99" s="163"/>
      <c r="BB99" s="163"/>
      <c r="BC99" s="163"/>
      <c r="BD99" s="163"/>
      <c r="BE99" s="163"/>
      <c r="BF99" s="163"/>
      <c r="BG99" s="163"/>
      <c r="BH99" s="163"/>
      <c r="BI99" s="163"/>
      <c r="BJ99" s="163"/>
      <c r="BK99" s="163"/>
      <c r="BL99" s="163"/>
      <c r="BM99" s="163"/>
      <c r="BN99" s="163"/>
      <c r="BO99" s="163"/>
      <c r="BP99" s="163"/>
      <c r="BQ99" s="163"/>
      <c r="BR99" s="163"/>
      <c r="BS99" s="163"/>
      <c r="BT99" s="163"/>
      <c r="BU99" s="163"/>
      <c r="BV99" s="163"/>
      <c r="BW99" s="163"/>
      <c r="BX99" s="163"/>
      <c r="BY99" s="163"/>
      <c r="BZ99" s="163"/>
      <c r="CA99" s="163"/>
      <c r="CB99" s="163"/>
      <c r="CC99" s="163"/>
      <c r="CD99" s="163"/>
      <c r="CE99" s="163"/>
      <c r="CF99" s="163"/>
      <c r="CG99" s="163"/>
      <c r="CH99" s="163"/>
      <c r="CI99" s="163"/>
      <c r="CJ99" s="163"/>
      <c r="CK99" s="163"/>
      <c r="CL99" s="163"/>
      <c r="CM99" s="163"/>
    </row>
    <row r="100" spans="2:91" ht="11.25">
      <c r="F100" s="157"/>
      <c r="K100" s="157"/>
      <c r="R100" s="1107" t="s">
        <v>2707</v>
      </c>
      <c r="S100" s="1143">
        <f>+S101+S102</f>
        <v>-3.0000000000000027E-2</v>
      </c>
      <c r="T100" s="157"/>
      <c r="V100" s="1107" t="s">
        <v>2707</v>
      </c>
      <c r="W100" s="1143">
        <f>+W101+W102</f>
        <v>-1.9999999999999962E-2</v>
      </c>
      <c r="X100" s="157"/>
      <c r="Y100" s="157"/>
      <c r="Z100" s="1107" t="s">
        <v>2707</v>
      </c>
      <c r="AA100" s="1143">
        <f>+AA101+AA102</f>
        <v>-3.999999999999998E-2</v>
      </c>
      <c r="AC100" s="157"/>
      <c r="AD100" s="157"/>
      <c r="AE100" s="161"/>
      <c r="AF100" s="162"/>
      <c r="AG100" s="157"/>
      <c r="AH100" s="157"/>
      <c r="AI100" s="161"/>
      <c r="AJ100" s="157"/>
      <c r="AK100" s="157"/>
      <c r="AL100" s="157"/>
      <c r="AM100" s="161"/>
      <c r="AN100" s="162"/>
      <c r="AO100" s="157"/>
      <c r="AP100" s="157"/>
      <c r="AQ100" s="157"/>
      <c r="AR100" s="157"/>
      <c r="AS100" s="157"/>
      <c r="AT100" s="157"/>
      <c r="AU100" s="157"/>
      <c r="AV100" s="157"/>
      <c r="AW100" s="163"/>
      <c r="AX100" s="163"/>
      <c r="AY100" s="163"/>
      <c r="AZ100" s="163"/>
      <c r="BA100" s="163"/>
      <c r="BB100" s="163"/>
      <c r="BC100" s="163"/>
      <c r="BD100" s="163"/>
      <c r="BE100" s="163"/>
      <c r="BF100" s="163"/>
      <c r="BG100" s="163"/>
      <c r="BH100" s="163"/>
      <c r="BI100" s="163"/>
      <c r="BJ100" s="163"/>
      <c r="BK100" s="163"/>
      <c r="BL100" s="163"/>
      <c r="BM100" s="163"/>
      <c r="BN100" s="163"/>
      <c r="BO100" s="163"/>
      <c r="BP100" s="163"/>
      <c r="BQ100" s="163"/>
      <c r="BR100" s="163"/>
      <c r="BS100" s="163"/>
      <c r="BT100" s="163"/>
      <c r="BU100" s="163"/>
      <c r="BV100" s="163"/>
      <c r="BW100" s="163"/>
      <c r="BX100" s="163"/>
      <c r="BY100" s="163"/>
      <c r="BZ100" s="163"/>
      <c r="CA100" s="163"/>
      <c r="CB100" s="163"/>
      <c r="CC100" s="163"/>
      <c r="CD100" s="163"/>
      <c r="CE100" s="163"/>
      <c r="CF100" s="163"/>
      <c r="CG100" s="163"/>
      <c r="CH100" s="163"/>
      <c r="CI100" s="163"/>
      <c r="CJ100" s="163"/>
      <c r="CK100" s="163"/>
      <c r="CL100" s="163"/>
      <c r="CM100" s="163"/>
    </row>
    <row r="101" spans="2:91" ht="16.5" customHeight="1">
      <c r="F101" s="157"/>
      <c r="K101" s="157"/>
      <c r="M101" s="1149" t="s">
        <v>2971</v>
      </c>
      <c r="N101" s="1149" t="s">
        <v>2972</v>
      </c>
      <c r="R101" s="1109" t="s">
        <v>2708</v>
      </c>
      <c r="S101" s="1110">
        <f>IF(AND(C13=36,C17&lt;29999,S104="해당"),VLOOKUP(S65,프로모션잔가시트!$I$5:$AC$76,15,0),IF(AND(C13=48,C17&lt;29999,S104="해당"),VLOOKUP(S65,프로모션잔가시트!$I$5:$AC$76,16,0),IF(AND(C13=60,C17&lt;29999,S104="해당"),VLOOKUP(S65,프로모션잔가시트!$I$5:$AC$76,17,0),0)))</f>
        <v>-3.0000000000000027E-2</v>
      </c>
      <c r="T101" s="157"/>
      <c r="V101" s="1109" t="s">
        <v>2708</v>
      </c>
      <c r="W101" s="1110">
        <f>IF(AND(H13=36,H17&lt;29999,W104="해당"),VLOOKUP(W65,프로모션잔가시트!$I$5:$AC$76,15,0),IF(AND(H13=48,H17&lt;29999,W104="해당"),VLOOKUP(W65,프로모션잔가시트!$I$5:$AC$76,16,0),IF(AND(H13=60,H17&lt;29999,W104="해당"),VLOOKUP(W65,프로모션잔가시트!$I$5:$AC$76,17,0),0)))</f>
        <v>-1.9999999999999962E-2</v>
      </c>
      <c r="Y101" s="157"/>
      <c r="Z101" s="1109" t="s">
        <v>2708</v>
      </c>
      <c r="AA101" s="1110">
        <f>IF(AND(M13=36,M17&lt;29999,AA104="해당"),VLOOKUP(AA65,프로모션잔가시트!$I$5:$AC$76,15,0),IF(AND(M13=48,M17&lt;29999,AA104="해당"),VLOOKUP(AA65,프로모션잔가시트!$I$5:$AC$76,16,0),IF(AND(M13=60,M17&lt;29999,AA104="해당"),VLOOKUP(AA65,프로모션잔가시트!$I$5:$AC$76,17,0),0)))</f>
        <v>-3.999999999999998E-2</v>
      </c>
      <c r="AC101" s="157"/>
      <c r="AD101" s="157"/>
      <c r="AE101" s="161"/>
      <c r="AF101" s="162"/>
      <c r="AG101" s="157"/>
      <c r="AH101" s="157"/>
      <c r="AI101" s="161"/>
      <c r="AJ101" s="157"/>
      <c r="AK101" s="157"/>
      <c r="AL101" s="157"/>
      <c r="AM101" s="161"/>
      <c r="AN101" s="162"/>
      <c r="AO101" s="157"/>
      <c r="AP101" s="157"/>
      <c r="AQ101" s="157"/>
      <c r="AR101" s="157"/>
      <c r="AS101" s="157"/>
      <c r="AT101" s="157"/>
      <c r="AU101" s="157"/>
      <c r="AV101" s="157"/>
      <c r="AW101" s="163"/>
      <c r="AX101" s="163"/>
      <c r="AY101" s="163"/>
      <c r="AZ101" s="163"/>
      <c r="BA101" s="163"/>
      <c r="BB101" s="163"/>
      <c r="BC101" s="163"/>
      <c r="BD101" s="163"/>
      <c r="BE101" s="163"/>
      <c r="BF101" s="163"/>
      <c r="BG101" s="163"/>
      <c r="BH101" s="163"/>
      <c r="BI101" s="163"/>
      <c r="BJ101" s="163"/>
      <c r="BK101" s="163"/>
      <c r="BL101" s="163"/>
      <c r="BM101" s="163"/>
      <c r="BN101" s="163"/>
      <c r="BO101" s="163"/>
      <c r="BP101" s="163"/>
      <c r="BQ101" s="163"/>
      <c r="BR101" s="163"/>
      <c r="BS101" s="163"/>
      <c r="BT101" s="163"/>
      <c r="BU101" s="163"/>
      <c r="BV101" s="163"/>
      <c r="BW101" s="163"/>
      <c r="BX101" s="163"/>
      <c r="BY101" s="163"/>
      <c r="BZ101" s="163"/>
      <c r="CA101" s="163"/>
      <c r="CB101" s="163"/>
      <c r="CC101" s="163"/>
      <c r="CD101" s="163"/>
      <c r="CE101" s="163"/>
      <c r="CF101" s="163"/>
      <c r="CG101" s="163"/>
      <c r="CH101" s="163"/>
      <c r="CI101" s="163"/>
      <c r="CJ101" s="163"/>
      <c r="CK101" s="163"/>
      <c r="CL101" s="163"/>
      <c r="CM101" s="163"/>
    </row>
    <row r="102" spans="2:91" ht="11.25">
      <c r="F102" s="157"/>
      <c r="K102" s="157"/>
      <c r="M102" s="1222">
        <v>1.1000000000000001E-3</v>
      </c>
      <c r="N102" s="1222">
        <v>2.2000000000000001E-3</v>
      </c>
      <c r="R102" s="1142" t="s">
        <v>2709</v>
      </c>
      <c r="S102" s="1113">
        <f>IF(AND(C13=36,C17=30000,S104="해당"),VLOOKUP(S65,프로모션잔가시트!$I$5:$AC$76,19,0),IF(AND(C13=48,C17=30000,S104="해당"),VLOOKUP(S65,프로모션잔가시트!$I$5:$AC$76,20,0),IF(AND(C13=60,C17=30000,S104="해당"),VLOOKUP(S65,프로모션잔가시트!$I$5:$AC$76,21,0),0)))</f>
        <v>0</v>
      </c>
      <c r="T102" s="157"/>
      <c r="V102" s="1142" t="s">
        <v>2709</v>
      </c>
      <c r="W102" s="1113">
        <f>IF(AND(H13=36,H17=30000,W104="해당"),VLOOKUP(W65,프로모션잔가시트!$I$5:$AC$76,19,0),IF(AND(H13=48,H17=30000,W104="해당"),VLOOKUP(W65,프로모션잔가시트!$I$5:$AC$76,20,0),IF(AND(H13=60,H17=30000,W104="해당"),VLOOKUP(W65,프로모션잔가시트!$I$5:$AC$76,21,0),0)))</f>
        <v>0</v>
      </c>
      <c r="Y102" s="157"/>
      <c r="Z102" s="1142" t="s">
        <v>2709</v>
      </c>
      <c r="AA102" s="1113">
        <f>IF(AND(M13=36,M17=30000,AA104="해당"),VLOOKUP(AA65,프로모션잔가시트!$I$5:$AC$76,19,0),IF(AND(M13=48,M17=30000,AA104="해당"),VLOOKUP(AA65,프로모션잔가시트!$I$5:$AC$76,20,0),IF(AND(M13=60,M17=30000,AA104="해당"),VLOOKUP(AA65,프로모션잔가시트!$I$5:$AC$76,21,0),0)))</f>
        <v>0</v>
      </c>
      <c r="AC102" s="157"/>
      <c r="AD102" s="157"/>
      <c r="AE102" s="157"/>
      <c r="AF102" s="162"/>
      <c r="AG102" s="157"/>
      <c r="AH102" s="157"/>
      <c r="AI102" s="161"/>
      <c r="AJ102" s="157"/>
      <c r="AK102" s="157"/>
      <c r="AL102" s="157"/>
      <c r="AM102" s="161"/>
      <c r="AN102" s="162"/>
      <c r="AO102" s="157"/>
      <c r="AP102" s="157"/>
      <c r="AQ102" s="157"/>
      <c r="AR102" s="157"/>
      <c r="AS102" s="157"/>
      <c r="AT102" s="157"/>
      <c r="AU102" s="157"/>
      <c r="AV102" s="157"/>
      <c r="AW102" s="163"/>
      <c r="AX102" s="163"/>
      <c r="AY102" s="163"/>
      <c r="AZ102" s="163"/>
      <c r="BA102" s="163"/>
      <c r="BB102" s="163"/>
      <c r="BC102" s="163"/>
      <c r="BD102" s="163"/>
      <c r="BE102" s="163"/>
      <c r="BF102" s="163"/>
      <c r="BG102" s="163"/>
      <c r="BH102" s="163"/>
      <c r="BI102" s="163"/>
      <c r="BJ102" s="163"/>
      <c r="BK102" s="163"/>
      <c r="BL102" s="163"/>
      <c r="BM102" s="163"/>
      <c r="BN102" s="163"/>
      <c r="BO102" s="163"/>
      <c r="BP102" s="163"/>
      <c r="BQ102" s="163"/>
      <c r="BR102" s="163"/>
      <c r="BS102" s="163"/>
      <c r="BT102" s="163"/>
      <c r="BU102" s="163"/>
      <c r="BV102" s="163"/>
      <c r="BW102" s="163"/>
      <c r="BX102" s="163"/>
      <c r="BY102" s="163"/>
      <c r="BZ102" s="163"/>
      <c r="CA102" s="163"/>
      <c r="CB102" s="163"/>
      <c r="CC102" s="163"/>
      <c r="CD102" s="163"/>
      <c r="CE102" s="163"/>
      <c r="CF102" s="163"/>
      <c r="CG102" s="163"/>
      <c r="CH102" s="163"/>
      <c r="CI102" s="163"/>
      <c r="CJ102" s="163"/>
      <c r="CK102" s="163"/>
      <c r="CL102" s="163"/>
      <c r="CM102" s="163"/>
    </row>
    <row r="103" spans="2:91">
      <c r="M103" s="1222">
        <v>2.2000000000000001E-3</v>
      </c>
      <c r="N103" s="1222">
        <v>4.4000000000000003E-3</v>
      </c>
      <c r="R103" s="1147" t="s">
        <v>2970</v>
      </c>
      <c r="S103" s="1148">
        <f>IF(AND(D4="국산",R104="Y",C17=30000,C13=48),-5%,IF(AND(D4="국산",R104="Y2",C17=30000,C13=48),0%,0%))</f>
        <v>0</v>
      </c>
      <c r="T103" s="157"/>
      <c r="V103" s="1147" t="s">
        <v>2970</v>
      </c>
      <c r="W103" s="1148">
        <f>IF(AND(I4="국산",V104="Y",H17=30000,H13=48),-5%,IF(AND(I4="국산",V104="Y2",H17=30000,H13=48),0%,0%))</f>
        <v>0</v>
      </c>
      <c r="Y103" s="157"/>
      <c r="Z103" s="1147" t="s">
        <v>2970</v>
      </c>
      <c r="AA103" s="1148">
        <f>IF(AND(N4="국산",Z104="Y",M17=30000,M13=48),-5%,IF(AND(N4="국산",Z104="Y2",M17=30000,M13=48),0%,0%))</f>
        <v>0</v>
      </c>
      <c r="AC103" s="157"/>
      <c r="AD103" s="157"/>
      <c r="AE103" s="157"/>
      <c r="AT103" s="157"/>
      <c r="AU103" s="157"/>
    </row>
    <row r="104" spans="2:91">
      <c r="M104" s="1222">
        <v>3.3E-3</v>
      </c>
      <c r="N104" s="1222">
        <v>6.6E-3</v>
      </c>
      <c r="R104" s="1149" t="str">
        <f>IF(D4="국산",VLOOKUP(계산_운용리스!S65,차량정보!$D$857:$AK$1040,34,0),0)</f>
        <v>Y</v>
      </c>
      <c r="S104" s="1149" t="str">
        <f>IF(AND(D4="국산",R104="Y"),"해당",IF(AND(D4="국산",R104="Y2"),"해당","미해당"))</f>
        <v>해당</v>
      </c>
      <c r="T104" s="157"/>
      <c r="V104" s="1149" t="str">
        <f>IF(I4="국산",VLOOKUP(계산_운용리스!S65,차량정보!$D$857:$AK$1040,34,0),0)</f>
        <v>Y</v>
      </c>
      <c r="W104" s="1149" t="str">
        <f>IF(AND(D4="국산",V104="Y"),"해당",IF(AND(D4="국산",V104="Y2"),"해당","미해당"))</f>
        <v>해당</v>
      </c>
      <c r="Y104" s="157"/>
      <c r="Z104" s="1149" t="str">
        <f>IF(N4="국산",VLOOKUP(계산_운용리스!S65,차량정보!$D$857:$AK$1040,34,0),0)</f>
        <v>Y</v>
      </c>
      <c r="AA104" s="1149" t="str">
        <f>IF(AND(D4="국산",Z104="Y"),"해당",IF(AND(D4="국산",Z104="Y2"),"해당","미해당"))</f>
        <v>해당</v>
      </c>
      <c r="AC104" s="157"/>
      <c r="AD104" s="157"/>
      <c r="AE104" s="157"/>
      <c r="AT104" s="157"/>
      <c r="AU104" s="157"/>
    </row>
    <row r="105" spans="2:91">
      <c r="M105" s="1222">
        <v>4.4000000000000003E-3</v>
      </c>
      <c r="N105" s="1222">
        <v>9.3500000000000007E-3</v>
      </c>
      <c r="T105" s="157"/>
      <c r="U105" s="157"/>
      <c r="Y105" s="157"/>
      <c r="AC105" s="157"/>
      <c r="AD105" s="157"/>
      <c r="AE105" s="157"/>
    </row>
    <row r="106" spans="2:91">
      <c r="M106" s="1222">
        <v>6.6E-3</v>
      </c>
      <c r="N106" s="1222">
        <v>1.21E-2</v>
      </c>
      <c r="T106" s="157"/>
      <c r="U106" s="157"/>
      <c r="Y106" s="157"/>
      <c r="AC106" s="157"/>
      <c r="AD106" s="157"/>
      <c r="AE106" s="157"/>
    </row>
    <row r="107" spans="2:91">
      <c r="M107" s="1222" t="e">
        <v>#N/A</v>
      </c>
      <c r="N107" s="1222">
        <v>1.397E-2</v>
      </c>
      <c r="T107" s="157"/>
      <c r="U107" s="157"/>
      <c r="Y107" s="157"/>
      <c r="AC107" s="157"/>
    </row>
    <row r="108" spans="2:91">
      <c r="M108" s="1222" t="e">
        <v>#N/A</v>
      </c>
      <c r="N108" s="1222">
        <v>1.584E-2</v>
      </c>
      <c r="T108" s="157"/>
      <c r="U108" s="157"/>
      <c r="Y108" s="157"/>
      <c r="AC108" s="157"/>
    </row>
    <row r="109" spans="2:91" ht="16.5" customHeight="1">
      <c r="M109" s="1223" t="e">
        <v>#N/A</v>
      </c>
      <c r="N109" s="1223">
        <v>1.7600000000000001E-2</v>
      </c>
      <c r="T109" s="157"/>
      <c r="U109" s="157"/>
      <c r="Y109" s="157"/>
      <c r="AC109" s="157"/>
    </row>
    <row r="110" spans="2:91">
      <c r="B110" s="157" t="str">
        <f>'AG 입력시트'!AE51&amp;"_"&amp;ROUNDUP(S41,3)*100&amp;ROUNDUP(W41,3)*100&amp;ROUNDUP(AA41,3)*100&amp;"L"</f>
        <v>Ver.241202_555L</v>
      </c>
      <c r="T110" s="157"/>
      <c r="U110" s="157"/>
      <c r="Y110" s="157"/>
      <c r="AC110" s="157"/>
    </row>
    <row r="111" spans="2:91" ht="16.5" customHeight="1">
      <c r="T111" s="157"/>
      <c r="U111" s="157"/>
      <c r="Y111" s="157"/>
      <c r="AC111" s="157"/>
    </row>
    <row r="112" spans="2:91">
      <c r="T112" s="157"/>
      <c r="U112" s="157"/>
      <c r="Y112" s="157"/>
      <c r="AC112" s="157"/>
    </row>
    <row r="113" spans="18:29" ht="17.25" customHeight="1" thickBot="1">
      <c r="T113" s="157"/>
      <c r="U113" s="157"/>
      <c r="Y113" s="157"/>
      <c r="AC113" s="157"/>
    </row>
    <row r="114" spans="18:29" ht="12.75" thickBot="1">
      <c r="R114" s="1124" t="s">
        <v>2973</v>
      </c>
      <c r="S114" s="1140">
        <f>+IF(AND(운용리스_비교!AR28=36,E3="수입",운용리스_비교!AR41=30000,운용리스_비교!AR7="S 580 4Matic L"),-8%,IF(AND(운용리스_비교!AR28=36,E3="수입",운용리스_비교!AR41=30000,운용리스_비교!AR7="S 580e 4M Long"),-8%,IF(AND(운용리스_비교!AR28=48,E3="수입",운용리스_비교!AR41=30000,운용리스_비교!AR7="S 580 4Matic L"),-5%,IF(AND(운용리스_비교!AR28=48,E3="수입",운용리스_비교!AR41=30000,운용리스_비교!AR7="S 580e 4M Long"),-5%,0%))))</f>
        <v>0</v>
      </c>
      <c r="T114" s="157"/>
      <c r="U114" s="157"/>
      <c r="V114" s="1124" t="s">
        <v>2974</v>
      </c>
      <c r="W114" s="1140">
        <f>+IF(AND(운용리스_비교!AY28=36,J3="수입",운용리스_비교!AY41=30000,운용리스_비교!AR7="S 580 4Matic L"),-8%,IF(AND(운용리스_비교!AY28=36,J3="수입",운용리스_비교!AY41=30000,운용리스_비교!AR7="S 580e 4M Long"),-8%,IF(AND(운용리스_비교!AY28=48,J3="수입",운용리스_비교!AY41=30000,운용리스_비교!AR7="S 580 4Matic L"),-5%,IF(AND(운용리스_비교!AY28=48,J3="수입",운용리스_비교!AY41=30000,운용리스_비교!AR7="S 580e 4M Long"),-5%,0%))))</f>
        <v>0</v>
      </c>
      <c r="Z114" s="1124" t="s">
        <v>2975</v>
      </c>
      <c r="AA114" s="1140">
        <f>+IF(AND(운용리스_비교!BF28=36,J3="수입",운용리스_비교!BF41=30000,운용리스_비교!AR7="S 580 4Matic L"),-8%,IF(AND(운용리스_비교!BF28=36,J3="수입",운용리스_비교!BF41=30000,운용리스_비교!AR7="S 580e 4M Long"),-8%,IF(AND(운용리스_비교!BF28=48,J3="수입",운용리스_비교!BF41=30000,운용리스_비교!AR7="S 580 4Matic L"),-5%,IF(AND(운용리스_비교!BF28=48,J3="수입",운용리스_비교!BF41=30000,운용리스_비교!AR7="S 580e 4M Long"),-5%,0%))))</f>
        <v>0</v>
      </c>
    </row>
    <row r="115" spans="18:29" ht="14.25" thickBot="1">
      <c r="R115" s="1044" t="s">
        <v>2465</v>
      </c>
      <c r="S115" s="1045">
        <f>IF(AND(SUM(D39,D40,D43,D46)&gt;=7.001%,D4="수입",T66="D2"),0.1%,IF(AND(SUM(D39,D40,D43,D46)&gt;=7.001%,D4="수입",T66="D1"),0.05%)+IF(AND(SUM(D39,D40,D43,D46)&gt;=10.001%,D4="수입"),0.3%,IF(AND(SUM(D39,D40,D43,D46)&gt;=7.01%,D4="국산"),0.3%,0%)))</f>
        <v>0</v>
      </c>
    </row>
    <row r="116" spans="18:29">
      <c r="Y116" s="157"/>
    </row>
    <row r="117" spans="18:29">
      <c r="Y117" s="157"/>
    </row>
    <row r="118" spans="18:29">
      <c r="Y118" s="157"/>
    </row>
    <row r="119" spans="18:29">
      <c r="Y119" s="157"/>
    </row>
    <row r="120" spans="18:29">
      <c r="Y120" s="157"/>
    </row>
    <row r="121" spans="18:29">
      <c r="Y121" s="157"/>
    </row>
    <row r="122" spans="18:29">
      <c r="Y122" s="157"/>
    </row>
    <row r="123" spans="18:29">
      <c r="Y123" s="157"/>
    </row>
    <row r="124" spans="18:29">
      <c r="Y124" s="157"/>
    </row>
    <row r="125" spans="18:29">
      <c r="Y125" s="157"/>
    </row>
    <row r="126" spans="18:29">
      <c r="Y126" s="157"/>
    </row>
    <row r="127" spans="18:29">
      <c r="Y127" s="157"/>
    </row>
    <row r="128" spans="18:29">
      <c r="Y128" s="157"/>
    </row>
    <row r="129" spans="25:25">
      <c r="Y129" s="157"/>
    </row>
    <row r="130" spans="25:25">
      <c r="Y130" s="157"/>
    </row>
    <row r="131" spans="25:25">
      <c r="Y131" s="157"/>
    </row>
    <row r="132" spans="25:25">
      <c r="Y132" s="157"/>
    </row>
    <row r="133" spans="25:25">
      <c r="Y133" s="157"/>
    </row>
    <row r="134" spans="25:25">
      <c r="Y134" s="157"/>
    </row>
    <row r="135" spans="25:25">
      <c r="Y135" s="157"/>
    </row>
    <row r="136" spans="25:25">
      <c r="Y136" s="157"/>
    </row>
    <row r="137" spans="25:25">
      <c r="Y137" s="157"/>
    </row>
    <row r="138" spans="25:25">
      <c r="Y138" s="157"/>
    </row>
    <row r="139" spans="25:25">
      <c r="Y139" s="157"/>
    </row>
    <row r="140" spans="25:25">
      <c r="Y140" s="157"/>
    </row>
    <row r="141" spans="25:25">
      <c r="Y141" s="157"/>
    </row>
    <row r="142" spans="25:25">
      <c r="Y142" s="157"/>
    </row>
    <row r="143" spans="25:25">
      <c r="Y143" s="157"/>
    </row>
    <row r="144" spans="25:25">
      <c r="Y144" s="157"/>
    </row>
    <row r="145" spans="20:29">
      <c r="Y145" s="157"/>
    </row>
    <row r="146" spans="20:29">
      <c r="Y146" s="157"/>
    </row>
    <row r="147" spans="20:29">
      <c r="Y147" s="157"/>
    </row>
    <row r="148" spans="20:29">
      <c r="Y148" s="157"/>
    </row>
    <row r="149" spans="20:29">
      <c r="Y149" s="157"/>
    </row>
    <row r="150" spans="20:29">
      <c r="T150" s="157"/>
      <c r="U150" s="157"/>
      <c r="X150" s="157"/>
      <c r="Y150" s="157"/>
      <c r="AC150" s="157"/>
    </row>
    <row r="151" spans="20:29">
      <c r="T151" s="157"/>
      <c r="U151" s="157"/>
      <c r="X151" s="157"/>
      <c r="Y151" s="157"/>
      <c r="AC151" s="157"/>
    </row>
    <row r="152" spans="20:29">
      <c r="T152" s="157"/>
      <c r="U152" s="157"/>
      <c r="X152" s="157"/>
      <c r="Y152" s="157"/>
      <c r="AC152" s="157"/>
    </row>
    <row r="153" spans="20:29">
      <c r="T153" s="157"/>
      <c r="U153" s="157"/>
      <c r="X153" s="157"/>
      <c r="Y153" s="157"/>
      <c r="AC153" s="157"/>
    </row>
    <row r="154" spans="20:29">
      <c r="T154" s="157"/>
      <c r="U154" s="157"/>
      <c r="X154" s="157"/>
      <c r="Y154" s="157"/>
      <c r="AC154" s="157"/>
    </row>
    <row r="155" spans="20:29">
      <c r="T155" s="157"/>
      <c r="U155" s="157"/>
      <c r="X155" s="157"/>
      <c r="Y155" s="157"/>
      <c r="AC155" s="157"/>
    </row>
    <row r="156" spans="20:29">
      <c r="T156" s="157"/>
      <c r="U156" s="157"/>
      <c r="X156" s="157"/>
      <c r="Y156" s="157"/>
      <c r="AC156" s="157"/>
    </row>
    <row r="157" spans="20:29">
      <c r="T157" s="157"/>
      <c r="U157" s="157"/>
      <c r="X157" s="157"/>
      <c r="Y157" s="157"/>
      <c r="AC157" s="157"/>
    </row>
    <row r="158" spans="20:29">
      <c r="T158" s="157"/>
      <c r="Y158" s="157"/>
    </row>
    <row r="159" spans="20:29">
      <c r="T159" s="157"/>
      <c r="Y159" s="157"/>
    </row>
    <row r="160" spans="20:29">
      <c r="T160" s="157"/>
      <c r="Y160" s="157"/>
    </row>
    <row r="161" spans="20:25">
      <c r="T161" s="157"/>
      <c r="Y161" s="157"/>
    </row>
    <row r="162" spans="20:25">
      <c r="Y162" s="157"/>
    </row>
    <row r="163" spans="20:25">
      <c r="Y163" s="157"/>
    </row>
    <row r="164" spans="20:25">
      <c r="Y164" s="157"/>
    </row>
    <row r="165" spans="20:25">
      <c r="Y165" s="157"/>
    </row>
    <row r="166" spans="20:25">
      <c r="Y166" s="157"/>
    </row>
    <row r="167" spans="20:25">
      <c r="Y167" s="157"/>
    </row>
    <row r="168" spans="20:25">
      <c r="Y168" s="157"/>
    </row>
    <row r="169" spans="20:25">
      <c r="Y169" s="157"/>
    </row>
    <row r="170" spans="20:25">
      <c r="Y170" s="157"/>
    </row>
    <row r="171" spans="20:25">
      <c r="Y171" s="157"/>
    </row>
    <row r="172" spans="20:25">
      <c r="Y172" s="157"/>
    </row>
    <row r="173" spans="20:25">
      <c r="Y173" s="157"/>
    </row>
    <row r="174" spans="20:25">
      <c r="Y174" s="157"/>
    </row>
    <row r="175" spans="20:25">
      <c r="Y175" s="157"/>
    </row>
    <row r="176" spans="20:25">
      <c r="Y176" s="157"/>
    </row>
    <row r="177" spans="25:25">
      <c r="Y177" s="157"/>
    </row>
  </sheetData>
  <mergeCells count="58">
    <mergeCell ref="V99:W99"/>
    <mergeCell ref="Z99:AA99"/>
    <mergeCell ref="R99:S99"/>
    <mergeCell ref="B50:C50"/>
    <mergeCell ref="B22:C22"/>
    <mergeCell ref="G22:H22"/>
    <mergeCell ref="G30:H30"/>
    <mergeCell ref="G38:I38"/>
    <mergeCell ref="B30:C30"/>
    <mergeCell ref="B38:D38"/>
    <mergeCell ref="G50:H50"/>
    <mergeCell ref="M89:N89"/>
    <mergeCell ref="R24:S24"/>
    <mergeCell ref="L50:M50"/>
    <mergeCell ref="R64:S64"/>
    <mergeCell ref="R44:S44"/>
    <mergeCell ref="R2:S2"/>
    <mergeCell ref="AC2:AD2"/>
    <mergeCell ref="BO2:BP2"/>
    <mergeCell ref="AW3:AW4"/>
    <mergeCell ref="AZ3:BA3"/>
    <mergeCell ref="BB3:BB4"/>
    <mergeCell ref="Z2:AA2"/>
    <mergeCell ref="AG2:AH2"/>
    <mergeCell ref="V2:W2"/>
    <mergeCell ref="AK2:AL2"/>
    <mergeCell ref="AK10:AL10"/>
    <mergeCell ref="AK19:AL19"/>
    <mergeCell ref="AP20:AQ20"/>
    <mergeCell ref="AP21:AQ21"/>
    <mergeCell ref="Z9:AA9"/>
    <mergeCell ref="Z14:AA14"/>
    <mergeCell ref="Z19:AA19"/>
    <mergeCell ref="AC10:AD10"/>
    <mergeCell ref="AC19:AD19"/>
    <mergeCell ref="AG10:AH10"/>
    <mergeCell ref="AG19:AH19"/>
    <mergeCell ref="R19:S19"/>
    <mergeCell ref="R38:S38"/>
    <mergeCell ref="L38:N38"/>
    <mergeCell ref="L22:M22"/>
    <mergeCell ref="L30:M30"/>
    <mergeCell ref="Z96:Z97"/>
    <mergeCell ref="V96:V97"/>
    <mergeCell ref="R96:R97"/>
    <mergeCell ref="V9:W9"/>
    <mergeCell ref="V14:W14"/>
    <mergeCell ref="V19:W19"/>
    <mergeCell ref="V64:W64"/>
    <mergeCell ref="Z64:AA64"/>
    <mergeCell ref="V24:W24"/>
    <mergeCell ref="Z24:AA24"/>
    <mergeCell ref="V38:W38"/>
    <mergeCell ref="V44:W44"/>
    <mergeCell ref="Z38:AA38"/>
    <mergeCell ref="Z44:AA44"/>
    <mergeCell ref="R9:S9"/>
    <mergeCell ref="R14:S14"/>
  </mergeCells>
  <phoneticPr fontId="81" type="noConversion"/>
  <pageMargins left="0.7" right="0.7" top="0.75" bottom="0.75" header="0.3" footer="0.3"/>
  <pageSetup paperSize="9" orientation="portrait" r:id="rId1"/>
  <ignoredErrors>
    <ignoredError sqref="H32 M32" formula="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FF0000"/>
  </sheetPr>
  <dimension ref="A1:BL187"/>
  <sheetViews>
    <sheetView showGridLines="0" zoomScaleNormal="100" workbookViewId="0">
      <selection activeCell="E14" sqref="E14"/>
    </sheetView>
  </sheetViews>
  <sheetFormatPr defaultColWidth="0.875" defaultRowHeight="11.25"/>
  <cols>
    <col min="1" max="1" width="0.875" style="157"/>
    <col min="2" max="2" width="35.75" style="157" bestFit="1" customWidth="1"/>
    <col min="3" max="3" width="12.25" style="157" bestFit="1" customWidth="1"/>
    <col min="4" max="4" width="11.75" style="157" bestFit="1" customWidth="1"/>
    <col min="5" max="5" width="9.875" style="158" bestFit="1" customWidth="1"/>
    <col min="6" max="6" width="7.75" style="157" bestFit="1" customWidth="1"/>
    <col min="7" max="7" width="3.125" style="157" customWidth="1"/>
    <col min="8" max="8" width="17.625" style="157" bestFit="1" customWidth="1"/>
    <col min="9" max="9" width="16.625" style="157" bestFit="1" customWidth="1"/>
    <col min="10" max="10" width="12.375" style="159" customWidth="1"/>
    <col min="11" max="11" width="0.875" style="159"/>
    <col min="12" max="12" width="9.25" style="157" bestFit="1" customWidth="1"/>
    <col min="13" max="13" width="17.875" style="157" bestFit="1" customWidth="1"/>
    <col min="14" max="14" width="13.875" style="161" bestFit="1" customWidth="1"/>
    <col min="15" max="15" width="17.875" style="162" bestFit="1" customWidth="1"/>
    <col min="16" max="16" width="11.5" style="162" bestFit="1" customWidth="1"/>
    <col min="17" max="17" width="15" style="157" bestFit="1" customWidth="1"/>
    <col min="18" max="18" width="16.625" style="157" bestFit="1" customWidth="1"/>
    <col min="19" max="20" width="5.75" style="157" bestFit="1" customWidth="1"/>
    <col min="21" max="21" width="7.5" style="157" bestFit="1" customWidth="1"/>
    <col min="22" max="22" width="0.875" style="157"/>
    <col min="23" max="23" width="2.375" style="157" bestFit="1" customWidth="1"/>
    <col min="24" max="24" width="10.5" style="157" bestFit="1" customWidth="1"/>
    <col min="25" max="25" width="0.875" style="163"/>
    <col min="26" max="26" width="14.125" style="163" bestFit="1" customWidth="1"/>
    <col min="27" max="27" width="7.5" style="163" bestFit="1" customWidth="1"/>
    <col min="28" max="28" width="10.875" style="163" bestFit="1" customWidth="1"/>
    <col min="29" max="30" width="9.875" style="163" bestFit="1" customWidth="1"/>
    <col min="31" max="31" width="8.625" style="163" bestFit="1" customWidth="1"/>
    <col min="32" max="36" width="0.875" style="163"/>
    <col min="37" max="37" width="7.5" style="163" bestFit="1" customWidth="1"/>
    <col min="38" max="38" width="11.75" style="163" bestFit="1" customWidth="1"/>
    <col min="39" max="39" width="27.5" style="163" bestFit="1" customWidth="1"/>
    <col min="40" max="40" width="0.875" style="163"/>
    <col min="41" max="41" width="15.5" style="163" bestFit="1" customWidth="1"/>
    <col min="42" max="42" width="27.5" style="163" bestFit="1" customWidth="1"/>
    <col min="43" max="43" width="0.875" style="163"/>
    <col min="44" max="44" width="2.375" style="163" bestFit="1" customWidth="1"/>
    <col min="45" max="45" width="47.25" style="163" bestFit="1" customWidth="1"/>
    <col min="46" max="63" width="0.875" style="163"/>
    <col min="64" max="64" width="5.875" style="163" bestFit="1" customWidth="1"/>
    <col min="65" max="16384" width="0.875" style="163"/>
  </cols>
  <sheetData>
    <row r="1" spans="2:45">
      <c r="B1" s="157" t="e">
        <f>'AG 입력시트'!AE51&amp;"_"&amp;ROUNDUP(I41,3)*100&amp;"L"</f>
        <v>#DIV/0!</v>
      </c>
    </row>
    <row r="2" spans="2:45" s="163" customFormat="1" ht="12" customHeight="1">
      <c r="B2" s="164" t="s">
        <v>292</v>
      </c>
      <c r="C2" s="165" t="s">
        <v>579</v>
      </c>
      <c r="D2" s="165" t="s">
        <v>578</v>
      </c>
      <c r="E2" s="167"/>
      <c r="F2" s="157"/>
      <c r="G2" s="157"/>
      <c r="H2" s="1932" t="s">
        <v>0</v>
      </c>
      <c r="I2" s="1932"/>
      <c r="J2" s="169"/>
      <c r="K2" s="159"/>
      <c r="L2" s="157"/>
      <c r="M2" s="1932" t="s">
        <v>1</v>
      </c>
      <c r="N2" s="1932"/>
      <c r="O2" s="169"/>
      <c r="P2" s="162"/>
      <c r="Q2" s="157"/>
      <c r="R2" s="157"/>
      <c r="S2" s="157"/>
      <c r="T2" s="157"/>
      <c r="U2" s="157"/>
      <c r="V2" s="157"/>
      <c r="W2" s="157"/>
      <c r="X2" s="157"/>
      <c r="AK2" s="170" t="s">
        <v>3</v>
      </c>
      <c r="AL2" s="170"/>
      <c r="AM2" s="170"/>
      <c r="AR2" s="1938" t="s">
        <v>4</v>
      </c>
      <c r="AS2" s="1938"/>
    </row>
    <row r="3" spans="2:45" s="163" customFormat="1" ht="12" customHeight="1">
      <c r="B3" s="171" t="s">
        <v>5</v>
      </c>
      <c r="C3" s="172">
        <f>운용리스_단일!$AS$14</f>
        <v>0</v>
      </c>
      <c r="D3" s="173">
        <f>운용리스_단일!AS15</f>
        <v>0</v>
      </c>
      <c r="E3" s="175" t="str">
        <f>운용리스_단일!AS5</f>
        <v>국산</v>
      </c>
      <c r="F3" s="176" t="str">
        <f>운용리스_단일!AS6</f>
        <v>현대</v>
      </c>
      <c r="G3" s="157"/>
      <c r="H3" s="177" t="s">
        <v>6</v>
      </c>
      <c r="I3" s="1287">
        <f>IF(C13=12,VLOOKUP(운용리스_단일!$AS$7,차량정보!D:O,4,0),IF(C13=24,VLOOKUP(운용리스_단일!$AS$7,차량정보!D:O,5,0),IF(C13=36,VLOOKUP(운용리스_단일!$AS$7,차량정보!D:O,6,0),IF(C13=48,VLOOKUP(운용리스_단일!$AS$7,차량정보!D:O,7,0),IF(C13=60,VLOOKUP(운용리스_단일!$AS$7,차량정보!D:O,8,0),0)))))+운용리스_단일!AS41+I83+I90+I91+I92+I103</f>
        <v>0.47000000000000003</v>
      </c>
      <c r="J3" s="178">
        <f>+VLOOKUP(I65,차량정보!$D$4:$L$1060,9,0)</f>
        <v>0.05</v>
      </c>
      <c r="K3" s="159"/>
      <c r="L3" s="157"/>
      <c r="M3" s="179" t="s">
        <v>7</v>
      </c>
      <c r="N3" s="180">
        <f>+C14</f>
        <v>0</v>
      </c>
      <c r="O3" s="181"/>
      <c r="P3" s="162"/>
      <c r="Q3" s="182">
        <v>1</v>
      </c>
      <c r="R3" s="182" t="s">
        <v>8</v>
      </c>
      <c r="S3" s="157"/>
      <c r="T3" s="182">
        <v>3</v>
      </c>
      <c r="U3" s="182" t="s">
        <v>9</v>
      </c>
      <c r="V3" s="157"/>
      <c r="W3" s="182">
        <v>2</v>
      </c>
      <c r="X3" s="182" t="s">
        <v>10</v>
      </c>
      <c r="Z3" s="1939" t="s">
        <v>11</v>
      </c>
      <c r="AA3" s="121" t="s">
        <v>12</v>
      </c>
      <c r="AB3" s="9" t="s">
        <v>13</v>
      </c>
      <c r="AC3" s="1941" t="s">
        <v>14</v>
      </c>
      <c r="AD3" s="1941"/>
      <c r="AE3" s="1939" t="s">
        <v>15</v>
      </c>
      <c r="AK3" s="183"/>
      <c r="AL3" s="183"/>
      <c r="AM3" s="183"/>
      <c r="AO3" s="184" t="s">
        <v>208</v>
      </c>
      <c r="AP3" s="185" t="e">
        <f>+C16/(1+AP4)^C13</f>
        <v>#VALUE!</v>
      </c>
      <c r="AR3" s="186" t="e">
        <f>+IF(N11=FALSE,1,IF(N12=FALSE,2,IF(N13=FALSE,3,IF(N14=FALSE,4,0))))</f>
        <v>#DIV/0!</v>
      </c>
      <c r="AS3" s="187" t="s">
        <v>17</v>
      </c>
    </row>
    <row r="4" spans="2:45" s="163" customFormat="1" ht="12" customHeight="1">
      <c r="B4" s="188" t="s">
        <v>18</v>
      </c>
      <c r="C4" s="189" t="str">
        <f>VLOOKUP(운용리스_단일!$AS$7,차량정보!D:O,3,0)</f>
        <v>승용SUV</v>
      </c>
      <c r="D4" s="190" t="str">
        <f>운용리스_단일!AS5</f>
        <v>국산</v>
      </c>
      <c r="E4" s="159">
        <f>IF(E3="국산",VLOOKUP(운용리스_단일!AS7,차량정보!$D$877:$Q$12184,14,0))</f>
        <v>0</v>
      </c>
      <c r="F4" s="157"/>
      <c r="G4" s="157"/>
      <c r="H4" s="192" t="s">
        <v>19</v>
      </c>
      <c r="I4" s="1288">
        <f>IF(D4="국산",VLOOKUP(운용리스_단일!AS7,차량정보!$D$877:$L$13264,9,0),VLOOKUP(운용리스_단일!$AS$7,차량정보!$D$4:$L$13574,9,0)+IF(C21="KCC오토",VLOOKUP(운용리스_단일!$AS$7,차량정보!$D$4:$R$11224,14,0),0))+IF(C21="한독모터스",VLOOKUP(운용리스_단일!$AS$7,차량정보!$D$4:$R$11224,15,0),0)+IF(C21="한성자동차",VLOOKUP(운용리스_단일!$AS$7,차량정보!$D$4:$R$11224,13,0),0)+IF(C21="경남자동차",VLOOKUP(운용리스_단일!$AS$7,차량정보!$D$4:$R$11224,13,0),0)+IF(C21="모터원",VLOOKUP(운용리스_단일!$AS$7,차량정보!$D$4:$R$11224,13,0),0)+IF(C21="한성모터스",VLOOKUP(운용리스_단일!$AS$7,차량정보!$D$4:$R$11224,13,0),0)+IF(C21="스타자동차",VLOOKUP(운용리스_단일!$AS$7,차량정보!$D$4:$R$11224,13,0),0)+IF(AND(계산_운용리스_단일!C17=30000,C13=60),-J3,0%)+J4+I86-I94-I95+I117+I106</f>
        <v>0.05</v>
      </c>
      <c r="J4" s="178">
        <v>0</v>
      </c>
      <c r="K4" s="159"/>
      <c r="L4" s="157"/>
      <c r="M4" s="189" t="s">
        <v>20</v>
      </c>
      <c r="N4" s="193">
        <f>+C16</f>
        <v>0</v>
      </c>
      <c r="O4" s="181"/>
      <c r="P4" s="162"/>
      <c r="Q4" s="194">
        <v>1</v>
      </c>
      <c r="R4" s="194" t="s">
        <v>21</v>
      </c>
      <c r="S4" s="157"/>
      <c r="T4" s="194">
        <v>1</v>
      </c>
      <c r="U4" s="195">
        <v>36</v>
      </c>
      <c r="V4" s="157"/>
      <c r="W4" s="194">
        <v>1</v>
      </c>
      <c r="X4" s="196">
        <v>30000</v>
      </c>
      <c r="Z4" s="1940"/>
      <c r="AA4" s="9" t="s">
        <v>22</v>
      </c>
      <c r="AB4" s="9" t="s">
        <v>22</v>
      </c>
      <c r="AC4" s="122" t="s">
        <v>24</v>
      </c>
      <c r="AD4" s="122" t="s">
        <v>25</v>
      </c>
      <c r="AE4" s="1940"/>
      <c r="AK4" s="197"/>
      <c r="AL4" s="197"/>
      <c r="AM4" s="197"/>
      <c r="AO4" s="198" t="s">
        <v>26</v>
      </c>
      <c r="AP4" s="199" t="e">
        <f>+IRR(AL6:AL66,0)</f>
        <v>#VALUE!</v>
      </c>
      <c r="AR4" s="194">
        <v>1</v>
      </c>
      <c r="AS4" s="200" t="s">
        <v>27</v>
      </c>
    </row>
    <row r="5" spans="2:45" s="163" customFormat="1" ht="12" customHeight="1">
      <c r="B5" s="188" t="s">
        <v>28</v>
      </c>
      <c r="C5" s="219">
        <f>VLOOKUP(운용리스_단일!$AS$7,차량정보!D:O,2,0)</f>
        <v>3470</v>
      </c>
      <c r="D5" s="190"/>
      <c r="E5" s="158"/>
      <c r="F5" s="157"/>
      <c r="G5" s="157"/>
      <c r="H5" s="192" t="s">
        <v>29</v>
      </c>
      <c r="I5" s="1288">
        <f>IF(AND(C4="전기",D4="국산"),0%,IF(AND(I173="2만상승없음",C17=20000),0%,IF(C17=20000,2%,0%)))+I8</f>
        <v>0.02</v>
      </c>
      <c r="J5" s="222">
        <f>(C13/12)*C17</f>
        <v>100000</v>
      </c>
      <c r="K5" s="159"/>
      <c r="L5" s="157"/>
      <c r="M5" s="189" t="s">
        <v>30</v>
      </c>
      <c r="N5" s="193">
        <f>+C15</f>
        <v>0</v>
      </c>
      <c r="O5" s="181"/>
      <c r="P5" s="162"/>
      <c r="Q5" s="201">
        <v>2</v>
      </c>
      <c r="R5" s="201" t="s">
        <v>31</v>
      </c>
      <c r="S5" s="157"/>
      <c r="T5" s="194">
        <v>2</v>
      </c>
      <c r="U5" s="195">
        <v>48</v>
      </c>
      <c r="V5" s="157"/>
      <c r="W5" s="194">
        <v>2</v>
      </c>
      <c r="X5" s="196">
        <v>20000</v>
      </c>
      <c r="Z5" s="12" t="s">
        <v>32</v>
      </c>
      <c r="AA5" s="13">
        <v>0.04</v>
      </c>
      <c r="AB5" s="14">
        <f>IF($D$4="국산",IF(ROUNDDOWN($D$3/1.1*AA5,-1)&lt;=750000,0,IF(ROUNDDOWN($D$3/1.1*AA5,-1)-750000,ROUNDDOWN($D$3/1.1*AA5,-1),0)),IF(ROUNDDOWN($C$3/1.1*AA5,-1)&lt;=750000,0,IF(ROUNDDOWN($C$3/1.1*AA5,-1)-750000,ROUNDDOWN($C$3/1.1*AA5,-1),0)))+IF(C4="승용경차",IF(E8&gt;750000,-750000,0))</f>
        <v>0</v>
      </c>
      <c r="AC5" s="15">
        <v>0</v>
      </c>
      <c r="AD5" s="15">
        <v>0</v>
      </c>
      <c r="AE5" s="16">
        <f>IF(C5&gt;1600,C5*260,IF(C5&gt;1000,C5*182,C5*104))</f>
        <v>902200</v>
      </c>
      <c r="AK5" s="197"/>
      <c r="AL5" s="197"/>
      <c r="AM5" s="194" t="s">
        <v>33</v>
      </c>
      <c r="AO5" s="203" t="s">
        <v>34</v>
      </c>
      <c r="AP5" s="204" t="e">
        <f>+(AM67-AP3)/C29</f>
        <v>#DIV/0!</v>
      </c>
      <c r="AR5" s="194">
        <v>2</v>
      </c>
      <c r="AS5" s="200" t="s">
        <v>35</v>
      </c>
    </row>
    <row r="6" spans="2:45" s="163" customFormat="1" ht="12" customHeight="1">
      <c r="B6" s="188" t="s">
        <v>36</v>
      </c>
      <c r="C6" s="189" t="str">
        <f>LEFT(운용리스_단일!$AS$19,2)</f>
        <v>대구</v>
      </c>
      <c r="D6" s="190"/>
      <c r="E6" s="158"/>
      <c r="F6" s="157"/>
      <c r="G6" s="157"/>
      <c r="H6" s="192" t="s">
        <v>37</v>
      </c>
      <c r="I6" s="1288">
        <f>SUM(I3:I5)</f>
        <v>0.54</v>
      </c>
      <c r="J6" s="205"/>
      <c r="K6" s="159"/>
      <c r="L6" s="157"/>
      <c r="M6" s="189"/>
      <c r="N6" s="193">
        <f>SUM(N3:N5)</f>
        <v>0</v>
      </c>
      <c r="O6" s="181"/>
      <c r="P6" s="162"/>
      <c r="Q6" s="157"/>
      <c r="R6" s="157"/>
      <c r="S6" s="157"/>
      <c r="T6" s="194">
        <v>3</v>
      </c>
      <c r="U6" s="195">
        <v>60</v>
      </c>
      <c r="V6" s="157"/>
      <c r="W6" s="194">
        <v>3</v>
      </c>
      <c r="X6" s="196">
        <v>15000</v>
      </c>
      <c r="Z6" s="12" t="s">
        <v>38</v>
      </c>
      <c r="AA6" s="13">
        <v>7.0000000000000007E-2</v>
      </c>
      <c r="AB6" s="14">
        <f>IF($D$4="국산",IF(ROUNDDOWN($D$3/1.1*AA6,-1)&lt;=500000, 0,IF(ROUNDDOWN($D$3/1.1*AA6,-1)-500000,ROUNDDOWN($D$3/1.1*AA6,-1),0)),IF(ROUNDDOWN($C$3/1.1*AA6,-1)&lt;=500000, 0,IF(ROUNDDOWN($C$3/1.1*AA6,-1)-500000,ROUNDDOWN($C$3/1.1*AA6,-1),0)))</f>
        <v>0</v>
      </c>
      <c r="AC6" s="15">
        <f>ROUNDDOWN($C$3/1.1*IF($C$5&gt;=2000,20%,IF($C$5&gt;=1600,12%,9%))*C9,-1)</f>
        <v>0</v>
      </c>
      <c r="AD6" s="15">
        <f>IF(C6="부산대구",(ROUNDDOWN(C3/1.1*IF(C5&gt;=2000,5%,0%)*C9,-2)),(ROUNDDOWN(C3/1.1*IF(C5&gt;=2000,5%,0%)*C9,-2)))</f>
        <v>0</v>
      </c>
      <c r="AE6" s="14">
        <f>IF(C5&gt;1600,C5*260,IF(C5&gt;1000,C5*182,C5*104))</f>
        <v>902200</v>
      </c>
      <c r="AK6" s="197">
        <v>0</v>
      </c>
      <c r="AL6" s="206">
        <f>-C29-E41-E42-E43</f>
        <v>0</v>
      </c>
      <c r="AM6" s="197"/>
      <c r="AR6" s="194">
        <v>3</v>
      </c>
      <c r="AS6" s="207" t="s">
        <v>39</v>
      </c>
    </row>
    <row r="7" spans="2:45" s="163" customFormat="1" ht="12" customHeight="1">
      <c r="B7" s="188" t="s">
        <v>40</v>
      </c>
      <c r="C7" s="208">
        <f>+VLOOKUP(C4,$Z:$AA,2,0)</f>
        <v>7.0000000000000007E-2</v>
      </c>
      <c r="D7" s="209"/>
      <c r="E7" s="211"/>
      <c r="F7" s="213"/>
      <c r="G7" s="157"/>
      <c r="H7" s="214" t="s">
        <v>41</v>
      </c>
      <c r="I7" s="270">
        <f>ROUNDDOWN(IF(AND(계산_운용리스_단일!I81=TRUE,F3="현대특판"),(C3+C11)*I6,C3*I6),-3)</f>
        <v>0</v>
      </c>
      <c r="J7" s="216">
        <f>IF(D4="국산",VLOOKUP(I65,차량정보!$D$853:$AJ$1048,33,0),0)</f>
        <v>0</v>
      </c>
      <c r="K7" s="159"/>
      <c r="L7" s="157"/>
      <c r="M7" s="189" t="s">
        <v>42</v>
      </c>
      <c r="N7" s="193">
        <f>+C29</f>
        <v>0</v>
      </c>
      <c r="O7" s="181"/>
      <c r="P7" s="162"/>
      <c r="Q7" s="157"/>
      <c r="R7" s="157"/>
      <c r="S7" s="157"/>
      <c r="V7" s="157"/>
      <c r="W7" s="201">
        <v>4</v>
      </c>
      <c r="X7" s="202">
        <v>10000</v>
      </c>
      <c r="Z7" s="12" t="s">
        <v>43</v>
      </c>
      <c r="AA7" s="13">
        <v>7.0000000000000007E-2</v>
      </c>
      <c r="AB7" s="14">
        <f>IF($D$4="국산",IF(ROUNDDOWN($D$3/1.1*AA7,-1)&lt;=500000, 0,IF(ROUNDDOWN($D$3/1.1*AA7,-1)-500000,ROUNDDOWN($D$3/1.1*AA7,-1),0)),IF(ROUNDDOWN($C$3/1.1*AA7,-1)&lt;=500000, 0,IF(ROUNDDOWN($C$3/1.1*AA7,-1)-500000,ROUNDDOWN($C$3/1.1*AA7,-1),0)))</f>
        <v>0</v>
      </c>
      <c r="AC7" s="15">
        <f>ROUNDDOWN(C3/1.1*5%*C9,-2)</f>
        <v>0</v>
      </c>
      <c r="AD7" s="15">
        <v>0</v>
      </c>
      <c r="AE7" s="14">
        <f>IF(C5&gt;1600,C5*260,IF(C5&gt;1000,C5*182,C5*104))</f>
        <v>902200</v>
      </c>
      <c r="AK7" s="197">
        <v>1</v>
      </c>
      <c r="AL7" s="217" t="e">
        <f t="shared" ref="AL7:AL38" si="0">+IF(M39&lt;$C$13,IF($N$16&gt;0,$N$17,$N$15),IF(M39=$C$13,IF($N$16&gt;0,$N$17,$N$15)+$C$16,0))</f>
        <v>#DIV/0!</v>
      </c>
      <c r="AM7" s="217" t="e">
        <f t="shared" ref="AM7:AM66" si="1">+AL7/(1+$AP$4)^AK7</f>
        <v>#DIV/0!</v>
      </c>
      <c r="AR7" s="201">
        <v>4</v>
      </c>
      <c r="AS7" s="218" t="s">
        <v>44</v>
      </c>
    </row>
    <row r="8" spans="2:45" s="163" customFormat="1" ht="12" customHeight="1">
      <c r="B8" s="188" t="s">
        <v>45</v>
      </c>
      <c r="C8" s="219">
        <f>+IF(D8=TRUE,운용리스_단일!BD18,VLOOKUP(C4,$Z:$AB,3,0))</f>
        <v>0</v>
      </c>
      <c r="D8" s="220" t="b">
        <f>운용리스_단일!BR18</f>
        <v>0</v>
      </c>
      <c r="E8" s="221" t="b">
        <f>+IF(C4="승용경차",ROUNDDOWN(D3/1.1*4%,-1))</f>
        <v>0</v>
      </c>
      <c r="F8" s="223"/>
      <c r="G8" s="157"/>
      <c r="H8" s="1114" t="s">
        <v>2660</v>
      </c>
      <c r="I8" s="1115">
        <f>+IF(AND(D4="국산",C17=15000),3%,IF(AND(D4="국산",C17=10000),4%,0))+J8</f>
        <v>0</v>
      </c>
      <c r="J8" s="1115"/>
      <c r="K8" s="159"/>
      <c r="L8" s="157"/>
      <c r="M8" s="224" t="s">
        <v>46</v>
      </c>
      <c r="N8" s="225" t="str">
        <f>+IF(N6&gt;N7,"초과","적정")</f>
        <v>적정</v>
      </c>
      <c r="O8" s="159"/>
      <c r="P8" s="162"/>
      <c r="T8" s="157"/>
      <c r="U8" s="157"/>
      <c r="W8" s="157"/>
      <c r="X8" s="157"/>
      <c r="Z8" s="12" t="s">
        <v>47</v>
      </c>
      <c r="AA8" s="13">
        <v>7.0000000000000007E-2</v>
      </c>
      <c r="AB8" s="14">
        <f>IF($D$4="국산",IF(ROUNDDOWN($D$3/1.1*AA8,-1)&lt;=500000, 0,IF(ROUNDDOWN($D$3/1.1*AA8,-1)-500000,ROUNDDOWN($D$3/1.1*AA8,-1),0)),IF(ROUNDDOWN($C$3/1.1*AA8,-1)&lt;=500000, 0,IF(ROUNDDOWN($C$3/1.1*AA8,-1)-500000,ROUNDDOWN($C$3/1.1*AA8,-1),0)))</f>
        <v>0</v>
      </c>
      <c r="AC8" s="15">
        <f>ROUNDDOWN(390000*C9,-2)</f>
        <v>0</v>
      </c>
      <c r="AD8" s="15">
        <v>0</v>
      </c>
      <c r="AE8" s="14">
        <f>IF(C5&gt;1600,C5*260,IF(C5&gt;1000,C5*182,C5*104))</f>
        <v>902200</v>
      </c>
      <c r="AK8" s="197">
        <v>2</v>
      </c>
      <c r="AL8" s="217" t="e">
        <f t="shared" si="0"/>
        <v>#DIV/0!</v>
      </c>
      <c r="AM8" s="217" t="e">
        <f t="shared" si="1"/>
        <v>#DIV/0!</v>
      </c>
    </row>
    <row r="9" spans="2:45" s="163" customFormat="1" ht="12" customHeight="1">
      <c r="B9" s="188" t="s">
        <v>48</v>
      </c>
      <c r="C9" s="226">
        <f>운용리스_단일!$BD$21</f>
        <v>0</v>
      </c>
      <c r="D9" s="227"/>
      <c r="E9" s="229"/>
      <c r="F9" s="231"/>
      <c r="G9" s="157"/>
      <c r="H9" s="1932" t="s">
        <v>49</v>
      </c>
      <c r="I9" s="1932"/>
      <c r="J9" s="169"/>
      <c r="K9" s="159"/>
      <c r="L9" s="157"/>
      <c r="M9" s="157"/>
      <c r="N9" s="161"/>
      <c r="O9" s="162"/>
      <c r="P9" s="162"/>
      <c r="Q9" s="182">
        <v>1</v>
      </c>
      <c r="R9" s="182" t="s">
        <v>50</v>
      </c>
      <c r="S9" s="157"/>
      <c r="T9" s="157"/>
      <c r="U9" s="157"/>
      <c r="V9" s="157"/>
      <c r="W9" s="157"/>
      <c r="X9" s="157"/>
      <c r="Z9" s="18" t="s">
        <v>51</v>
      </c>
      <c r="AA9" s="723">
        <v>7.0000000000000007E-2</v>
      </c>
      <c r="AB9" s="16" t="b">
        <f>IF($D$4="국산",IF(ROUNDDOWN($D$3/1.1*5%,-1)+IF(ROUNDDOWN($D$3/1.1*2%,-1)&lt;=400000,0,ROUNDDOWN($D$3/1.1*2%,-1)-400000),IF(ROUNDDOWN($D$3/1.1*AA9,-1)&lt;=400000,0,ROUNDDOWN($D$3/1.1*AA9,-1)-400000)),IF(ROUNDDOWN($C$3/1.1*5%,-1)+IF(ROUNDDOWN($C$3/1.1*2%,-1)&lt;=400000,0,ROUNDDOWN($C$3/1.1*2%,-1)-400000),IF(ROUNDDOWN($C$3/1.1*AA9,-1)&lt;=400000,0,ROUNDDOWN($C$3/1.1*AA9,-1)-400000)))</f>
        <v>0</v>
      </c>
      <c r="AC9" s="19">
        <f>IF((C3/1.1*IF(C5&gt;=2000,20%,IF(C5&gt;=1600,12%,9%)))&lt;=2000000, 0, ROUNDDOWN((C3/1.1*IF(C5&gt;=2000,20%,IF(C5&gt;=1600,12%,9%))-2000000)*C9,-1))</f>
        <v>0</v>
      </c>
      <c r="AD9" s="20">
        <f>IF((C3/1.1*IF(C5&gt;=2000,5%,0%))&lt;=2000000, 0, ROUNDDOWN((C3/1.1*IF(C5&gt;=2000,5%,0%)-2000000)*C9,-2))</f>
        <v>0</v>
      </c>
      <c r="AE9" s="16">
        <f>IF(C5&gt;1600,C5*260,IF(C5&gt;1000,C5*182,C5*104))</f>
        <v>902200</v>
      </c>
      <c r="AK9" s="197">
        <v>3</v>
      </c>
      <c r="AL9" s="217" t="e">
        <f t="shared" si="0"/>
        <v>#DIV/0!</v>
      </c>
      <c r="AM9" s="217" t="e">
        <f t="shared" si="1"/>
        <v>#DIV/0!</v>
      </c>
    </row>
    <row r="10" spans="2:45" s="163" customFormat="1" ht="12" customHeight="1">
      <c r="B10" s="188" t="s">
        <v>52</v>
      </c>
      <c r="C10" s="219">
        <f>IF(C6="대구",VLOOKUP(C4,$Z$5:$AD$15,5,0),IF(C6="서울",VLOOKUP(C4,$Z$5:$AC$15,4,0),FALSE))</f>
        <v>0</v>
      </c>
      <c r="D10" s="220" t="b">
        <f>운용리스_단일!BR19</f>
        <v>1</v>
      </c>
      <c r="E10" s="221"/>
      <c r="F10" s="223"/>
      <c r="G10" s="157"/>
      <c r="H10" s="182" t="s">
        <v>41</v>
      </c>
      <c r="I10" s="232">
        <f>+I7</f>
        <v>0</v>
      </c>
      <c r="J10" s="222"/>
      <c r="K10" s="159"/>
      <c r="L10" s="157"/>
      <c r="M10" s="1932" t="s">
        <v>53</v>
      </c>
      <c r="N10" s="1932"/>
      <c r="O10" s="169"/>
      <c r="P10" s="169"/>
      <c r="Q10" s="194">
        <v>1</v>
      </c>
      <c r="R10" s="194" t="s">
        <v>54</v>
      </c>
      <c r="S10" s="157"/>
      <c r="T10" s="157"/>
      <c r="U10" s="157"/>
      <c r="V10" s="157"/>
      <c r="Z10" s="12" t="s">
        <v>55</v>
      </c>
      <c r="AA10" s="724">
        <v>7.0000000000000007E-2</v>
      </c>
      <c r="AB10" s="14" t="b">
        <f>IF($D$4="국산",IF(ROUNDDOWN($D$3/1.1*5%,-1)+IF(ROUNDDOWN($D$3/1.1*2%,-1)&lt;=400000,0,ROUNDDOWN($D$3/1.1*2%,-1)-400000),IF(ROUNDDOWN($D$3/1.1*AA10,-1)&lt;=400000,0,ROUNDDOWN($D$3/1.1*AA10,-1)-400000)),IF(ROUNDDOWN($C$3/1.1*5%,-1)+IF(ROUNDDOWN($C$3/1.1*2%,-1)&lt;=400000,0,ROUNDDOWN($C$3/1.1*2%,-1)-400000),IF(ROUNDDOWN($C$3/1.1*AA10,-1)&lt;=400000,0,ROUNDDOWN($C$3/1.1*AA10,-1)-400000)))</f>
        <v>0</v>
      </c>
      <c r="AC10" s="15">
        <f>IF((C3/1.1*5%)&lt;=2000000, 0, ROUNDDOWN(((C3/1.1*5%)-2000000)*C9,-1))</f>
        <v>0</v>
      </c>
      <c r="AD10" s="21">
        <v>0</v>
      </c>
      <c r="AE10" s="14">
        <f>IF(C5&gt;1600,C5*260,IF(C5&gt;1000,C5*182,C5*104))</f>
        <v>902200</v>
      </c>
      <c r="AK10" s="197">
        <v>4</v>
      </c>
      <c r="AL10" s="217" t="e">
        <f t="shared" si="0"/>
        <v>#DIV/0!</v>
      </c>
      <c r="AM10" s="217" t="e">
        <f t="shared" si="1"/>
        <v>#DIV/0!</v>
      </c>
    </row>
    <row r="11" spans="2:45" s="163" customFormat="1" ht="12" customHeight="1">
      <c r="B11" s="188" t="s">
        <v>56</v>
      </c>
      <c r="C11" s="219">
        <f>운용리스_단일!$BD$23+운용리스_단일!DK21</f>
        <v>0</v>
      </c>
      <c r="D11" s="220" t="b">
        <f>운용리스_단일!BR20</f>
        <v>1</v>
      </c>
      <c r="E11" s="221"/>
      <c r="F11" s="223"/>
      <c r="G11" s="157"/>
      <c r="H11" s="194" t="s">
        <v>57</v>
      </c>
      <c r="I11" s="233">
        <f>+C16</f>
        <v>0</v>
      </c>
      <c r="J11" s="222"/>
      <c r="K11" s="159"/>
      <c r="L11" s="157"/>
      <c r="M11" s="179" t="s">
        <v>58</v>
      </c>
      <c r="N11" s="234" t="b">
        <f>+IF(AND(I12="적정",I17="적정"),TRUE,FALSE)</f>
        <v>1</v>
      </c>
      <c r="O11" s="159"/>
      <c r="P11" s="235"/>
      <c r="Q11" s="194">
        <v>2</v>
      </c>
      <c r="R11" s="194" t="s">
        <v>59</v>
      </c>
      <c r="S11" s="157"/>
      <c r="T11" s="157"/>
      <c r="U11" s="157"/>
      <c r="V11" s="157"/>
      <c r="W11" s="157"/>
      <c r="X11" s="157"/>
      <c r="Z11" s="22" t="s">
        <v>60</v>
      </c>
      <c r="AA11" s="725">
        <v>7.0000000000000007E-2</v>
      </c>
      <c r="AB11" s="26">
        <f>IF($C$4="전기",ROUNDDOWN($D$3/1.1*AA11,-1)-1400000,ROUNDDOWN($D$3/1.1*AA11,-1))</f>
        <v>0</v>
      </c>
      <c r="AC11" s="24">
        <f>ROUNDDOWN(C3/1.1*20%*C9,-1)</f>
        <v>0</v>
      </c>
      <c r="AD11" s="25">
        <f>IF((C3/1.1*12%)&lt;=2500000, 0, ROUNDDOWN(((C3/1.1*12%)-2500000)*C9,-2))</f>
        <v>0</v>
      </c>
      <c r="AE11" s="26">
        <v>130000</v>
      </c>
      <c r="AK11" s="197">
        <v>5</v>
      </c>
      <c r="AL11" s="217" t="e">
        <f t="shared" si="0"/>
        <v>#DIV/0!</v>
      </c>
      <c r="AM11" s="217" t="e">
        <f t="shared" si="1"/>
        <v>#DIV/0!</v>
      </c>
    </row>
    <row r="12" spans="2:45" s="163" customFormat="1" ht="12" customHeight="1">
      <c r="B12" s="188" t="s">
        <v>61</v>
      </c>
      <c r="C12" s="219">
        <f>운용리스_단일!$BD$24</f>
        <v>0</v>
      </c>
      <c r="D12" s="220" t="b">
        <f>운용리스_단일!BR21</f>
        <v>1</v>
      </c>
      <c r="E12" s="221"/>
      <c r="F12" s="223"/>
      <c r="G12" s="157"/>
      <c r="H12" s="201" t="s">
        <v>62</v>
      </c>
      <c r="I12" s="236" t="str">
        <f>+IF(I11&gt;I10,"초과","적정")</f>
        <v>적정</v>
      </c>
      <c r="J12" s="237"/>
      <c r="K12" s="159"/>
      <c r="L12" s="157"/>
      <c r="M12" s="189" t="s">
        <v>7</v>
      </c>
      <c r="N12" s="190" t="b">
        <f>+IF(I22="적정",TRUE,FALSE)</f>
        <v>1</v>
      </c>
      <c r="O12" s="159"/>
      <c r="P12" s="235"/>
      <c r="Q12" s="201">
        <v>3</v>
      </c>
      <c r="R12" s="201" t="s">
        <v>63</v>
      </c>
      <c r="S12" s="157"/>
      <c r="T12" s="157"/>
      <c r="U12" s="157"/>
      <c r="V12" s="157"/>
      <c r="W12" s="157"/>
      <c r="X12" s="157"/>
      <c r="Z12" s="12" t="s">
        <v>64</v>
      </c>
      <c r="AA12" s="13">
        <v>0</v>
      </c>
      <c r="AB12" s="14">
        <f>IF($D$4="국산",IF(ROUNDDOWN($D$3/1.1*AA12,-1)&lt;=500000, 0,IF(ROUNDDOWN($D$3/1.1*AA12,-1)-500000,ROUNDDOWN($D$3/1.1*AA12,-1),0)),IF(ROUNDDOWN($C$3/1.1*AA12,-1)&lt;=500000, 0,IF(ROUNDDOWN($C$3/1.1*AA12,-1)-500000,ROUNDDOWN($C$3/1.1*AA12,-1),0)))</f>
        <v>0</v>
      </c>
      <c r="AC12" s="15">
        <v>0</v>
      </c>
      <c r="AD12" s="15">
        <v>0</v>
      </c>
      <c r="AE12" s="14">
        <v>84500</v>
      </c>
      <c r="AK12" s="197">
        <v>6</v>
      </c>
      <c r="AL12" s="217" t="e">
        <f t="shared" si="0"/>
        <v>#DIV/0!</v>
      </c>
      <c r="AM12" s="217" t="e">
        <f t="shared" si="1"/>
        <v>#DIV/0!</v>
      </c>
    </row>
    <row r="13" spans="2:45" s="163" customFormat="1" ht="12" customHeight="1">
      <c r="B13" s="188" t="s">
        <v>65</v>
      </c>
      <c r="C13" s="238">
        <f>운용리스_단일!$AS$28</f>
        <v>60</v>
      </c>
      <c r="D13" s="190"/>
      <c r="E13" s="158"/>
      <c r="F13" s="157"/>
      <c r="G13" s="157"/>
      <c r="H13" s="157"/>
      <c r="I13" s="157"/>
      <c r="J13" s="159"/>
      <c r="K13" s="159"/>
      <c r="L13" s="157"/>
      <c r="M13" s="189" t="s">
        <v>66</v>
      </c>
      <c r="N13" s="190" t="b">
        <f>+IF(N8="초과",FALSE,TRUE)</f>
        <v>1</v>
      </c>
      <c r="O13" s="159"/>
      <c r="P13" s="159"/>
      <c r="Q13" s="157"/>
      <c r="R13" s="157"/>
      <c r="S13" s="157"/>
      <c r="T13" s="157"/>
      <c r="U13" s="157"/>
      <c r="V13" s="157"/>
      <c r="W13" s="157"/>
      <c r="X13" s="157"/>
      <c r="Z13" s="12" t="s">
        <v>67</v>
      </c>
      <c r="AA13" s="13">
        <v>0.05</v>
      </c>
      <c r="AB13" s="14">
        <f>IF($D$4="국산",IF(ROUNDDOWN($D$3/1.1*AA13,-1)&lt;=500000, 0,IF(ROUNDDOWN($D$3/1.1*AA13,-1)-500000,ROUNDDOWN($D$3/1.1*AA13,-1),0)),IF(ROUNDDOWN($C$3/1.1*AA13,-1)&lt;=500000, 0,IF(ROUNDDOWN($C$3/1.1*AA13,-1)-500000,ROUNDDOWN($C$3/1.1*AA13,-1),0)))</f>
        <v>0</v>
      </c>
      <c r="AC13" s="15">
        <f>ROUNDDOWN(390000*C9,-1)</f>
        <v>0</v>
      </c>
      <c r="AD13" s="15">
        <v>0</v>
      </c>
      <c r="AE13" s="14">
        <v>65000</v>
      </c>
      <c r="AK13" s="197">
        <v>7</v>
      </c>
      <c r="AL13" s="217" t="e">
        <f t="shared" si="0"/>
        <v>#DIV/0!</v>
      </c>
      <c r="AM13" s="217" t="e">
        <f t="shared" si="1"/>
        <v>#DIV/0!</v>
      </c>
    </row>
    <row r="14" spans="2:45" s="163" customFormat="1" ht="12" customHeight="1">
      <c r="B14" s="188" t="s">
        <v>7</v>
      </c>
      <c r="C14" s="219">
        <f>운용리스_단일!BD30</f>
        <v>0</v>
      </c>
      <c r="D14" s="239" t="e">
        <f>C14/C3</f>
        <v>#DIV/0!</v>
      </c>
      <c r="E14" s="240"/>
      <c r="F14" s="157"/>
      <c r="G14" s="157"/>
      <c r="H14" s="1932" t="s">
        <v>68</v>
      </c>
      <c r="I14" s="1932"/>
      <c r="J14" s="169"/>
      <c r="K14" s="159"/>
      <c r="L14" s="157"/>
      <c r="M14" s="189" t="s">
        <v>69</v>
      </c>
      <c r="N14" s="190" t="e">
        <f>+C56</f>
        <v>#DIV/0!</v>
      </c>
      <c r="O14" s="159"/>
      <c r="P14" s="235"/>
      <c r="Q14" s="182">
        <v>1</v>
      </c>
      <c r="R14" s="182" t="s">
        <v>70</v>
      </c>
      <c r="S14" s="157"/>
      <c r="T14" s="157"/>
      <c r="U14" s="157"/>
      <c r="V14" s="157"/>
      <c r="W14" s="157"/>
      <c r="X14" s="157"/>
      <c r="Z14" s="12" t="s">
        <v>71</v>
      </c>
      <c r="AA14" s="13">
        <v>0.05</v>
      </c>
      <c r="AB14" s="14">
        <f>IF($D$4="국산",IF(ROUNDDOWN($D$3/1.1*AA14,-1)&lt;=500000, 0,IF(ROUNDDOWN($D$3/1.1*AA14,-1)-500000,ROUNDDOWN($D$3/1.1*AA14,-1),0)),IF(ROUNDDOWN($C$3/1.1*AA14,-1)&lt;=500000, 0,IF(ROUNDDOWN($C$3/1.1*AA14,-1)-500000,ROUNDDOWN($C$3/1.1*AA14,-1),0)))</f>
        <v>0</v>
      </c>
      <c r="AC14" s="15">
        <f>ROUNDDOWN(650000*C9,-1)</f>
        <v>0</v>
      </c>
      <c r="AD14" s="15">
        <v>0</v>
      </c>
      <c r="AE14" s="14">
        <v>84500</v>
      </c>
      <c r="AK14" s="197">
        <v>8</v>
      </c>
      <c r="AL14" s="217" t="e">
        <f t="shared" si="0"/>
        <v>#DIV/0!</v>
      </c>
      <c r="AM14" s="217" t="e">
        <f t="shared" si="1"/>
        <v>#DIV/0!</v>
      </c>
    </row>
    <row r="15" spans="2:45" s="163" customFormat="1" ht="12" customHeight="1">
      <c r="B15" s="188" t="s">
        <v>30</v>
      </c>
      <c r="C15" s="219">
        <f>운용리스_단일!BD33</f>
        <v>0</v>
      </c>
      <c r="D15" s="239" t="e">
        <f>C15/C3</f>
        <v>#DIV/0!</v>
      </c>
      <c r="E15" s="240"/>
      <c r="F15" s="157"/>
      <c r="G15" s="157"/>
      <c r="H15" s="182" t="s">
        <v>72</v>
      </c>
      <c r="I15" s="243">
        <f>IF(C13=36,30%,IF(C13=48,25%,IF(C13=60,20%,0)))</f>
        <v>0.2</v>
      </c>
      <c r="J15" s="244"/>
      <c r="K15" s="159"/>
      <c r="L15" s="157"/>
      <c r="M15" s="189" t="s">
        <v>73</v>
      </c>
      <c r="N15" s="220" t="e">
        <f>+IF(AND(N11=TRUE,N12=TRUE,N13=TRUE,N14=TRUE,C4="전기",D4="국산"),N25,IF(AND(N11=TRUE,N12=TRUE,N13=TRUE,N14=TRUE),N25,FALSE))</f>
        <v>#DIV/0!</v>
      </c>
      <c r="O15" s="222"/>
      <c r="P15" s="245"/>
      <c r="Q15" s="194">
        <v>1</v>
      </c>
      <c r="R15" s="194" t="s">
        <v>74</v>
      </c>
      <c r="S15" s="157"/>
      <c r="T15" s="157"/>
      <c r="U15" s="157"/>
      <c r="V15" s="157"/>
      <c r="W15" s="157"/>
      <c r="X15" s="157"/>
      <c r="Z15" s="22" t="s">
        <v>75</v>
      </c>
      <c r="AA15" s="23">
        <v>0.05</v>
      </c>
      <c r="AB15" s="26">
        <f>IF($D$4="국산",IF(ROUNDDOWN($D$3/1.1*AA15,-1)&lt;=500000, 0,IF(ROUNDDOWN($D$3/1.1*AA15,-1)-500000,ROUNDDOWN($D$3/1.1*AA15,-1),0)),IF(ROUNDDOWN($C$3/1.1*AA15,-1)&lt;=500000, 0,IF(ROUNDDOWN($C$3/1.1*AA15,-1)-500000,ROUNDDOWN($C$3/1.1*AA15,-1),0)))</f>
        <v>0</v>
      </c>
      <c r="AC15" s="24">
        <f>ROUNDDOWN(1300000*C9,-1)</f>
        <v>0</v>
      </c>
      <c r="AD15" s="24">
        <v>0</v>
      </c>
      <c r="AE15" s="26">
        <v>0</v>
      </c>
      <c r="AK15" s="197">
        <v>9</v>
      </c>
      <c r="AL15" s="217" t="e">
        <f t="shared" si="0"/>
        <v>#DIV/0!</v>
      </c>
      <c r="AM15" s="217" t="e">
        <f t="shared" si="1"/>
        <v>#DIV/0!</v>
      </c>
    </row>
    <row r="16" spans="2:45" s="163" customFormat="1" ht="12" customHeight="1">
      <c r="B16" s="188" t="s">
        <v>20</v>
      </c>
      <c r="C16" s="219">
        <f>운용리스_단일!BD36</f>
        <v>0</v>
      </c>
      <c r="D16" s="239" t="e">
        <f>C16/C3</f>
        <v>#DIV/0!</v>
      </c>
      <c r="E16" s="158"/>
      <c r="F16" s="157"/>
      <c r="G16" s="157"/>
      <c r="H16" s="194" t="s">
        <v>76</v>
      </c>
      <c r="I16" s="233">
        <f>+ROUNDDOWN(C3*I15,-3)</f>
        <v>0</v>
      </c>
      <c r="J16" s="222"/>
      <c r="K16" s="159"/>
      <c r="L16" s="157"/>
      <c r="M16" s="189" t="s">
        <v>30</v>
      </c>
      <c r="N16" s="193">
        <f>ROUNDDOWN(C15/C13,-1)</f>
        <v>0</v>
      </c>
      <c r="O16" s="181"/>
      <c r="P16" s="246"/>
      <c r="Q16" s="194">
        <v>2</v>
      </c>
      <c r="R16" s="194" t="s">
        <v>59</v>
      </c>
      <c r="S16" s="157"/>
      <c r="V16" s="157"/>
      <c r="W16" s="157"/>
      <c r="X16" s="157"/>
      <c r="AB16" s="163" t="b">
        <f>IF($D$4="국산",IF(ROUNDDOWN($D$3/1.1*5%,-1)+IF(ROUNDDOWN($D$3/1.1*2%,-1)&lt;=400000,0,ROUNDDOWN($D$3/1.1*2%,-1)-400000),IF(ROUNDDOWN($D$3/1.1*AA9,-1)&lt;=400000,0,ROUNDDOWN($D$3/1.1*AA9,-1)-400000)),IF(ROUNDDOWN($C$3/1.1*5%,-1)+IF(ROUNDDOWN($C$3/1.1*2%,-1)&lt;=400000,0,ROUNDDOWN($C$3/1.1*2%,-1)-400000),IF(ROUNDDOWN($C$3/1.1*AA9,-1)&lt;=400000,0,ROUNDDOWN($C$3/1.1*AA9,-1)-400000)))</f>
        <v>0</v>
      </c>
      <c r="AC16" s="163">
        <f>IF((C3/1.1*IF(C5&gt;=2000,20%,IF(C5&gt;=1600,12%,9%)))&lt;=2000000, 0, ROUNDDOWN((C3/1.1*IF(C5&gt;=2000,20%,IF(C5&gt;=1600,12%,9%))-2000000)*C9,-1))</f>
        <v>0</v>
      </c>
      <c r="AD16" s="163">
        <f>IF((C3/1.1*IF(C5&gt;=2000,5%,0%))&lt;=2000000, 0, ROUNDDOWN((C3/1.1*IF(C5&gt;=2000,5%,0%)-2000000)*C9,-2))</f>
        <v>0</v>
      </c>
      <c r="AK16" s="197">
        <v>10</v>
      </c>
      <c r="AL16" s="217" t="e">
        <f t="shared" si="0"/>
        <v>#DIV/0!</v>
      </c>
      <c r="AM16" s="217" t="e">
        <f t="shared" si="1"/>
        <v>#DIV/0!</v>
      </c>
    </row>
    <row r="17" spans="2:39" s="163" customFormat="1" ht="12" customHeight="1">
      <c r="B17" s="188" t="s">
        <v>10</v>
      </c>
      <c r="C17" s="238">
        <f>운용리스_단일!AS40</f>
        <v>20000</v>
      </c>
      <c r="D17" s="190"/>
      <c r="E17" s="158"/>
      <c r="F17" s="157"/>
      <c r="G17" s="157"/>
      <c r="H17" s="201" t="s">
        <v>77</v>
      </c>
      <c r="I17" s="201" t="str">
        <f>+IF(C16&lt;I16,"미달","적정")</f>
        <v>적정</v>
      </c>
      <c r="J17" s="159"/>
      <c r="K17" s="159"/>
      <c r="L17" s="157"/>
      <c r="M17" s="224" t="s">
        <v>78</v>
      </c>
      <c r="N17" s="247" t="e">
        <f>IF(AND(N11=TRUE,N12=TRUE,N13=TRUE),SUM(N15:N16),FALSE)</f>
        <v>#DIV/0!</v>
      </c>
      <c r="O17" s="181"/>
      <c r="P17" s="162"/>
      <c r="Q17" s="201">
        <v>3</v>
      </c>
      <c r="R17" s="201" t="s">
        <v>63</v>
      </c>
      <c r="T17" s="157"/>
      <c r="U17" s="157"/>
      <c r="W17" s="157"/>
      <c r="X17" s="157"/>
      <c r="AB17" s="163" t="b">
        <f>IF($D$4="국산",IF(ROUNDDOWN($D$3/1.1*5%,-1)+IF(ROUNDDOWN($D$3/1.1*2%,-1)&lt;=400000,0,ROUNDDOWN($D$3/1.1*2%,-1)-400000),IF(ROUNDDOWN($D$3/1.1*AA10,-1)&lt;=400000,0,ROUNDDOWN($D$3/1.1*AA10,-1)-400000)),IF(ROUNDDOWN($C$3/1.1*5%,-1)+IF(ROUNDDOWN($C$3/1.1*2%,-1)&lt;=400000,0,ROUNDDOWN($C$3/1.1*2%,-1)-400000),IF(ROUNDDOWN($C$3/1.1*AA10,-1)&lt;=400000,0,ROUNDDOWN($C$3/1.1*AA10,-1)-400000)))</f>
        <v>0</v>
      </c>
      <c r="AC17" s="163">
        <f>IF((C3/1.1*5%)&lt;=2000000, 0, ROUNDDOWN(((C3/1.1*5%)-2000000)*C9,-1))</f>
        <v>0</v>
      </c>
      <c r="AK17" s="197">
        <v>11</v>
      </c>
      <c r="AL17" s="217" t="e">
        <f t="shared" si="0"/>
        <v>#DIV/0!</v>
      </c>
      <c r="AM17" s="217" t="e">
        <f t="shared" si="1"/>
        <v>#DIV/0!</v>
      </c>
    </row>
    <row r="18" spans="2:39" s="163" customFormat="1" ht="12" customHeight="1">
      <c r="B18" s="188" t="s">
        <v>79</v>
      </c>
      <c r="C18" s="219">
        <f>+VLOOKUP(C4,$Z$5:$AE$15,6,0)</f>
        <v>902200</v>
      </c>
      <c r="D18" s="248" t="b">
        <f>운용리스_단일!BR22</f>
        <v>0</v>
      </c>
      <c r="E18" s="158"/>
      <c r="F18" s="157"/>
      <c r="G18" s="157"/>
      <c r="H18" s="157"/>
      <c r="I18" s="157"/>
      <c r="J18" s="159"/>
      <c r="K18" s="159"/>
      <c r="L18" s="157"/>
      <c r="M18" s="249"/>
      <c r="N18" s="161"/>
      <c r="O18" s="775"/>
      <c r="P18" s="775"/>
      <c r="Q18" s="157"/>
      <c r="R18" s="157"/>
      <c r="S18" s="157"/>
      <c r="T18" s="157"/>
      <c r="V18" s="157"/>
      <c r="W18" s="157"/>
      <c r="X18" s="157"/>
      <c r="AB18" s="163">
        <f>IF($C$4="전기",ROUNDDOWN($D$3/1.1*AA11,-1)-1400000,ROUNDDOWN($D$3/1.1*AA11,-1))</f>
        <v>0</v>
      </c>
      <c r="AK18" s="197">
        <v>12</v>
      </c>
      <c r="AL18" s="217" t="e">
        <f t="shared" si="0"/>
        <v>#DIV/0!</v>
      </c>
      <c r="AM18" s="217" t="e">
        <f t="shared" si="1"/>
        <v>#DIV/0!</v>
      </c>
    </row>
    <row r="19" spans="2:39" s="163" customFormat="1" ht="12" customHeight="1">
      <c r="B19" s="188" t="s">
        <v>80</v>
      </c>
      <c r="C19" s="219"/>
      <c r="D19" s="248"/>
      <c r="E19" s="158"/>
      <c r="F19" s="157"/>
      <c r="G19" s="157"/>
      <c r="H19" s="1932" t="s">
        <v>81</v>
      </c>
      <c r="I19" s="1932"/>
      <c r="J19" s="169"/>
      <c r="K19" s="159"/>
      <c r="L19" s="157"/>
      <c r="M19" s="1933" t="s">
        <v>82</v>
      </c>
      <c r="N19" s="1933"/>
      <c r="O19" s="1942" t="s">
        <v>1279</v>
      </c>
      <c r="P19" s="1942"/>
      <c r="Q19" s="250" t="s">
        <v>83</v>
      </c>
      <c r="U19" s="157"/>
      <c r="V19" s="157"/>
      <c r="AB19" s="279">
        <f>+AB11-1400000</f>
        <v>-1400000</v>
      </c>
      <c r="AK19" s="197">
        <v>13</v>
      </c>
      <c r="AL19" s="217" t="e">
        <f t="shared" si="0"/>
        <v>#DIV/0!</v>
      </c>
      <c r="AM19" s="217" t="e">
        <f t="shared" si="1"/>
        <v>#DIV/0!</v>
      </c>
    </row>
    <row r="20" spans="2:39" s="163" customFormat="1" ht="12" customHeight="1">
      <c r="B20" s="188" t="s">
        <v>1272</v>
      </c>
      <c r="C20" s="219">
        <f>+운용리스_단일!BJ20</f>
        <v>0</v>
      </c>
      <c r="D20" s="248"/>
      <c r="E20" s="158"/>
      <c r="F20" s="157"/>
      <c r="G20" s="157"/>
      <c r="H20" s="182" t="s">
        <v>84</v>
      </c>
      <c r="I20" s="243">
        <v>0.5</v>
      </c>
      <c r="J20" s="244"/>
      <c r="K20" s="159"/>
      <c r="L20" s="157"/>
      <c r="M20" s="179" t="s">
        <v>85</v>
      </c>
      <c r="N20" s="924" t="e">
        <f>IF(I47="N",(VLOOKUP(운용리스_단일!$AS$6,차량정보!$Z$4:$AF$39,4,0)+IFERROR(VLOOKUP(운용리스_단일!$AS$47,차량정보!$AL$4:$AM$24,2,0),0)),VLOOKUP(운용리스_단일!$AS$6,차량정보!$Z$4:$AF$39,4,0)+IFERROR(VLOOKUP(운용리스_단일!$AS$47,차량정보!$AL$4:$AM$24,2,0)+I48,0))+I43+I66+I67+I69+I70+I77+I78+I80+운용리스_단일!X63+I99</f>
        <v>#DIV/0!</v>
      </c>
      <c r="O20" s="777" t="s">
        <v>85</v>
      </c>
      <c r="P20" s="467" t="e">
        <f>IF(I47="N",(VLOOKUP(운용리스_단일!$AS$6,차량정보!$Z$4:$AF$37,4,0)+IFERROR(VLOOKUP(운용리스_단일!$AS$47,차량정보!$AL$4:$AM$24,2,0),0)),VLOOKUP(운용리스_단일!$AS$6,차량정보!$Z$4:$AF$37,4,0)+IFERROR(VLOOKUP(운용리스_단일!$AS$47,차량정보!$AL$4:$AM$24,2,0)+I48,0))+I43+I66+I67+I69+I70+I72+I77</f>
        <v>#DIV/0!</v>
      </c>
      <c r="Q20" s="254" t="s">
        <v>86</v>
      </c>
      <c r="R20" s="255" t="s">
        <v>87</v>
      </c>
      <c r="S20" s="1934" t="s">
        <v>88</v>
      </c>
      <c r="T20" s="1935"/>
      <c r="U20" s="157"/>
      <c r="V20" s="157"/>
      <c r="W20" s="157"/>
      <c r="X20" s="157"/>
      <c r="AK20" s="197">
        <v>14</v>
      </c>
      <c r="AL20" s="217" t="e">
        <f t="shared" si="0"/>
        <v>#DIV/0!</v>
      </c>
      <c r="AM20" s="217" t="e">
        <f t="shared" si="1"/>
        <v>#DIV/0!</v>
      </c>
    </row>
    <row r="21" spans="2:39" s="163" customFormat="1" ht="12" customHeight="1">
      <c r="B21" s="251" t="s">
        <v>295</v>
      </c>
      <c r="C21" s="252" t="str">
        <f>운용리스_단일!$AS$47</f>
        <v>기타</v>
      </c>
      <c r="D21" s="225" t="e">
        <f>VLOOKUP(C21,차량정보!$AG:$AM,7,FALSE)</f>
        <v>#N/A</v>
      </c>
      <c r="E21" s="158"/>
      <c r="F21" s="157"/>
      <c r="G21" s="157"/>
      <c r="H21" s="194" t="s">
        <v>89</v>
      </c>
      <c r="I21" s="233">
        <f>ROUNDDOWN(C3*I20,-3)</f>
        <v>0</v>
      </c>
      <c r="J21" s="222"/>
      <c r="K21" s="159"/>
      <c r="L21" s="157"/>
      <c r="M21" s="189" t="s">
        <v>90</v>
      </c>
      <c r="N21" s="256" t="e">
        <f>+PMT(N20/12,C13,-C29+C15+C20+C14-E41-E42-E43-C52-I42-E40-E44-E45-E46-E47,+C16-C14,0)</f>
        <v>#DIV/0!</v>
      </c>
      <c r="O21" s="778" t="s">
        <v>90</v>
      </c>
      <c r="P21" s="779" t="e">
        <f>+PMT(P20/12,C13,-C29+C20+C15+C14-E41-E42-E43-C52-I42-E40-E44-E45-E46-E47,+C16-C14,0)</f>
        <v>#DIV/0!</v>
      </c>
      <c r="Q21" s="189">
        <v>0</v>
      </c>
      <c r="R21" s="257">
        <v>0</v>
      </c>
      <c r="S21" s="1936" t="e">
        <f>ROUNDDOWN((D14+D15)*10,0)</f>
        <v>#DIV/0!</v>
      </c>
      <c r="T21" s="1937"/>
      <c r="U21" s="157"/>
      <c r="V21" s="157"/>
      <c r="W21" s="157"/>
      <c r="X21" s="157"/>
      <c r="AK21" s="197">
        <v>15</v>
      </c>
      <c r="AL21" s="217" t="e">
        <f t="shared" si="0"/>
        <v>#DIV/0!</v>
      </c>
      <c r="AM21" s="217" t="e">
        <f t="shared" si="1"/>
        <v>#DIV/0!</v>
      </c>
    </row>
    <row r="22" spans="2:39" s="163" customFormat="1" ht="12" customHeight="1">
      <c r="B22" s="157"/>
      <c r="C22" s="157" t="str">
        <f>+VLOOKUP(C21,제휴조건!$D$32:$R$53,15,0)&amp;VLOOKUP(C21,제휴조건!$D$32:$S$53,16,0)</f>
        <v/>
      </c>
      <c r="D22" s="157" t="str">
        <f>+VLOOKUP(C21,제휴조건!$D$32:$U$54,18,0)</f>
        <v>Y</v>
      </c>
      <c r="E22" s="158"/>
      <c r="F22" s="157"/>
      <c r="G22" s="157"/>
      <c r="H22" s="201" t="s">
        <v>92</v>
      </c>
      <c r="I22" s="201" t="str">
        <f>+IF(C14&gt;I21,"초과","적정")</f>
        <v>적정</v>
      </c>
      <c r="J22" s="159"/>
      <c r="K22" s="159"/>
      <c r="L22" s="157"/>
      <c r="M22" s="189" t="s">
        <v>93</v>
      </c>
      <c r="N22" s="258" t="e">
        <f>+RATE(C13,N21,-C29+C15+C20,C16)*12</f>
        <v>#DIV/0!</v>
      </c>
      <c r="O22" s="778" t="s">
        <v>93</v>
      </c>
      <c r="P22" s="780" t="e">
        <f>+RATE(C13,P21,-C29+C15+C20,C16)*12</f>
        <v>#DIV/0!</v>
      </c>
      <c r="Q22" s="189">
        <v>1</v>
      </c>
      <c r="R22" s="257">
        <v>5.4999999999999997E-3</v>
      </c>
      <c r="S22" s="157"/>
      <c r="T22" s="157"/>
      <c r="U22" s="157"/>
      <c r="V22" s="157"/>
      <c r="W22" s="157"/>
      <c r="X22" s="157"/>
      <c r="AK22" s="197">
        <v>16</v>
      </c>
      <c r="AL22" s="217" t="e">
        <f t="shared" si="0"/>
        <v>#DIV/0!</v>
      </c>
      <c r="AM22" s="217" t="e">
        <f t="shared" si="1"/>
        <v>#DIV/0!</v>
      </c>
    </row>
    <row r="23" spans="2:39" s="163" customFormat="1" ht="12" customHeight="1">
      <c r="B23" s="1932" t="s">
        <v>91</v>
      </c>
      <c r="C23" s="1932"/>
      <c r="D23" s="157"/>
      <c r="E23" s="158"/>
      <c r="F23" s="157"/>
      <c r="G23" s="157"/>
      <c r="H23" s="157"/>
      <c r="I23" s="157"/>
      <c r="J23" s="159"/>
      <c r="K23" s="159"/>
      <c r="L23" s="157"/>
      <c r="M23" s="189" t="s">
        <v>95</v>
      </c>
      <c r="N23" s="260" t="e">
        <f>+ROUND(N22,5)</f>
        <v>#DIV/0!</v>
      </c>
      <c r="O23" s="778" t="s">
        <v>95</v>
      </c>
      <c r="P23" s="781" t="e">
        <f>+ROUND(P22,5)</f>
        <v>#DIV/0!</v>
      </c>
      <c r="Q23" s="189">
        <v>2</v>
      </c>
      <c r="R23" s="257">
        <v>0.13</v>
      </c>
      <c r="S23" s="157"/>
      <c r="T23" s="157"/>
      <c r="U23" s="157"/>
      <c r="V23" s="157"/>
      <c r="W23" s="157"/>
      <c r="X23" s="157"/>
      <c r="AK23" s="197">
        <v>17</v>
      </c>
      <c r="AL23" s="217" t="e">
        <f t="shared" si="0"/>
        <v>#DIV/0!</v>
      </c>
      <c r="AM23" s="217" t="e">
        <f t="shared" si="1"/>
        <v>#DIV/0!</v>
      </c>
    </row>
    <row r="24" spans="2:39" s="163" customFormat="1" ht="12" customHeight="1">
      <c r="B24" s="177" t="s">
        <v>94</v>
      </c>
      <c r="C24" s="232">
        <f>IF(AND(계산_운용리스_단일!I81=TRUE,F3="현대특판"),C3+C11,C3)</f>
        <v>0</v>
      </c>
      <c r="D24" s="157"/>
      <c r="E24" s="158"/>
      <c r="F24" s="157"/>
      <c r="G24" s="157"/>
      <c r="H24" s="1932" t="s">
        <v>305</v>
      </c>
      <c r="I24" s="1932"/>
      <c r="J24" s="159"/>
      <c r="K24" s="159"/>
      <c r="L24" s="157"/>
      <c r="M24" s="189" t="s">
        <v>98</v>
      </c>
      <c r="N24" s="256" t="e">
        <f>+PMT(N23/12,C13,-C29+C20+C15,+C16)</f>
        <v>#DIV/0!</v>
      </c>
      <c r="O24" s="778" t="s">
        <v>98</v>
      </c>
      <c r="P24" s="779" t="e">
        <f>+PMT(N23/12,C13,-C29+C15,+C16+C20)</f>
        <v>#DIV/0!</v>
      </c>
      <c r="Q24" s="189">
        <v>3</v>
      </c>
      <c r="R24" s="257">
        <v>1.6500000000000001E-2</v>
      </c>
      <c r="S24" s="157"/>
      <c r="T24" s="157"/>
      <c r="U24" s="157"/>
      <c r="V24" s="157"/>
      <c r="W24" s="157"/>
      <c r="X24" s="157"/>
      <c r="AK24" s="197">
        <v>18</v>
      </c>
      <c r="AL24" s="217" t="e">
        <f t="shared" si="0"/>
        <v>#DIV/0!</v>
      </c>
      <c r="AM24" s="217" t="e">
        <f t="shared" si="1"/>
        <v>#DIV/0!</v>
      </c>
    </row>
    <row r="25" spans="2:39" s="163" customFormat="1" ht="12" customHeight="1">
      <c r="B25" s="192" t="s">
        <v>96</v>
      </c>
      <c r="C25" s="233">
        <f>C8</f>
        <v>0</v>
      </c>
      <c r="D25" s="281">
        <f>TRUNC((D3/1.1)*7%,-1)</f>
        <v>0</v>
      </c>
      <c r="E25" s="158"/>
      <c r="F25" s="157"/>
      <c r="G25" s="157"/>
      <c r="H25" s="182" t="s">
        <v>306</v>
      </c>
      <c r="I25" s="1302" t="str">
        <f>E3</f>
        <v>국산</v>
      </c>
      <c r="J25" s="159"/>
      <c r="K25" s="159"/>
      <c r="L25" s="157"/>
      <c r="M25" s="224" t="s">
        <v>101</v>
      </c>
      <c r="N25" s="247" t="e">
        <f>+ROUNDUP(N24,-2)</f>
        <v>#DIV/0!</v>
      </c>
      <c r="O25" s="782" t="s">
        <v>101</v>
      </c>
      <c r="P25" s="783" t="e">
        <f>+ROUNDUP(P24,-2)</f>
        <v>#DIV/0!</v>
      </c>
      <c r="Q25" s="189">
        <v>4</v>
      </c>
      <c r="R25" s="262">
        <v>0</v>
      </c>
      <c r="S25" s="157"/>
      <c r="T25" s="157"/>
      <c r="U25" s="157"/>
      <c r="V25" s="157"/>
      <c r="W25" s="157"/>
      <c r="X25" s="157"/>
      <c r="AK25" s="197">
        <v>19</v>
      </c>
      <c r="AL25" s="217" t="e">
        <f t="shared" si="0"/>
        <v>#DIV/0!</v>
      </c>
      <c r="AM25" s="217" t="e">
        <f t="shared" si="1"/>
        <v>#DIV/0!</v>
      </c>
    </row>
    <row r="26" spans="2:39" s="163" customFormat="1" ht="12" customHeight="1">
      <c r="B26" s="192" t="s">
        <v>99</v>
      </c>
      <c r="C26" s="233">
        <f>+IF(D10=TRUE,C10,0)</f>
        <v>0</v>
      </c>
      <c r="D26" s="157"/>
      <c r="E26" s="158"/>
      <c r="F26" s="157"/>
      <c r="G26" s="157"/>
      <c r="H26" s="194" t="s">
        <v>307</v>
      </c>
      <c r="I26" s="233" t="s">
        <v>493</v>
      </c>
      <c r="J26" s="159"/>
      <c r="K26" s="159"/>
      <c r="L26" s="157"/>
      <c r="M26" s="264"/>
      <c r="N26" s="161"/>
      <c r="O26" s="784"/>
      <c r="P26" s="784"/>
      <c r="Q26" s="189">
        <v>5</v>
      </c>
      <c r="R26" s="257">
        <v>1E-3</v>
      </c>
      <c r="S26" s="157"/>
      <c r="T26" s="157"/>
      <c r="U26" s="157"/>
      <c r="V26" s="157"/>
      <c r="W26" s="157"/>
      <c r="X26" s="157"/>
      <c r="AK26" s="197">
        <v>20</v>
      </c>
      <c r="AL26" s="217" t="e">
        <f t="shared" si="0"/>
        <v>#DIV/0!</v>
      </c>
      <c r="AM26" s="217" t="e">
        <f t="shared" si="1"/>
        <v>#DIV/0!</v>
      </c>
    </row>
    <row r="27" spans="2:39" s="163" customFormat="1" ht="12" customHeight="1">
      <c r="B27" s="192" t="s">
        <v>56</v>
      </c>
      <c r="C27" s="233">
        <f>IF(AND(계산_운용리스_단일!I81=TRUE,F3="현대특판"),D27,IF(D11=TRUE,C11,0))</f>
        <v>0</v>
      </c>
      <c r="D27" s="157"/>
      <c r="E27" s="158"/>
      <c r="F27" s="157"/>
      <c r="G27" s="157"/>
      <c r="H27" s="265">
        <v>0.01</v>
      </c>
      <c r="I27" s="267">
        <f>IF($I$25="수입",VLOOKUP($I$26,제휴조건!$S$5:$AA$6,2,0),IF(IF($H$107="Y",IFERROR(VLOOKUP($I$65,프로모션잔가시트!$I$5:$J$100,2,0),1.21),$D$107)=0.66%,C103,D103))</f>
        <v>1.1000000000000001E-3</v>
      </c>
      <c r="J27" s="1081">
        <v>1.1000000000000001E-3</v>
      </c>
      <c r="K27" s="159"/>
      <c r="L27" s="157"/>
      <c r="M27" s="268" t="s">
        <v>104</v>
      </c>
      <c r="N27" s="269" t="e">
        <f>+RATE(C13,N17,-C29+C20,C16)*12</f>
        <v>#DIV/0!</v>
      </c>
      <c r="O27" s="785" t="s">
        <v>104</v>
      </c>
      <c r="P27" s="786" t="e">
        <f>+RATE(C13,P25,-C29+C20,C16)*12</f>
        <v>#DIV/0!</v>
      </c>
      <c r="Q27" s="189">
        <v>6</v>
      </c>
      <c r="R27" s="257">
        <v>2E-3</v>
      </c>
      <c r="S27" s="157"/>
      <c r="T27" s="157"/>
      <c r="U27" s="157"/>
      <c r="V27" s="157"/>
      <c r="W27" s="157"/>
      <c r="X27" s="157"/>
      <c r="AK27" s="197">
        <v>21</v>
      </c>
      <c r="AL27" s="217" t="e">
        <f t="shared" si="0"/>
        <v>#DIV/0!</v>
      </c>
      <c r="AM27" s="217" t="e">
        <f t="shared" si="1"/>
        <v>#DIV/0!</v>
      </c>
    </row>
    <row r="28" spans="2:39" s="163" customFormat="1" ht="12" customHeight="1">
      <c r="B28" s="192" t="s">
        <v>61</v>
      </c>
      <c r="C28" s="233">
        <f>+IF(AND(D4="수입",D12=TRUE),C12,IF(AND(D4="국산",D12=TRUE),C12,0)+IF(AND(D4="국산",운용리스_단일!CN22="제휴탁송사",운용리스_단일!BR21=TRUE),운용리스_단일!DZ22,IF(AND(D4="국산",운용리스_단일!CN22="딜러사1차+제휴2차",운용리스_단일!BR21=TRUE),운용리스_단일!DZ22,IF(AND(D4="국산",운용리스_단일!CN22="딜러/Agent"),0))))</f>
        <v>0</v>
      </c>
      <c r="D28" s="157"/>
      <c r="E28" s="158"/>
      <c r="F28" s="157"/>
      <c r="G28" s="157"/>
      <c r="H28" s="265">
        <v>0.02</v>
      </c>
      <c r="I28" s="267">
        <f>IF($I$25="수입",VLOOKUP($I$26,제휴조건!$S$5:$AA$6,3,0),IF(IF($H$107="Y",IFERROR(VLOOKUP($I$65,프로모션잔가시트!$I$5:$J$100,2,0),1.21),$D$107)=0.66%,C104,D104))</f>
        <v>2.2000000000000001E-3</v>
      </c>
      <c r="J28" s="1081">
        <v>2.2000000000000001E-3</v>
      </c>
      <c r="K28" s="159"/>
      <c r="L28" s="157"/>
      <c r="M28" s="272" t="s">
        <v>107</v>
      </c>
      <c r="N28" s="273" t="e">
        <f>+ROUND(N27,5)</f>
        <v>#DIV/0!</v>
      </c>
      <c r="O28" s="787" t="s">
        <v>107</v>
      </c>
      <c r="P28" s="788" t="e">
        <f>+ROUND(P27,5)</f>
        <v>#DIV/0!</v>
      </c>
      <c r="Q28" s="189">
        <v>7</v>
      </c>
      <c r="R28" s="257">
        <v>3.0000000000000001E-3</v>
      </c>
      <c r="S28" s="157"/>
      <c r="T28" s="157"/>
      <c r="U28" s="157"/>
      <c r="V28" s="157"/>
      <c r="W28" s="157"/>
      <c r="X28" s="157"/>
      <c r="AK28" s="197">
        <v>22</v>
      </c>
      <c r="AL28" s="217" t="e">
        <f t="shared" si="0"/>
        <v>#DIV/0!</v>
      </c>
      <c r="AM28" s="217" t="e">
        <f t="shared" si="1"/>
        <v>#DIV/0!</v>
      </c>
    </row>
    <row r="29" spans="2:39" s="163" customFormat="1" ht="12" customHeight="1">
      <c r="B29" s="201" t="s">
        <v>105</v>
      </c>
      <c r="C29" s="270">
        <f>IF(AND(C4="전기",D4="국산"),SUM(C24:C28),SUM(C24:C28))</f>
        <v>0</v>
      </c>
      <c r="D29" s="176"/>
      <c r="E29" s="158"/>
      <c r="F29" s="157"/>
      <c r="G29" s="157"/>
      <c r="H29" s="265">
        <v>0.03</v>
      </c>
      <c r="I29" s="267">
        <f>IF($I$25="수입",VLOOKUP($I$26,제휴조건!$S$5:$AA$6,4,0),IF(IF($H$107="Y",IFERROR(VLOOKUP($I$65,프로모션잔가시트!$I$5:$J$100,2,0),1.21),$D$107)=0.66%,C105,D105))</f>
        <v>3.3E-3</v>
      </c>
      <c r="J29" s="1081">
        <v>3.3E-3</v>
      </c>
      <c r="K29" s="159"/>
      <c r="L29" s="275" t="e">
        <f>N29/(ROUNDUP(PMT(ROUND(RATE(C13,PMT(N20/12,C13,-C29+C14-E41-E42-E43-C52-I42-E40-E44-E45-E46-E47,+C16-C14,0),-C29,C16)*12,5)/12,C13,-C29,+C16),-2)+운용리스_단일!AA26)</f>
        <v>#DIV/0!</v>
      </c>
      <c r="M29" s="186" t="s">
        <v>468</v>
      </c>
      <c r="N29" s="276" t="e">
        <f>+(ROUNDUP(PMT(ROUND(RATE(C13,PMT(N20/12,C13,-C29+C14-E41-E42-E43-C52-I42-E40-E44-E45-E46-E47,+C16-C14,0),-C29,C16)*12,5)/12,C13,-C29,+C16),-2)+운용리스_단일!AA26)-(N25+운용리스_단일!AA26)</f>
        <v>#DIV/0!</v>
      </c>
      <c r="O29" s="789" t="s">
        <v>468</v>
      </c>
      <c r="P29" s="790" t="e">
        <f>+(ROUNDUP(PMT(ROUND(RATE(C13,PMT(P20/12,C13,-C29+C14-E41-E42-E43-C52-I42-E40-E44-E45-E46-E47,+C16-C14,0),-C29,C16)*12,5)/12,C13,-C29,+C16),-2)+운용리스_단일!AA26)-(P25+운용리스_단일!AA26)</f>
        <v>#DIV/0!</v>
      </c>
      <c r="Q29" s="189">
        <v>8</v>
      </c>
      <c r="R29" s="257">
        <v>3.0000000000000001E-3</v>
      </c>
      <c r="S29" s="157"/>
      <c r="T29" s="157"/>
      <c r="U29" s="157"/>
      <c r="V29" s="157"/>
      <c r="W29" s="157"/>
      <c r="X29" s="157"/>
      <c r="AK29" s="197">
        <v>23</v>
      </c>
      <c r="AL29" s="217" t="e">
        <f t="shared" si="0"/>
        <v>#DIV/0!</v>
      </c>
      <c r="AM29" s="217" t="e">
        <f t="shared" si="1"/>
        <v>#DIV/0!</v>
      </c>
    </row>
    <row r="30" spans="2:39" s="163" customFormat="1" ht="12" customHeight="1">
      <c r="B30" s="157"/>
      <c r="C30" s="157"/>
      <c r="D30" s="157"/>
      <c r="E30" s="158"/>
      <c r="F30" s="157"/>
      <c r="G30" s="157"/>
      <c r="H30" s="265">
        <v>0.04</v>
      </c>
      <c r="I30" s="267">
        <f>IF($I$25="수입",VLOOKUP($I$26,제휴조건!$S$5:$AA$6,5,0),IF(IF($H$107="Y",IFERROR(VLOOKUP($I$65,프로모션잔가시트!$I$5:$J$100,2,0),1.21),$D$107)=0.66%,C106,D106))</f>
        <v>4.4000000000000003E-3</v>
      </c>
      <c r="J30" s="1081">
        <v>4.4000000000000003E-3</v>
      </c>
      <c r="K30" s="674"/>
      <c r="L30" s="278" t="e">
        <f>N30/(ROUNDUP(PMT(ROUND(RATE(C13,PMT(N20/12,C13,-C29+C15-E41-E42-E43-C52-I42-E40-E44-E45-E46-E47,+C16,0),-C29+C15,C16)*12,5)/12,C13,-C29+C15,+C16),-2)+운용리스_단일!AA26)</f>
        <v>#DIV/0!</v>
      </c>
      <c r="M30" s="186" t="s">
        <v>470</v>
      </c>
      <c r="N30" s="277" t="e">
        <f>+(ROUNDUP(PMT(ROUND(RATE(C13,PMT(N20/12,C13,-C29+C15-E41-E42-E43-C52-I42-E40-E44-E45-E46-E47,+C16,0),-C29+C15,C16)*12,5)/12,C13,-C29+C15,+C16),-2)+운용리스_단일!AA26)-(N25+운용리스_단일!AA26)</f>
        <v>#DIV/0!</v>
      </c>
      <c r="O30" s="789" t="s">
        <v>470</v>
      </c>
      <c r="P30" s="790" t="e">
        <f>+(ROUNDUP(PMT(ROUND(RATE(C13,PMT(P20/12,C13,-C29+C15-E41-E42-E43-C52-I42-E40-E44-E45-E46-E47,+C16,0),-C29+C15,C16)*12,5)/12,C13,-C29+C15,+C16),-2)+운용리스_단일!AA26)-(P25+운용리스_단일!AA26)</f>
        <v>#DIV/0!</v>
      </c>
      <c r="Q30" s="189">
        <v>9</v>
      </c>
      <c r="R30" s="257">
        <v>3.0000000000000001E-3</v>
      </c>
      <c r="S30" s="157"/>
      <c r="T30" s="157"/>
      <c r="U30" s="157"/>
      <c r="V30" s="157"/>
      <c r="W30" s="157"/>
      <c r="X30" s="157"/>
      <c r="Z30" s="279"/>
      <c r="AK30" s="197">
        <v>24</v>
      </c>
      <c r="AL30" s="217" t="e">
        <f t="shared" si="0"/>
        <v>#DIV/0!</v>
      </c>
      <c r="AM30" s="217" t="e">
        <f t="shared" si="1"/>
        <v>#DIV/0!</v>
      </c>
    </row>
    <row r="31" spans="2:39" s="163" customFormat="1" ht="12" customHeight="1">
      <c r="B31" s="1932" t="s">
        <v>108</v>
      </c>
      <c r="C31" s="1932"/>
      <c r="D31" s="157"/>
      <c r="E31" s="158"/>
      <c r="F31" s="157"/>
      <c r="G31" s="157"/>
      <c r="H31" s="265">
        <v>0.05</v>
      </c>
      <c r="I31" s="267">
        <f>IF($I$25="수입",VLOOKUP($I$26,제휴조건!$S$5:$AA$6,6,0),IF(IF($H$107="Y",IFERROR(VLOOKUP($I$65,프로모션잔가시트!$I$5:$J$100,2,0),1.21),$D$107)=0.66%,C107,D107))</f>
        <v>6.6E-3</v>
      </c>
      <c r="J31" s="1081">
        <v>5.4999999999999997E-3</v>
      </c>
      <c r="K31" s="674"/>
      <c r="L31" s="278" t="e">
        <f>N31/(ROUNDUP(PMT(ROUND(RATE(C13,PMT(N20/12,C13,-C29-E41-E42-E43-C52-I42-E40-E44-E45-E46-E47,+C16,0),-C29,C16)*12,5)/12,C13,-C29,+C16),-2)+운용리스_단일!AA26)</f>
        <v>#DIV/0!</v>
      </c>
      <c r="M31" s="186" t="s">
        <v>469</v>
      </c>
      <c r="N31" s="677" t="e">
        <f>+(ROUNDUP(PMT(ROUND(RATE(C13,PMT(N20/12,C13,-C29-E41-E42-E43-C52-I42-E40-E44-E45-E46-E47,+C16,0),-C29,C16)*12,5)/12,C13,-C29,+C16),-2)+운용리스_단일!AA26)-(N25++운용리스_단일!AA26)</f>
        <v>#DIV/0!</v>
      </c>
      <c r="O31" s="789" t="s">
        <v>469</v>
      </c>
      <c r="P31" s="790" t="e">
        <f>+(ROUNDUP(PMT(ROUND(RATE(C13,PMT(P20/12,C13,-C29-E41-E42-E43-C52-I42-E40-E44-E45-E46-E47,+C16,0),-C29,C16)*12,5)/12,C13,-C29,+C16),-2)+운용리스_단일!AA26)-(P25++운용리스_단일!AA26)</f>
        <v>#DIV/0!</v>
      </c>
      <c r="Q31" s="224">
        <v>10</v>
      </c>
      <c r="R31" s="283">
        <v>3.0000000000000001E-3</v>
      </c>
      <c r="S31" s="157"/>
      <c r="T31" s="157"/>
      <c r="U31" s="157"/>
      <c r="V31" s="157"/>
      <c r="W31" s="157"/>
      <c r="X31" s="157"/>
      <c r="AK31" s="197">
        <v>25</v>
      </c>
      <c r="AL31" s="217" t="e">
        <f t="shared" si="0"/>
        <v>#DIV/0!</v>
      </c>
      <c r="AM31" s="217" t="e">
        <f t="shared" si="1"/>
        <v>#DIV/0!</v>
      </c>
    </row>
    <row r="32" spans="2:39" s="163" customFormat="1" ht="12" customHeight="1">
      <c r="B32" s="177" t="s">
        <v>99</v>
      </c>
      <c r="C32" s="232">
        <f>+IF(D10=FALSE,C10,0)</f>
        <v>0</v>
      </c>
      <c r="D32" s="157"/>
      <c r="E32" s="158"/>
      <c r="F32" s="157"/>
      <c r="G32" s="157"/>
      <c r="H32" s="265">
        <v>0.06</v>
      </c>
      <c r="I32" s="267">
        <f>VLOOKUP(I$26,제휴조건!S5:AA6,7,0)</f>
        <v>1.397E-2</v>
      </c>
      <c r="J32" s="1081">
        <v>6.6E-3</v>
      </c>
      <c r="K32" s="674"/>
      <c r="L32" s="157"/>
      <c r="M32" s="157"/>
      <c r="N32" s="284"/>
      <c r="O32" s="285"/>
      <c r="P32" s="285"/>
      <c r="Q32" s="157"/>
      <c r="R32" s="157"/>
      <c r="S32" s="157"/>
      <c r="T32" s="157"/>
      <c r="U32" s="157"/>
      <c r="V32" s="157"/>
      <c r="W32" s="157"/>
      <c r="X32" s="157"/>
      <c r="AK32" s="197">
        <v>26</v>
      </c>
      <c r="AL32" s="217" t="e">
        <f t="shared" si="0"/>
        <v>#DIV/0!</v>
      </c>
      <c r="AM32" s="217" t="e">
        <f t="shared" si="1"/>
        <v>#DIV/0!</v>
      </c>
    </row>
    <row r="33" spans="2:64" s="163" customFormat="1" ht="12" customHeight="1">
      <c r="B33" s="192" t="s">
        <v>56</v>
      </c>
      <c r="C33" s="233">
        <f>+IF(D11=FALSE,C11,0)</f>
        <v>0</v>
      </c>
      <c r="D33" s="157"/>
      <c r="E33" s="158"/>
      <c r="F33" s="157"/>
      <c r="G33" s="157"/>
      <c r="H33" s="265">
        <v>7.0000000000000007E-2</v>
      </c>
      <c r="I33" s="267">
        <f>VLOOKUP(I$26,제휴조건!S5:AA6,8,0)</f>
        <v>1.584E-2</v>
      </c>
      <c r="J33" s="1081">
        <v>7.7000000000000002E-3</v>
      </c>
      <c r="K33" s="674"/>
      <c r="L33" s="157"/>
      <c r="M33" s="157"/>
      <c r="N33" s="161"/>
      <c r="O33" s="162"/>
      <c r="P33" s="162"/>
      <c r="Q33" s="157"/>
      <c r="R33" s="157"/>
      <c r="S33" s="157"/>
      <c r="T33" s="157"/>
      <c r="U33" s="157"/>
      <c r="V33" s="157"/>
      <c r="W33" s="157"/>
      <c r="X33" s="157"/>
      <c r="AK33" s="197">
        <v>27</v>
      </c>
      <c r="AL33" s="217" t="e">
        <f t="shared" si="0"/>
        <v>#DIV/0!</v>
      </c>
      <c r="AM33" s="217" t="e">
        <f t="shared" si="1"/>
        <v>#DIV/0!</v>
      </c>
    </row>
    <row r="34" spans="2:64" s="163" customFormat="1" ht="12" customHeight="1">
      <c r="B34" s="192" t="s">
        <v>61</v>
      </c>
      <c r="C34" s="233">
        <f>+IF(D12=FALSE,C12,0)</f>
        <v>0</v>
      </c>
      <c r="D34" s="157"/>
      <c r="E34" s="158"/>
      <c r="F34" s="157"/>
      <c r="G34" s="157"/>
      <c r="H34" s="288">
        <v>0.08</v>
      </c>
      <c r="I34" s="289">
        <f>VLOOKUP(I$26,제휴조건!S5:AA6,9,0)</f>
        <v>1.7600000000000001E-2</v>
      </c>
      <c r="J34" s="1081">
        <v>1.0999999999999999E-2</v>
      </c>
      <c r="K34" s="700"/>
      <c r="L34" s="157"/>
      <c r="M34" s="170" t="s">
        <v>2</v>
      </c>
      <c r="N34" s="170"/>
      <c r="O34" s="162"/>
      <c r="P34" s="162"/>
      <c r="Q34" s="157"/>
      <c r="R34" s="157"/>
      <c r="S34" s="157"/>
      <c r="T34" s="157"/>
      <c r="U34" s="157"/>
      <c r="V34" s="157"/>
      <c r="W34" s="157"/>
      <c r="X34" s="157"/>
      <c r="AK34" s="197">
        <v>28</v>
      </c>
      <c r="AL34" s="217" t="e">
        <f t="shared" si="0"/>
        <v>#DIV/0!</v>
      </c>
      <c r="AM34" s="217" t="e">
        <f t="shared" si="1"/>
        <v>#DIV/0!</v>
      </c>
    </row>
    <row r="35" spans="2:64" s="163" customFormat="1" ht="12" customHeight="1">
      <c r="B35" s="192" t="s">
        <v>7</v>
      </c>
      <c r="C35" s="233">
        <f>+C14</f>
        <v>0</v>
      </c>
      <c r="D35" s="157"/>
      <c r="E35" s="158"/>
      <c r="F35" s="157"/>
      <c r="G35" s="157"/>
      <c r="J35" s="242"/>
      <c r="K35" s="699"/>
      <c r="L35" s="157"/>
      <c r="M35" s="182"/>
      <c r="N35" s="10" t="s">
        <v>16</v>
      </c>
      <c r="O35" s="162"/>
      <c r="P35" s="162"/>
      <c r="Q35" s="157"/>
      <c r="R35" s="157"/>
      <c r="S35" s="157"/>
      <c r="T35" s="157"/>
      <c r="U35" s="157"/>
      <c r="V35" s="157"/>
      <c r="W35" s="157"/>
      <c r="X35" s="157"/>
      <c r="AK35" s="197">
        <v>29</v>
      </c>
      <c r="AL35" s="217" t="e">
        <f t="shared" si="0"/>
        <v>#DIV/0!</v>
      </c>
      <c r="AM35" s="217" t="e">
        <f t="shared" si="1"/>
        <v>#DIV/0!</v>
      </c>
    </row>
    <row r="36" spans="2:64" s="163" customFormat="1" ht="12" customHeight="1">
      <c r="B36" s="192" t="s">
        <v>30</v>
      </c>
      <c r="C36" s="233">
        <f>+C15</f>
        <v>0</v>
      </c>
      <c r="D36" s="157"/>
      <c r="E36" s="158"/>
      <c r="F36" s="157"/>
      <c r="G36" s="157"/>
      <c r="J36" s="297"/>
      <c r="K36" s="699"/>
      <c r="L36" s="157"/>
      <c r="M36" s="194"/>
      <c r="N36" s="30" t="e">
        <f>IRR(N38:N98,0)*12</f>
        <v>#VALUE!</v>
      </c>
      <c r="O36" s="162"/>
      <c r="P36" s="162"/>
      <c r="Q36" s="157"/>
      <c r="R36" s="157"/>
      <c r="S36" s="157"/>
      <c r="T36" s="157"/>
      <c r="U36" s="157"/>
      <c r="V36" s="157"/>
      <c r="W36" s="157"/>
      <c r="X36" s="157"/>
      <c r="AK36" s="197">
        <v>30</v>
      </c>
      <c r="AL36" s="217" t="e">
        <f t="shared" si="0"/>
        <v>#DIV/0!</v>
      </c>
      <c r="AM36" s="217" t="e">
        <f t="shared" si="1"/>
        <v>#DIV/0!</v>
      </c>
    </row>
    <row r="37" spans="2:64" s="163" customFormat="1" ht="12" customHeight="1">
      <c r="B37" s="201" t="s">
        <v>114</v>
      </c>
      <c r="C37" s="270">
        <f>SUM(C32:C36)</f>
        <v>0</v>
      </c>
      <c r="D37" s="157"/>
      <c r="E37" s="158"/>
      <c r="F37" s="157"/>
      <c r="G37" s="157"/>
      <c r="I37" s="163">
        <f>+C24*0.66%</f>
        <v>0</v>
      </c>
      <c r="J37" s="230"/>
      <c r="K37" s="699"/>
      <c r="L37" s="157"/>
      <c r="M37" s="194"/>
      <c r="N37" s="17"/>
      <c r="O37" s="162"/>
      <c r="P37" s="162">
        <f>IF(IF($H$107="Y",IFERROR(VLOOKUP($I$65,프로모션잔가시트!$I$5:$J$100,2,0),1.21),$D$107)=0.66%,C103,D103)</f>
        <v>1.1000000000000001E-3</v>
      </c>
      <c r="Q37" s="157"/>
      <c r="R37" s="157"/>
      <c r="S37" s="157"/>
      <c r="T37" s="157"/>
      <c r="U37" s="157"/>
      <c r="V37" s="157"/>
      <c r="W37" s="157"/>
      <c r="X37" s="157"/>
      <c r="AK37" s="197">
        <v>31</v>
      </c>
      <c r="AL37" s="217" t="e">
        <f t="shared" si="0"/>
        <v>#DIV/0!</v>
      </c>
      <c r="AM37" s="217" t="e">
        <f t="shared" si="1"/>
        <v>#DIV/0!</v>
      </c>
    </row>
    <row r="38" spans="2:64" s="163" customFormat="1" ht="12" customHeight="1">
      <c r="B38" s="157"/>
      <c r="C38" s="157"/>
      <c r="D38" s="157"/>
      <c r="E38" s="158"/>
      <c r="F38" s="157"/>
      <c r="G38" s="157"/>
      <c r="H38" s="1932" t="s">
        <v>97</v>
      </c>
      <c r="I38" s="1932"/>
      <c r="J38" s="222"/>
      <c r="K38" s="699"/>
      <c r="L38" s="157"/>
      <c r="M38" s="194">
        <v>0</v>
      </c>
      <c r="N38" s="17" t="e">
        <f>-C29-E41-E42-E43-C52+C14+C15-I42-E44-E45-E40-E46</f>
        <v>#DIV/0!</v>
      </c>
      <c r="O38" s="162"/>
      <c r="P38" s="162"/>
      <c r="Q38" s="157"/>
      <c r="R38" s="157"/>
      <c r="S38" s="157"/>
      <c r="T38" s="157"/>
      <c r="U38" s="157"/>
      <c r="V38" s="157"/>
      <c r="W38" s="157"/>
      <c r="X38" s="157"/>
      <c r="AK38" s="197">
        <v>32</v>
      </c>
      <c r="AL38" s="217" t="e">
        <f t="shared" si="0"/>
        <v>#DIV/0!</v>
      </c>
      <c r="AM38" s="217" t="e">
        <f t="shared" si="1"/>
        <v>#DIV/0!</v>
      </c>
    </row>
    <row r="39" spans="2:64" s="163" customFormat="1" ht="12" customHeight="1">
      <c r="B39" s="1933" t="s">
        <v>116</v>
      </c>
      <c r="C39" s="1933"/>
      <c r="D39" s="1933"/>
      <c r="E39" s="293"/>
      <c r="F39" s="157"/>
      <c r="G39" s="157"/>
      <c r="H39" s="182" t="s">
        <v>100</v>
      </c>
      <c r="I39" s="294">
        <f>+I3+I5</f>
        <v>0.49000000000000005</v>
      </c>
      <c r="J39" s="159"/>
      <c r="K39" s="159"/>
      <c r="L39" s="157"/>
      <c r="M39" s="194">
        <v>1</v>
      </c>
      <c r="N39" s="17" t="e">
        <f t="shared" ref="N39:N70" si="2">IF(M39&lt;$C$13,$N$15,IF(M39=$C$13,$N$15+$C$16-$C$14,0))</f>
        <v>#DIV/0!</v>
      </c>
      <c r="O39" s="162"/>
      <c r="P39" s="162"/>
      <c r="Q39" s="157"/>
      <c r="R39" s="157"/>
      <c r="S39" s="157"/>
      <c r="T39" s="157"/>
      <c r="U39" s="157"/>
      <c r="V39" s="157"/>
      <c r="W39" s="157"/>
      <c r="X39" s="157"/>
      <c r="AK39" s="197">
        <v>33</v>
      </c>
      <c r="AL39" s="217" t="e">
        <f t="shared" ref="AL39:AL66" si="3">+IF(M71&lt;$C$13,IF($N$16&gt;0,$N$17,$N$15),IF(M71=$C$13,IF($N$16&gt;0,$N$17,$N$15)+$C$16,0))</f>
        <v>#DIV/0!</v>
      </c>
      <c r="AM39" s="217" t="e">
        <f t="shared" si="1"/>
        <v>#DIV/0!</v>
      </c>
    </row>
    <row r="40" spans="2:64" s="163" customFormat="1" ht="12" customHeight="1">
      <c r="B40" s="182" t="s">
        <v>513</v>
      </c>
      <c r="C40" s="182" t="s">
        <v>556</v>
      </c>
      <c r="D40" s="294">
        <f>운용리스_단일!AS43</f>
        <v>0.03</v>
      </c>
      <c r="E40" s="295">
        <f>운용리스_단일!BD43</f>
        <v>0</v>
      </c>
      <c r="G40" s="157"/>
      <c r="H40" s="194" t="s">
        <v>102</v>
      </c>
      <c r="I40" s="257" t="e">
        <f>IF(AND(계산_운용리스_단일!I81=TRUE,F3="현대특판"),C16/(C3+C11),C16/C3)</f>
        <v>#DIV/0!</v>
      </c>
      <c r="J40" s="1059" t="e">
        <f>+I42/C24</f>
        <v>#DIV/0!</v>
      </c>
      <c r="K40" s="159"/>
      <c r="L40" s="157"/>
      <c r="M40" s="194">
        <v>2</v>
      </c>
      <c r="N40" s="17" t="e">
        <f t="shared" si="2"/>
        <v>#DIV/0!</v>
      </c>
      <c r="O40" s="162"/>
      <c r="P40" s="162"/>
      <c r="Q40" s="157"/>
      <c r="R40" s="157"/>
      <c r="S40" s="157"/>
      <c r="T40" s="157"/>
      <c r="U40" s="157"/>
      <c r="V40" s="157"/>
      <c r="W40" s="157"/>
      <c r="X40" s="157"/>
      <c r="AK40" s="197">
        <v>34</v>
      </c>
      <c r="AL40" s="217" t="e">
        <f t="shared" si="3"/>
        <v>#DIV/0!</v>
      </c>
      <c r="AM40" s="217" t="e">
        <f t="shared" si="1"/>
        <v>#DIV/0!</v>
      </c>
    </row>
    <row r="41" spans="2:64" s="163" customFormat="1" ht="12" customHeight="1">
      <c r="B41" s="194" t="s">
        <v>522</v>
      </c>
      <c r="C41" s="194" t="str">
        <f>IF(VLOOKUP(C$21,제휴조건!$D$5:$P$27,2,0)=0,"없음",VLOOKUP(C$21,제휴조건!$D$5:$P$27,2,0))</f>
        <v>취득원가</v>
      </c>
      <c r="D41" s="296">
        <f>C61</f>
        <v>0</v>
      </c>
      <c r="E41" s="233">
        <f>IF(C41="취득원가",D41*C$29,IF(C41="MSRP",D41*(운용리스_단일!$AS$11+운용리스_단일!$BF$12),0))</f>
        <v>0</v>
      </c>
      <c r="F41" s="157"/>
      <c r="G41" s="157"/>
      <c r="H41" s="194" t="s">
        <v>103</v>
      </c>
      <c r="I41" s="257" t="e">
        <f>+ROUND(IF((I40-I39)&lt;0,0,I40-I39),3)</f>
        <v>#DIV/0!</v>
      </c>
      <c r="J41" s="244">
        <v>0</v>
      </c>
      <c r="L41" s="157"/>
      <c r="M41" s="194">
        <v>3</v>
      </c>
      <c r="N41" s="17" t="e">
        <f t="shared" si="2"/>
        <v>#DIV/0!</v>
      </c>
      <c r="O41" s="162"/>
      <c r="P41" s="162"/>
      <c r="Q41" s="157"/>
      <c r="R41" s="157"/>
      <c r="S41" s="157"/>
      <c r="T41" s="157"/>
      <c r="U41" s="157"/>
      <c r="V41" s="157"/>
      <c r="W41" s="157"/>
      <c r="X41" s="157"/>
      <c r="AK41" s="197">
        <v>35</v>
      </c>
      <c r="AL41" s="217" t="e">
        <f t="shared" si="3"/>
        <v>#DIV/0!</v>
      </c>
      <c r="AM41" s="217" t="e">
        <f t="shared" si="1"/>
        <v>#DIV/0!</v>
      </c>
    </row>
    <row r="42" spans="2:64" s="163" customFormat="1" ht="12" customHeight="1" thickBot="1">
      <c r="B42" s="194" t="s">
        <v>523</v>
      </c>
      <c r="C42" s="194" t="str">
        <f>IF(VLOOKUP(C$21,제휴조건!$D$5:$P$27,4,0)=0,"없음",VLOOKUP(C$21,제휴조건!$D$5:$P$27,4,0))</f>
        <v>없음</v>
      </c>
      <c r="D42" s="257">
        <f>IFERROR(VLOOKUP(C$21,제휴조건!$D$5:$P$20,5,0),0)</f>
        <v>0</v>
      </c>
      <c r="E42" s="233">
        <f>IF(C42="취득원가",D42*C$29,IF(C42="MSRP",D42*(운용리스_단일!$AS$11+운용리스_단일!$BF$12),0))</f>
        <v>0</v>
      </c>
      <c r="F42" s="157"/>
      <c r="G42" s="157"/>
      <c r="H42" s="201" t="s">
        <v>106</v>
      </c>
      <c r="I42" s="1062" t="e">
        <f>IF(ROUND(I41,3)=0%,C24*0%,IF(ROUND(I41,3)&lt;=1%,C24*I27,IF(ROUND(I41,3)&lt;=2%,C24*I28,IF(ROUND(I41,3)&lt;=3%,C24*I29,IF(ROUND(I41,3)&lt;=4%,C24*I30,IF(ROUND(I41,3)&lt;=5%,C24*I31,IF(ROUND(I41,3)&lt;=6%,C24*I32,IF(ROUND(I41,3)&lt;=7%,C24*I33,IF(ROUND(I41,3)&lt;=9%,C24*I34)))))))))</f>
        <v>#DIV/0!</v>
      </c>
      <c r="J42" s="297"/>
      <c r="K42" s="159"/>
      <c r="L42" s="157"/>
      <c r="M42" s="194">
        <v>4</v>
      </c>
      <c r="N42" s="17" t="e">
        <f t="shared" si="2"/>
        <v>#DIV/0!</v>
      </c>
      <c r="O42" s="162"/>
      <c r="P42" s="162"/>
      <c r="Q42" s="157"/>
      <c r="R42" s="157"/>
      <c r="S42" s="157"/>
      <c r="T42" s="157"/>
      <c r="U42" s="157"/>
      <c r="V42" s="157"/>
      <c r="W42" s="157"/>
      <c r="X42" s="157"/>
      <c r="AK42" s="197">
        <v>36</v>
      </c>
      <c r="AL42" s="217" t="e">
        <f t="shared" si="3"/>
        <v>#DIV/0!</v>
      </c>
      <c r="AM42" s="217" t="e">
        <f t="shared" si="1"/>
        <v>#DIV/0!</v>
      </c>
    </row>
    <row r="43" spans="2:64" s="163" customFormat="1" ht="12" customHeight="1" thickBot="1">
      <c r="B43" s="194" t="s">
        <v>524</v>
      </c>
      <c r="C43" s="194" t="str">
        <f>IF(VLOOKUP(C$21,제휴조건!$D$5:$P$27,6,0)=0,"없음",VLOOKUP(C$21,제휴조건!$D$5:$P$27,6,0))</f>
        <v>없음</v>
      </c>
      <c r="D43" s="257">
        <f>IFERROR(IF('AG 입력시트'!$AG$8=TRUE,0,VLOOKUP(C$21,제휴조건!$D$5:$P$20,7,0)),0)</f>
        <v>0</v>
      </c>
      <c r="E43" s="233">
        <f>IF(C43="취득원가",D43*C$29,IF(C43="MSRP",D43*(운용리스_단일!$AS$11+운용리스_단일!$BF$12),0))</f>
        <v>0</v>
      </c>
      <c r="F43" s="157"/>
      <c r="G43" s="157"/>
      <c r="H43" s="300" t="s">
        <v>606</v>
      </c>
      <c r="I43" s="301" t="e">
        <f>+IF(J43="YYYY",0.2%,0)</f>
        <v>#DIV/0!</v>
      </c>
      <c r="J43" s="159" t="e">
        <f>IF(OR(운용리스_단일!AS47="한성자동차",운용리스_단일!AS47="모터원",운용리스_단일!AS47="KCC오토",운용리스_단일!AS47="BENZ_일반",운용리스_단일!AS47="태안모터스",LEFT(I65,8)="PANAMERA"),"Y","N")&amp;IF(I41&gt;=6%,"Y","N")</f>
        <v>#DIV/0!</v>
      </c>
      <c r="K43" s="159"/>
      <c r="L43" s="157"/>
      <c r="M43" s="194">
        <v>5</v>
      </c>
      <c r="N43" s="17" t="e">
        <f t="shared" si="2"/>
        <v>#DIV/0!</v>
      </c>
      <c r="O43" s="162"/>
      <c r="P43" s="162"/>
      <c r="Q43" s="157"/>
      <c r="R43" s="157"/>
      <c r="S43" s="157"/>
      <c r="T43" s="157"/>
      <c r="U43" s="157"/>
      <c r="V43" s="157"/>
      <c r="W43" s="157"/>
      <c r="X43" s="157"/>
      <c r="AK43" s="197">
        <v>37</v>
      </c>
      <c r="AL43" s="217" t="e">
        <f t="shared" si="3"/>
        <v>#DIV/0!</v>
      </c>
      <c r="AM43" s="217" t="e">
        <f t="shared" si="1"/>
        <v>#DIV/0!</v>
      </c>
      <c r="BL43" s="163" t="e">
        <f>+IF(운용리스_단일!#REF!&gt;계산_운용리스_단일!D45,"불가")</f>
        <v>#REF!</v>
      </c>
    </row>
    <row r="44" spans="2:64" s="163" customFormat="1" ht="12" customHeight="1">
      <c r="B44" s="194" t="s">
        <v>525</v>
      </c>
      <c r="C44" s="194" t="str">
        <f>IF(VLOOKUP(C$21,제휴조건!$D$5:$P$27,8,0)=0,"없음",VLOOKUP(C$21,제휴조건!$D$5:$P$27,8,0))</f>
        <v>없음</v>
      </c>
      <c r="D44" s="257">
        <f>IFERROR(VLOOKUP(C$21,제휴조건!$D$5:$P$20,9,0),0)</f>
        <v>0</v>
      </c>
      <c r="E44" s="233">
        <f>IF(C44="취득원가",D44*C$29,IF(C44="MSRP",D44*(운용리스_단일!$AS$11+운용리스_단일!$BF$12),0))</f>
        <v>0</v>
      </c>
      <c r="F44" s="157"/>
      <c r="G44" s="157"/>
      <c r="H44" s="1932" t="s">
        <v>109</v>
      </c>
      <c r="I44" s="1932"/>
      <c r="J44" s="242"/>
      <c r="K44" s="159"/>
      <c r="L44" s="157"/>
      <c r="M44" s="194">
        <v>6</v>
      </c>
      <c r="N44" s="17" t="e">
        <f t="shared" si="2"/>
        <v>#DIV/0!</v>
      </c>
      <c r="O44" s="162"/>
      <c r="P44" s="162"/>
      <c r="Q44" s="157"/>
      <c r="R44" s="157"/>
      <c r="S44" s="157"/>
      <c r="T44" s="157"/>
      <c r="U44" s="157"/>
      <c r="V44" s="157"/>
      <c r="W44" s="157"/>
      <c r="X44" s="157"/>
      <c r="AK44" s="197">
        <v>38</v>
      </c>
      <c r="AL44" s="217" t="e">
        <f t="shared" si="3"/>
        <v>#DIV/0!</v>
      </c>
      <c r="AM44" s="217" t="e">
        <f t="shared" si="1"/>
        <v>#DIV/0!</v>
      </c>
    </row>
    <row r="45" spans="2:64" s="163" customFormat="1" ht="12" customHeight="1">
      <c r="B45" s="194" t="s">
        <v>526</v>
      </c>
      <c r="C45" s="194" t="str">
        <f>IF(VLOOKUP(C$21,제휴조건!$D$5:$P$27,10,0)=0,"없음",VLOOKUP(C$21,제휴조건!$D$5:$P$27,10,0))</f>
        <v>없음</v>
      </c>
      <c r="D45" s="257">
        <f>IFERROR(VLOOKUP(C$21,제휴조건!$D$5:$P$20,11,0),0)</f>
        <v>0</v>
      </c>
      <c r="E45" s="233">
        <f>IF(C45="취득원가",D45*C$29,IF(C45="MSRP",D45*(운용리스_단일!$AS$11+운용리스_단일!$BF$12),0))</f>
        <v>0</v>
      </c>
      <c r="F45" s="157"/>
      <c r="G45" s="157"/>
      <c r="H45" s="182" t="s">
        <v>110</v>
      </c>
      <c r="I45" s="243">
        <v>0.4</v>
      </c>
      <c r="J45" s="306"/>
      <c r="K45" s="162"/>
      <c r="L45" s="161"/>
      <c r="M45" s="194">
        <v>7</v>
      </c>
      <c r="N45" s="17" t="e">
        <f t="shared" si="2"/>
        <v>#DIV/0!</v>
      </c>
      <c r="O45" s="162"/>
      <c r="P45" s="162"/>
      <c r="Q45" s="157"/>
      <c r="R45" s="157"/>
      <c r="S45" s="157"/>
      <c r="T45" s="157"/>
      <c r="U45" s="157"/>
      <c r="V45" s="157"/>
      <c r="W45" s="157"/>
      <c r="X45" s="157"/>
      <c r="AK45" s="197">
        <v>39</v>
      </c>
      <c r="AL45" s="217" t="e">
        <f t="shared" si="3"/>
        <v>#DIV/0!</v>
      </c>
      <c r="AM45" s="217" t="e">
        <f t="shared" si="1"/>
        <v>#DIV/0!</v>
      </c>
    </row>
    <row r="46" spans="2:64" s="163" customFormat="1" ht="12" customHeight="1">
      <c r="B46" s="194" t="s">
        <v>527</v>
      </c>
      <c r="C46" s="194" t="str">
        <f>IF(VLOOKUP(C$21,제휴조건!$D$5:$P$27,12,0)=0,"없음",VLOOKUP(C$21,제휴조건!$D$5:$P$27,12,0))</f>
        <v>없음</v>
      </c>
      <c r="D46" s="257">
        <f>IFERROR(VLOOKUP(C$21,제휴조건!$D$5:$P$20,13,0),0)</f>
        <v>0</v>
      </c>
      <c r="E46" s="233">
        <f>IF(C46="취득원가",D46*C$29,IF(C46="MSRP",D46*(운용리스_단일!$AS$11+운용리스_단일!$BF$12),0))</f>
        <v>0</v>
      </c>
      <c r="F46" s="157"/>
      <c r="G46" s="157"/>
      <c r="H46" s="194" t="s">
        <v>111</v>
      </c>
      <c r="I46" s="233">
        <f>ROUNDDOWN($C$3*I45,-4)</f>
        <v>0</v>
      </c>
      <c r="J46" s="244"/>
      <c r="K46" s="162"/>
      <c r="L46" s="161"/>
      <c r="M46" s="194">
        <v>8</v>
      </c>
      <c r="N46" s="17" t="e">
        <f t="shared" si="2"/>
        <v>#DIV/0!</v>
      </c>
      <c r="O46" s="162"/>
      <c r="P46" s="162"/>
      <c r="Q46" s="157"/>
      <c r="R46" s="157"/>
      <c r="S46" s="157"/>
      <c r="T46" s="157"/>
      <c r="U46" s="157"/>
      <c r="V46" s="157"/>
      <c r="W46" s="157"/>
      <c r="X46" s="157"/>
      <c r="AK46" s="197">
        <v>40</v>
      </c>
      <c r="AL46" s="217" t="e">
        <f t="shared" si="3"/>
        <v>#DIV/0!</v>
      </c>
      <c r="AM46" s="217" t="e">
        <f t="shared" si="1"/>
        <v>#DIV/0!</v>
      </c>
    </row>
    <row r="47" spans="2:64" s="163" customFormat="1" ht="12" customHeight="1">
      <c r="B47" s="194" t="s">
        <v>1145</v>
      </c>
      <c r="C47" s="194" t="s">
        <v>1146</v>
      </c>
      <c r="D47" s="257">
        <f>IF('AG 입력시트'!AG15=TRUE,0,VLOOKUP('AG 입력시트'!S9,제휴조건!$D$5:$F$27,3,0))</f>
        <v>6.0000000000000001E-3</v>
      </c>
      <c r="E47" s="233">
        <f>+C29*D47</f>
        <v>0</v>
      </c>
      <c r="F47" s="157"/>
      <c r="G47" s="157"/>
      <c r="H47" s="201" t="s">
        <v>112</v>
      </c>
      <c r="I47" s="201" t="str">
        <f>IF(C$14+C$15&lt;I46,"N","Y")</f>
        <v>Y</v>
      </c>
      <c r="J47" s="222"/>
      <c r="K47" s="162"/>
      <c r="L47" s="161"/>
      <c r="M47" s="194">
        <v>9</v>
      </c>
      <c r="N47" s="17" t="e">
        <f t="shared" si="2"/>
        <v>#DIV/0!</v>
      </c>
      <c r="O47" s="162"/>
      <c r="P47" s="162"/>
      <c r="Q47" s="157"/>
      <c r="R47" s="157"/>
      <c r="S47" s="157"/>
      <c r="T47" s="157"/>
      <c r="U47" s="157"/>
      <c r="V47" s="157"/>
      <c r="W47" s="157"/>
      <c r="X47" s="157"/>
      <c r="AK47" s="197">
        <v>41</v>
      </c>
      <c r="AL47" s="217" t="e">
        <f t="shared" si="3"/>
        <v>#DIV/0!</v>
      </c>
      <c r="AM47" s="217" t="e">
        <f t="shared" si="1"/>
        <v>#DIV/0!</v>
      </c>
    </row>
    <row r="48" spans="2:64" s="163" customFormat="1" ht="12" customHeight="1">
      <c r="B48" s="194" t="s">
        <v>301</v>
      </c>
      <c r="C48" s="194" t="s">
        <v>301</v>
      </c>
      <c r="D48" s="257" t="e">
        <f>I42/C24</f>
        <v>#DIV/0!</v>
      </c>
      <c r="E48" s="233" t="e">
        <f>I42</f>
        <v>#DIV/0!</v>
      </c>
      <c r="F48" s="157"/>
      <c r="G48" s="157"/>
      <c r="H48" s="304" t="s">
        <v>113</v>
      </c>
      <c r="I48" s="305">
        <f>IF(I47="Y",IF(운용리스_단일!$AS$5="수입",0.2%,0.3%),0)</f>
        <v>3.0000000000000001E-3</v>
      </c>
      <c r="J48" s="159"/>
      <c r="K48" s="162"/>
      <c r="L48" s="161"/>
      <c r="M48" s="194">
        <v>10</v>
      </c>
      <c r="N48" s="17" t="e">
        <f t="shared" si="2"/>
        <v>#DIV/0!</v>
      </c>
      <c r="O48" s="162"/>
      <c r="P48" s="162"/>
      <c r="Q48" s="157"/>
      <c r="R48" s="157"/>
      <c r="S48" s="157"/>
      <c r="T48" s="157"/>
      <c r="U48" s="157"/>
      <c r="V48" s="157"/>
      <c r="W48" s="157"/>
      <c r="X48" s="157"/>
      <c r="AK48" s="197">
        <v>42</v>
      </c>
      <c r="AL48" s="217" t="e">
        <f t="shared" si="3"/>
        <v>#DIV/0!</v>
      </c>
      <c r="AM48" s="217" t="e">
        <f t="shared" si="1"/>
        <v>#DIV/0!</v>
      </c>
    </row>
    <row r="49" spans="2:39" s="163" customFormat="1" ht="12" customHeight="1">
      <c r="B49" s="186" t="s">
        <v>272</v>
      </c>
      <c r="C49" s="186" t="s">
        <v>302</v>
      </c>
      <c r="D49" s="302" t="e">
        <f>E49/C29</f>
        <v>#DIV/0!</v>
      </c>
      <c r="E49" s="303" t="e">
        <f>SUM(E40:E48)</f>
        <v>#DIV/0!</v>
      </c>
      <c r="F49" s="157"/>
      <c r="G49" s="157"/>
      <c r="J49" s="242"/>
      <c r="K49" s="162"/>
      <c r="L49" s="161"/>
      <c r="M49" s="194">
        <v>11</v>
      </c>
      <c r="N49" s="17" t="e">
        <f t="shared" si="2"/>
        <v>#DIV/0!</v>
      </c>
      <c r="O49" s="162"/>
      <c r="P49" s="162"/>
      <c r="Q49" s="157"/>
      <c r="R49" s="157"/>
      <c r="S49" s="157"/>
      <c r="T49" s="157"/>
      <c r="U49" s="157"/>
      <c r="V49" s="157"/>
      <c r="W49" s="157"/>
      <c r="X49" s="157"/>
      <c r="AK49" s="197">
        <v>43</v>
      </c>
      <c r="AL49" s="217" t="e">
        <f t="shared" si="3"/>
        <v>#DIV/0!</v>
      </c>
      <c r="AM49" s="217" t="e">
        <f t="shared" si="1"/>
        <v>#DIV/0!</v>
      </c>
    </row>
    <row r="50" spans="2:39" s="163" customFormat="1" ht="12" customHeight="1">
      <c r="B50" s="157"/>
      <c r="C50" s="157" t="e">
        <f>IF(D48&lt;=0%,"",IF(D48&lt;=0.22%,".",IF(D48&lt;=0.44%,"..",IF(D48&lt;=0.66%,"...",IF(D48&lt;=0.94%,"....",IF(D48&lt;=1.21%,"…..",IF(D48&lt;=1.4%,"……",IF(D48&lt;=1.58%,"…….",IF(D48&lt;=1.76%,"……..")))))))))</f>
        <v>#DIV/0!</v>
      </c>
      <c r="D50" s="290"/>
      <c r="E50" s="158"/>
      <c r="F50" s="157"/>
      <c r="G50" s="157"/>
      <c r="H50" s="182" t="s">
        <v>115</v>
      </c>
      <c r="I50" s="243">
        <v>1</v>
      </c>
      <c r="J50" s="162"/>
      <c r="K50" s="162"/>
      <c r="L50" s="161"/>
      <c r="M50" s="194">
        <v>12</v>
      </c>
      <c r="N50" s="17" t="e">
        <f t="shared" si="2"/>
        <v>#DIV/0!</v>
      </c>
      <c r="O50" s="162"/>
      <c r="P50" s="162"/>
      <c r="Q50" s="157"/>
      <c r="R50" s="157"/>
      <c r="S50" s="157"/>
      <c r="T50" s="157"/>
      <c r="U50" s="157"/>
      <c r="V50" s="157"/>
      <c r="W50" s="157"/>
      <c r="X50" s="157"/>
      <c r="AK50" s="197">
        <v>44</v>
      </c>
      <c r="AL50" s="217" t="e">
        <f t="shared" si="3"/>
        <v>#DIV/0!</v>
      </c>
      <c r="AM50" s="217" t="e">
        <f t="shared" si="1"/>
        <v>#DIV/0!</v>
      </c>
    </row>
    <row r="51" spans="2:39" s="163" customFormat="1" ht="12" customHeight="1">
      <c r="B51" s="1932" t="s">
        <v>118</v>
      </c>
      <c r="C51" s="1932"/>
      <c r="D51" s="157"/>
      <c r="E51" s="158"/>
      <c r="F51" s="157"/>
      <c r="G51" s="157"/>
      <c r="H51" s="194" t="s">
        <v>111</v>
      </c>
      <c r="I51" s="233">
        <f>ROUNDDOWN($C$3*I50,-3)</f>
        <v>0</v>
      </c>
      <c r="J51" s="244"/>
      <c r="K51" s="162"/>
      <c r="L51" s="161"/>
      <c r="M51" s="194">
        <v>13</v>
      </c>
      <c r="N51" s="17" t="e">
        <f t="shared" si="2"/>
        <v>#DIV/0!</v>
      </c>
      <c r="O51" s="162"/>
      <c r="P51" s="162"/>
      <c r="Q51" s="157"/>
      <c r="R51" s="157"/>
      <c r="S51" s="157"/>
      <c r="T51" s="157"/>
      <c r="U51" s="157"/>
      <c r="V51" s="157"/>
      <c r="W51" s="157"/>
      <c r="X51" s="157"/>
      <c r="AK51" s="197">
        <v>45</v>
      </c>
      <c r="AL51" s="217" t="e">
        <f>+IF(M83&lt;$C$13,IF($N$16&gt;0,$N$17,$N$15),IF(M83=$C$13,IF($N$16&gt;0,$N$17,$N$15)+$C$16,0))</f>
        <v>#DIV/0!</v>
      </c>
      <c r="AM51" s="217" t="e">
        <f t="shared" si="1"/>
        <v>#DIV/0!</v>
      </c>
    </row>
    <row r="52" spans="2:39" s="163" customFormat="1" ht="12" customHeight="1">
      <c r="B52" s="186" t="s">
        <v>119</v>
      </c>
      <c r="C52" s="303">
        <v>10000</v>
      </c>
      <c r="D52" s="157"/>
      <c r="E52" s="158"/>
      <c r="F52" s="157"/>
      <c r="G52" s="157"/>
      <c r="H52" s="201" t="s">
        <v>112</v>
      </c>
      <c r="I52" s="201" t="str">
        <f>IF($C$14+$C$15&lt;I51,"N","Y")</f>
        <v>Y</v>
      </c>
      <c r="J52" s="222"/>
      <c r="K52" s="162"/>
      <c r="L52" s="161"/>
      <c r="M52" s="194">
        <v>14</v>
      </c>
      <c r="N52" s="17" t="e">
        <f t="shared" si="2"/>
        <v>#DIV/0!</v>
      </c>
      <c r="O52" s="162"/>
      <c r="P52" s="162"/>
      <c r="Q52" s="157"/>
      <c r="R52" s="157"/>
      <c r="S52" s="157"/>
      <c r="T52" s="157"/>
      <c r="U52" s="157"/>
      <c r="V52" s="157"/>
      <c r="W52" s="157"/>
      <c r="X52" s="157"/>
      <c r="AK52" s="197">
        <v>46</v>
      </c>
      <c r="AL52" s="217" t="e">
        <f>+IF(M84&lt;$C$13,IF($N$16&gt;0,$N$17,$N$15),IF(M84=$C$13,IF($N$16&gt;0,$N$17,$N$15)+$C$16,0))</f>
        <v>#DIV/0!</v>
      </c>
      <c r="AM52" s="217" t="e">
        <f t="shared" si="1"/>
        <v>#DIV/0!</v>
      </c>
    </row>
    <row r="53" spans="2:39" s="163" customFormat="1" ht="12" customHeight="1">
      <c r="B53" s="157"/>
      <c r="C53" s="157"/>
      <c r="D53" s="157"/>
      <c r="E53" s="158"/>
      <c r="F53" s="157"/>
      <c r="G53" s="157"/>
      <c r="H53" s="304" t="s">
        <v>113</v>
      </c>
      <c r="I53" s="305">
        <f>IF(I52="Y",0.3%,0)</f>
        <v>3.0000000000000001E-3</v>
      </c>
      <c r="J53" s="159"/>
      <c r="K53" s="162"/>
      <c r="L53" s="161"/>
      <c r="M53" s="194">
        <v>15</v>
      </c>
      <c r="N53" s="17" t="e">
        <f t="shared" si="2"/>
        <v>#DIV/0!</v>
      </c>
      <c r="O53" s="162"/>
      <c r="P53" s="162"/>
      <c r="Q53" s="157"/>
      <c r="R53" s="157"/>
      <c r="S53" s="157"/>
      <c r="T53" s="157"/>
      <c r="U53" s="157"/>
      <c r="V53" s="157"/>
      <c r="W53" s="157"/>
      <c r="X53" s="157"/>
      <c r="AK53" s="197">
        <v>47</v>
      </c>
      <c r="AL53" s="217" t="e">
        <f t="shared" si="3"/>
        <v>#DIV/0!</v>
      </c>
      <c r="AM53" s="217" t="e">
        <f t="shared" si="1"/>
        <v>#DIV/0!</v>
      </c>
    </row>
    <row r="54" spans="2:39" s="163" customFormat="1" ht="12" customHeight="1">
      <c r="B54" s="163" t="s">
        <v>121</v>
      </c>
      <c r="D54" s="157"/>
      <c r="E54" s="158"/>
      <c r="F54" s="157"/>
      <c r="G54" s="157"/>
      <c r="H54" s="161"/>
      <c r="I54" s="161"/>
      <c r="J54" s="242"/>
      <c r="K54" s="162"/>
      <c r="L54" s="161"/>
      <c r="M54" s="194">
        <v>16</v>
      </c>
      <c r="N54" s="17" t="e">
        <f t="shared" si="2"/>
        <v>#DIV/0!</v>
      </c>
      <c r="O54" s="162"/>
      <c r="P54" s="162"/>
      <c r="Q54" s="157"/>
      <c r="R54" s="157"/>
      <c r="S54" s="157"/>
      <c r="T54" s="157"/>
      <c r="U54" s="157"/>
      <c r="V54" s="157"/>
      <c r="W54" s="157"/>
      <c r="X54" s="157"/>
      <c r="AK54" s="197">
        <v>48</v>
      </c>
      <c r="AL54" s="217" t="e">
        <f t="shared" si="3"/>
        <v>#DIV/0!</v>
      </c>
      <c r="AM54" s="217" t="e">
        <f t="shared" si="1"/>
        <v>#DIV/0!</v>
      </c>
    </row>
    <row r="55" spans="2:39" s="163" customFormat="1" ht="12" customHeight="1">
      <c r="B55" s="182" t="s">
        <v>122</v>
      </c>
      <c r="C55" s="307">
        <f>IF(D4="국산",13.5%,15%)</f>
        <v>0.13500000000000001</v>
      </c>
      <c r="D55" s="232">
        <f>ROUNDDOWN(C29*C55,0)</f>
        <v>0</v>
      </c>
      <c r="E55" s="221"/>
      <c r="F55" s="157"/>
      <c r="G55" s="157"/>
      <c r="H55" s="182" t="s">
        <v>117</v>
      </c>
      <c r="I55" s="243">
        <v>1</v>
      </c>
      <c r="J55" s="162"/>
      <c r="K55" s="159"/>
      <c r="L55" s="157"/>
      <c r="M55" s="194">
        <v>17</v>
      </c>
      <c r="N55" s="17" t="e">
        <f t="shared" si="2"/>
        <v>#DIV/0!</v>
      </c>
      <c r="O55" s="162"/>
      <c r="P55" s="162"/>
      <c r="Q55" s="157"/>
      <c r="R55" s="157"/>
      <c r="S55" s="157"/>
      <c r="T55" s="157"/>
      <c r="U55" s="157"/>
      <c r="V55" s="157"/>
      <c r="W55" s="157"/>
      <c r="X55" s="157"/>
      <c r="AK55" s="197">
        <v>49</v>
      </c>
      <c r="AL55" s="217" t="e">
        <f t="shared" si="3"/>
        <v>#DIV/0!</v>
      </c>
      <c r="AM55" s="217" t="e">
        <f t="shared" si="1"/>
        <v>#DIV/0!</v>
      </c>
    </row>
    <row r="56" spans="2:39" s="163" customFormat="1" ht="12" customHeight="1">
      <c r="B56" s="201" t="s">
        <v>123</v>
      </c>
      <c r="C56" s="201" t="e">
        <f>+IF(E49&gt;D55,FALSE,TRUE)</f>
        <v>#DIV/0!</v>
      </c>
      <c r="D56" s="201"/>
      <c r="E56" s="158"/>
      <c r="F56" s="157"/>
      <c r="G56" s="157"/>
      <c r="H56" s="194" t="s">
        <v>111</v>
      </c>
      <c r="I56" s="233">
        <f>ROUNDDOWN($C$3*I55,-3)</f>
        <v>0</v>
      </c>
      <c r="J56" s="244"/>
      <c r="K56" s="159"/>
      <c r="L56" s="157"/>
      <c r="M56" s="194">
        <v>18</v>
      </c>
      <c r="N56" s="17" t="e">
        <f t="shared" si="2"/>
        <v>#DIV/0!</v>
      </c>
      <c r="O56" s="162"/>
      <c r="P56" s="162"/>
      <c r="Q56" s="157"/>
      <c r="R56" s="157"/>
      <c r="S56" s="157"/>
      <c r="T56" s="157"/>
      <c r="U56" s="157"/>
      <c r="V56" s="157"/>
      <c r="W56" s="157"/>
      <c r="X56" s="157"/>
      <c r="AK56" s="197">
        <v>50</v>
      </c>
      <c r="AL56" s="217" t="e">
        <f t="shared" si="3"/>
        <v>#DIV/0!</v>
      </c>
      <c r="AM56" s="217" t="e">
        <f t="shared" si="1"/>
        <v>#DIV/0!</v>
      </c>
    </row>
    <row r="57" spans="2:39" s="163" customFormat="1" ht="12" customHeight="1">
      <c r="B57" s="157"/>
      <c r="C57" s="157"/>
      <c r="D57" s="157"/>
      <c r="E57" s="158"/>
      <c r="F57" s="157"/>
      <c r="G57" s="157"/>
      <c r="H57" s="201" t="s">
        <v>112</v>
      </c>
      <c r="I57" s="201" t="str">
        <f>IF($C$14+$C$15&lt;I56,"N","Y")</f>
        <v>Y</v>
      </c>
      <c r="J57" s="222"/>
      <c r="K57" s="159"/>
      <c r="L57" s="157"/>
      <c r="M57" s="194">
        <v>19</v>
      </c>
      <c r="N57" s="17" t="e">
        <f t="shared" si="2"/>
        <v>#DIV/0!</v>
      </c>
      <c r="O57" s="162"/>
      <c r="P57" s="162"/>
      <c r="Q57" s="157"/>
      <c r="R57" s="157"/>
      <c r="S57" s="157"/>
      <c r="T57" s="157"/>
      <c r="U57" s="157"/>
      <c r="V57" s="157"/>
      <c r="W57" s="157"/>
      <c r="X57" s="157"/>
      <c r="AK57" s="197">
        <v>51</v>
      </c>
      <c r="AL57" s="217" t="e">
        <f t="shared" si="3"/>
        <v>#DIV/0!</v>
      </c>
      <c r="AM57" s="217" t="e">
        <f t="shared" si="1"/>
        <v>#DIV/0!</v>
      </c>
    </row>
    <row r="58" spans="2:39" s="163" customFormat="1" ht="12" customHeight="1">
      <c r="B58" s="292" t="s">
        <v>124</v>
      </c>
      <c r="C58" s="157"/>
      <c r="D58" s="157"/>
      <c r="E58" s="158"/>
      <c r="F58" s="157"/>
      <c r="G58" s="157"/>
      <c r="H58" s="304" t="s">
        <v>113</v>
      </c>
      <c r="I58" s="305">
        <f>IF(I57="Y",0.5%,0)</f>
        <v>5.0000000000000001E-3</v>
      </c>
      <c r="J58" s="159"/>
      <c r="K58" s="159"/>
      <c r="L58" s="157"/>
      <c r="M58" s="194">
        <v>20</v>
      </c>
      <c r="N58" s="17" t="e">
        <f t="shared" si="2"/>
        <v>#DIV/0!</v>
      </c>
      <c r="O58" s="162"/>
      <c r="P58" s="162"/>
      <c r="Q58" s="157"/>
      <c r="R58" s="157"/>
      <c r="S58" s="157"/>
      <c r="T58" s="157"/>
      <c r="U58" s="157"/>
      <c r="V58" s="157"/>
      <c r="W58" s="157"/>
      <c r="X58" s="157"/>
      <c r="AK58" s="197">
        <v>52</v>
      </c>
      <c r="AL58" s="217" t="e">
        <f t="shared" si="3"/>
        <v>#DIV/0!</v>
      </c>
      <c r="AM58" s="217" t="e">
        <f t="shared" si="1"/>
        <v>#DIV/0!</v>
      </c>
    </row>
    <row r="59" spans="2:39" s="163" customFormat="1" ht="12" customHeight="1">
      <c r="B59" s="186" t="s">
        <v>122</v>
      </c>
      <c r="C59" s="309" t="e">
        <f>IF(C55-(SUM(E41:E48)/C29)&gt;E59,E59,C55-(SUM(E41:E48)/C29))</f>
        <v>#DIV/0!</v>
      </c>
      <c r="D59" s="157" t="s">
        <v>1251</v>
      </c>
      <c r="E59" s="714">
        <f>IF(C21="한성자동차",14%,IF(C21="KCC오토",14%,IF(C21="모터원",14%,13%)))</f>
        <v>0.13</v>
      </c>
      <c r="F59" s="157"/>
      <c r="G59" s="157"/>
      <c r="H59" s="161"/>
      <c r="I59" s="161"/>
      <c r="J59" s="159"/>
      <c r="K59" s="159"/>
      <c r="L59" s="157"/>
      <c r="M59" s="194">
        <v>21</v>
      </c>
      <c r="N59" s="17" t="e">
        <f t="shared" si="2"/>
        <v>#DIV/0!</v>
      </c>
      <c r="O59" s="162"/>
      <c r="P59" s="162"/>
      <c r="Q59" s="157"/>
      <c r="R59" s="157"/>
      <c r="S59" s="157"/>
      <c r="T59" s="157"/>
      <c r="U59" s="157"/>
      <c r="V59" s="157"/>
      <c r="W59" s="157"/>
      <c r="X59" s="157"/>
      <c r="AK59" s="197">
        <v>53</v>
      </c>
      <c r="AL59" s="217" t="e">
        <f t="shared" si="3"/>
        <v>#DIV/0!</v>
      </c>
      <c r="AM59" s="217" t="e">
        <f t="shared" si="1"/>
        <v>#DIV/0!</v>
      </c>
    </row>
    <row r="60" spans="2:39" s="163" customFormat="1" ht="12" customHeight="1">
      <c r="B60" s="157"/>
      <c r="C60" s="157"/>
      <c r="D60" s="157"/>
      <c r="E60" s="158"/>
      <c r="F60" s="157"/>
      <c r="G60" s="157"/>
      <c r="H60" s="182" t="s">
        <v>120</v>
      </c>
      <c r="I60" s="243">
        <v>1</v>
      </c>
      <c r="J60" s="162"/>
      <c r="K60" s="159"/>
      <c r="L60" s="157"/>
      <c r="M60" s="194">
        <v>22</v>
      </c>
      <c r="N60" s="17" t="e">
        <f t="shared" si="2"/>
        <v>#DIV/0!</v>
      </c>
      <c r="O60" s="162"/>
      <c r="P60" s="162"/>
      <c r="Q60" s="157"/>
      <c r="R60" s="157"/>
      <c r="S60" s="157"/>
      <c r="T60" s="157"/>
      <c r="U60" s="157"/>
      <c r="V60" s="157"/>
      <c r="W60" s="157"/>
      <c r="X60" s="157"/>
      <c r="AK60" s="197">
        <v>54</v>
      </c>
      <c r="AL60" s="217" t="e">
        <f t="shared" si="3"/>
        <v>#DIV/0!</v>
      </c>
      <c r="AM60" s="217" t="e">
        <f t="shared" si="1"/>
        <v>#DIV/0!</v>
      </c>
    </row>
    <row r="61" spans="2:39" s="163" customFormat="1" ht="12" customHeight="1">
      <c r="B61" s="186" t="s">
        <v>303</v>
      </c>
      <c r="C61" s="309">
        <f>+'AG 입력시트'!S13</f>
        <v>0</v>
      </c>
      <c r="D61" s="157"/>
      <c r="E61" s="158"/>
      <c r="F61" s="157"/>
      <c r="G61" s="157"/>
      <c r="H61" s="194" t="s">
        <v>111</v>
      </c>
      <c r="I61" s="233">
        <f>ROUNDDOWN($C$3*I60,-3)</f>
        <v>0</v>
      </c>
      <c r="J61" s="159"/>
      <c r="K61" s="159"/>
      <c r="L61" s="157"/>
      <c r="M61" s="194">
        <v>23</v>
      </c>
      <c r="N61" s="17" t="e">
        <f t="shared" si="2"/>
        <v>#DIV/0!</v>
      </c>
      <c r="O61" s="162"/>
      <c r="P61" s="162"/>
      <c r="Q61" s="157"/>
      <c r="R61" s="157"/>
      <c r="S61" s="157"/>
      <c r="T61" s="157"/>
      <c r="U61" s="157"/>
      <c r="V61" s="157"/>
      <c r="W61" s="157"/>
      <c r="X61" s="157"/>
      <c r="AK61" s="197">
        <v>55</v>
      </c>
      <c r="AL61" s="217" t="e">
        <f t="shared" si="3"/>
        <v>#DIV/0!</v>
      </c>
      <c r="AM61" s="217" t="e">
        <f t="shared" si="1"/>
        <v>#DIV/0!</v>
      </c>
    </row>
    <row r="62" spans="2:39" s="163" customFormat="1" ht="12" customHeight="1">
      <c r="B62" s="186"/>
      <c r="C62" s="312"/>
      <c r="D62" s="157"/>
      <c r="E62" s="158"/>
      <c r="F62" s="157"/>
      <c r="G62" s="157"/>
      <c r="H62" s="201" t="s">
        <v>112</v>
      </c>
      <c r="I62" s="201" t="str">
        <f>IF($C$14+$C$15&lt;I61,"N","Y")</f>
        <v>Y</v>
      </c>
      <c r="J62" s="159"/>
      <c r="K62" s="159"/>
      <c r="L62" s="157"/>
      <c r="M62" s="194">
        <v>24</v>
      </c>
      <c r="N62" s="17" t="e">
        <f t="shared" si="2"/>
        <v>#DIV/0!</v>
      </c>
      <c r="O62" s="162"/>
      <c r="P62" s="162"/>
      <c r="Q62" s="157"/>
      <c r="R62" s="157"/>
      <c r="S62" s="157"/>
      <c r="T62" s="157"/>
      <c r="U62" s="157"/>
      <c r="V62" s="157"/>
      <c r="W62" s="157"/>
      <c r="X62" s="157"/>
      <c r="AK62" s="197">
        <v>56</v>
      </c>
      <c r="AL62" s="217" t="e">
        <f t="shared" si="3"/>
        <v>#DIV/0!</v>
      </c>
      <c r="AM62" s="217" t="e">
        <f t="shared" si="1"/>
        <v>#DIV/0!</v>
      </c>
    </row>
    <row r="63" spans="2:39" s="163" customFormat="1" ht="12" customHeight="1">
      <c r="B63" s="186"/>
      <c r="C63" s="312"/>
      <c r="D63" s="157"/>
      <c r="E63" s="158"/>
      <c r="F63" s="157"/>
      <c r="G63" s="157"/>
      <c r="H63" s="157"/>
      <c r="I63" s="157"/>
      <c r="J63" s="159"/>
      <c r="K63" s="159"/>
      <c r="L63" s="157"/>
      <c r="M63" s="194">
        <v>25</v>
      </c>
      <c r="N63" s="17" t="e">
        <f t="shared" si="2"/>
        <v>#DIV/0!</v>
      </c>
      <c r="O63" s="162"/>
      <c r="P63" s="162"/>
      <c r="Q63" s="157"/>
      <c r="R63" s="157"/>
      <c r="S63" s="157"/>
      <c r="T63" s="157"/>
      <c r="U63" s="157"/>
      <c r="V63" s="157"/>
      <c r="W63" s="157"/>
      <c r="X63" s="157"/>
      <c r="AK63" s="197">
        <v>57</v>
      </c>
      <c r="AL63" s="217" t="e">
        <f t="shared" si="3"/>
        <v>#DIV/0!</v>
      </c>
      <c r="AM63" s="217" t="e">
        <f t="shared" si="1"/>
        <v>#DIV/0!</v>
      </c>
    </row>
    <row r="64" spans="2:39" s="163" customFormat="1" ht="12" customHeight="1">
      <c r="B64" s="186"/>
      <c r="C64" s="312"/>
      <c r="D64" s="157"/>
      <c r="E64" s="158"/>
      <c r="F64" s="157"/>
      <c r="G64" s="157"/>
      <c r="H64" s="1933" t="s">
        <v>1013</v>
      </c>
      <c r="I64" s="1933"/>
      <c r="J64" s="159"/>
      <c r="K64" s="159"/>
      <c r="L64" s="157"/>
      <c r="M64" s="194">
        <v>26</v>
      </c>
      <c r="N64" s="17" t="e">
        <f t="shared" si="2"/>
        <v>#DIV/0!</v>
      </c>
      <c r="O64" s="162"/>
      <c r="P64" s="162"/>
      <c r="Q64" s="157"/>
      <c r="R64" s="157"/>
      <c r="S64" s="157"/>
      <c r="T64" s="157"/>
      <c r="V64" s="157"/>
      <c r="W64" s="157"/>
      <c r="X64" s="157"/>
      <c r="AK64" s="197">
        <v>58</v>
      </c>
      <c r="AL64" s="217" t="e">
        <f t="shared" si="3"/>
        <v>#DIV/0!</v>
      </c>
      <c r="AM64" s="217" t="e">
        <f t="shared" si="1"/>
        <v>#DIV/0!</v>
      </c>
    </row>
    <row r="65" spans="1:39" ht="12" customHeight="1">
      <c r="A65" s="163"/>
      <c r="B65" s="158"/>
      <c r="C65" s="158"/>
      <c r="D65" s="163"/>
      <c r="H65" s="1107" t="s">
        <v>1014</v>
      </c>
      <c r="I65" s="1108" t="str">
        <f>운용리스_단일!$AS$7</f>
        <v>GV80 3.5T (가솔린)_Coupe</v>
      </c>
      <c r="J65" s="159" t="str">
        <f>+IF(AND(운용리스_단일!$AS$47="BENZ_일반",LEFT(I65,2)="E "),"Y",IF(AND(운용리스_단일!$AS$47="BENZ_일반",RIGHT(I65,10)="4M (4door)"),"Y",IF(AND(운용리스_단일!$AS$47="BENZ_일반",LEFT(I65,5)="S 450"),"Y",IF(AND(운용리스_단일!$AS$47="BENZ_일반",LEFT(I65,5)="S 500"),"Y","N"))))</f>
        <v>N</v>
      </c>
      <c r="M65" s="194">
        <v>27</v>
      </c>
      <c r="N65" s="17" t="e">
        <f t="shared" si="2"/>
        <v>#DIV/0!</v>
      </c>
      <c r="O65" s="306"/>
      <c r="P65" s="306"/>
      <c r="Q65" s="163"/>
      <c r="R65" s="163"/>
      <c r="S65" s="163"/>
      <c r="T65" s="163"/>
      <c r="U65" s="163"/>
      <c r="V65" s="163"/>
      <c r="AK65" s="197">
        <v>59</v>
      </c>
      <c r="AL65" s="217" t="e">
        <f t="shared" si="3"/>
        <v>#DIV/0!</v>
      </c>
      <c r="AM65" s="217" t="e">
        <f t="shared" si="1"/>
        <v>#DIV/0!</v>
      </c>
    </row>
    <row r="66" spans="1:39" ht="12" customHeight="1">
      <c r="A66" s="163"/>
      <c r="B66" s="186" t="s">
        <v>715</v>
      </c>
      <c r="C66" s="232">
        <f>(운용리스_단일!$AS$11+운용리스_단일!$BF$12-운용리스_단일!AS13)/1.1715*5%</f>
        <v>0</v>
      </c>
      <c r="D66" s="163"/>
      <c r="H66" s="1109" t="s">
        <v>1153</v>
      </c>
      <c r="I66" s="1110">
        <f>IF(AND(SUM(D40,D41,D44,D47)&gt;=7.0000001%,D4="수입",J66="A"),0.2%,IF(AND(SUM(D40,D41,D44,D47)&gt;=7.0000001%,D4="수입",J66="B"),0.2%,IF(AND(SUM(D40,D41,D44,D47)&gt;=7.0000001%,D4="수입",J66="C"),0.2%,
IF(AND(SUM(D40,D41,D44,D47)&gt;=7.0000001%,D4="국산"),0.2%,0%))))+IF(AND(SUM(D40,D41,D44,D47)&gt;=10.0000001%,D4="수입",J66="A"),0.2%,IF(AND(SUM(D40,D41,D44,D47)&gt;=10.0000001%,D4="수입",J66="B"),0.2%,IF(AND(SUM(D40,D41,D44,D47)&gt;=10.0000001%,D4="수입",J66="C"),0.2%)))
+IF(AND(SUM(D40,D41,D44,D47)&gt;=7.0000001%,D4="국산",C13=60),0.1%,0%)</f>
        <v>0</v>
      </c>
      <c r="J66" s="159" t="str">
        <f>+VLOOKUP(운용리스_단일!$AS$6,차량정보!$Z$4:$AA$41,2,0)</f>
        <v>국산</v>
      </c>
      <c r="L66" s="857">
        <f>+IF(AND(D4="수입",SUM(D40:D41)+D47+D44&gt;=9.01%,J66="D1"),0.5%,IF(AND(D4="수입",SUM(D40:D41)+D47+D44&gt;=8.51%,J66="D12"),0.5%,IF(AND(D4="수입",SUM(D40:D41)+D47+D44&gt;=7.01%,J66="D1"),0%,IF(AND(D4="수입",SUM(D40:D41)+D47+D44&gt;=9.01%,J66="D2"),1%,IF(AND(D4="수입",SUM(D40:D41)+D47+D44&gt;=7.01%,J66="D2"),0%,IF(AND(D4="수입",SUM(D40:D41)+D47+D44&gt;=8.61%,J66="D22"),1%,IF(AND(D4="수입",SUM(D40:D41)+D47+D44&gt;=6.61%,J66="D22"),0%,IF(AND(D4="수입",SUM(D40:D41)+D47+D44&gt;=9.01%,J66="D3"),1%,IF(AND(D4="수입",SUM(D40:D41)+D47+D44&gt;=7.01%,J66="D3"),0.5%,IF(AND(D4="국산",SUM(D40:D41)+D47+D44&gt;=9.01%),1%,IF(AND(D4="국산",SUM(D40:D41)+D47+D44&gt;=7.01%,J67="일반국산"),0.5%,IF(AND(D4="국산",SUM(D40:D41)+D47+D44&gt;=7.01%,J67="제네시스"),0.5%,0%))))))))+IF(AND(D4="국산",SUM(D40:D41)+D47+D44&gt;=9.01%,J67="제네시스"),0%,0%)))))
+IF(AND(D4="국산",SUM(D40:D41)+D46+D43&gt;=9.01%,J67="제네시스"),0%,0%)</f>
        <v>0</v>
      </c>
      <c r="M66" s="194">
        <v>28</v>
      </c>
      <c r="N66" s="17" t="e">
        <f t="shared" si="2"/>
        <v>#DIV/0!</v>
      </c>
      <c r="O66" s="306"/>
      <c r="P66" s="306"/>
      <c r="Q66" s="163"/>
      <c r="R66" s="163"/>
      <c r="S66" s="163"/>
      <c r="T66" s="163"/>
      <c r="U66" s="163"/>
      <c r="V66" s="163"/>
      <c r="AK66" s="197">
        <v>60</v>
      </c>
      <c r="AL66" s="217" t="e">
        <f t="shared" si="3"/>
        <v>#DIV/0!</v>
      </c>
      <c r="AM66" s="217" t="e">
        <f t="shared" si="1"/>
        <v>#DIV/0!</v>
      </c>
    </row>
    <row r="67" spans="1:39" ht="12" customHeight="1">
      <c r="A67" s="163"/>
      <c r="B67" s="186" t="s">
        <v>992</v>
      </c>
      <c r="C67" s="232">
        <f>(운용리스_단일!$AS$11+운용리스_단일!$BF$12-운용리스_단일!AS13)/1.1715*5% -IF(RIGHT(운용리스_단일!$AS$7,6)="하이브리드)",1000000)</f>
        <v>0</v>
      </c>
      <c r="H67" s="1111" t="s">
        <v>2649</v>
      </c>
      <c r="I67" s="1110">
        <f>IF(AND(C13=36,D4="국산"),VLOOKUP(I68,차량정보!$AK$32:$AN$39,2,0),IF(AND(C13=48,D4="국산"),VLOOKUP(I68,차량정보!$AK$32:$AN$39,3,0),IF(AND(C13=60,D4="국산"),VLOOKUP(I68,차량정보!$AK$32:$AN$39,4,0),0%)))</f>
        <v>-3.0000000000000001E-3</v>
      </c>
      <c r="J67" s="159" t="str">
        <f>IF(LEFT(I65,1)="g","제네시스","일반국산")</f>
        <v>제네시스</v>
      </c>
      <c r="L67" s="157" t="e">
        <f>IF(AND(I68="Y",C13=36),-0.3%,IF(AND(I68="Y",C13=48),-0.3%,IF(AND(I68="Y",C13=60),-0.1%,IF(AND(I68="N",C13=60),0%,0%)))+IF(AND(LEFT(I65,3)="G80",C13=60,I41&gt;4%),0%,IF(AND(LEFT(I65,3)="G70",C13=60,I41&gt;4%),0%,IF(AND(LEFT(I65,4)="GV70",C13=60,I41&gt;4%),0%,IF(AND(LEFT(I65,8)="G90_3.5T",I41&gt;=0%,C13=60),0.2%,IF(AND(LEFT(I65,5)="G90_5",C13=60,I41&gt;=3%),0.5%,0%))))))+IF(AND(I68="Y",C13=60),0%,IF(AND(I68="N",C13=60),0.2%,0%))+IF(AND(LEFT(I65,4)="GV80",C13&gt;=60),-0.2%,0%)</f>
        <v>#DIV/0!</v>
      </c>
      <c r="M67" s="194">
        <v>29</v>
      </c>
      <c r="N67" s="17" t="e">
        <f t="shared" si="2"/>
        <v>#DIV/0!</v>
      </c>
      <c r="O67" s="306"/>
      <c r="P67" s="306"/>
      <c r="Q67" s="163"/>
      <c r="R67" s="163"/>
      <c r="S67" s="163"/>
      <c r="T67" s="163"/>
      <c r="V67" s="163"/>
      <c r="W67" s="163"/>
      <c r="X67" s="163"/>
      <c r="AK67" s="310"/>
      <c r="AL67" s="311" t="e">
        <f>SUM(AL7:AL66)</f>
        <v>#DIV/0!</v>
      </c>
      <c r="AM67" s="311" t="e">
        <f>SUM(AM7:AM66)</f>
        <v>#DIV/0!</v>
      </c>
    </row>
    <row r="68" spans="1:39" ht="12" customHeight="1">
      <c r="B68" s="186" t="s">
        <v>993</v>
      </c>
      <c r="C68" s="232">
        <f>(운용리스_단일!$AS$11+운용리스_단일!$BF$12-운용리스_단일!AS13)/1.1715*3.5% -IF(RIGHT(운용리스_단일!$AS$7,6)="하이브리드)",1000000)</f>
        <v>0</v>
      </c>
      <c r="H68" s="1111" t="s">
        <v>2651</v>
      </c>
      <c r="I68" s="1110" t="str">
        <f>IF(D4="국산",VLOOKUP(I65,차량정보!$D$853:$AI$1094,32,0),"")</f>
        <v>S</v>
      </c>
      <c r="J68" s="159" t="str">
        <f>IF(OR('AG 입력시트'!S7="BENZ",'AG 입력시트'!S7="BMW",'AG 입력시트'!S7="AUDI"),"참","거짓")</f>
        <v>거짓</v>
      </c>
      <c r="M68" s="194">
        <v>30</v>
      </c>
      <c r="N68" s="17" t="e">
        <f t="shared" si="2"/>
        <v>#DIV/0!</v>
      </c>
      <c r="W68" s="163"/>
      <c r="X68" s="163"/>
    </row>
    <row r="69" spans="1:39">
      <c r="B69" s="186" t="s">
        <v>991</v>
      </c>
      <c r="C69" s="232">
        <f>MAX(IF((C67-C68)&gt;1000000,C67-1000000,C68)-IF(AND(E3="국산",C4="전기"),3000000,0),0)</f>
        <v>0</v>
      </c>
      <c r="F69" s="163"/>
      <c r="G69" s="163"/>
      <c r="H69" s="1290" t="s">
        <v>2654</v>
      </c>
      <c r="I69" s="1291">
        <v>0</v>
      </c>
      <c r="J69" s="159" t="str">
        <f>+'AG 입력시트'!S7</f>
        <v>현대</v>
      </c>
      <c r="M69" s="194">
        <v>31</v>
      </c>
      <c r="N69" s="17" t="e">
        <f t="shared" si="2"/>
        <v>#DIV/0!</v>
      </c>
      <c r="W69" s="163"/>
      <c r="X69" s="163"/>
    </row>
    <row r="70" spans="1:39">
      <c r="B70" s="186" t="s">
        <v>994</v>
      </c>
      <c r="C70" s="232">
        <f>IF(RIGHT(운용리스_단일!$AS$7,6)="하이브리드)",1000000)*1.3*1.1</f>
        <v>0</v>
      </c>
      <c r="D70" s="157">
        <f>IF(AND(E4&lt;&gt;"RV",OR(E3="국산",E3="국산",C4="전기")),
ROUNDDOWN(     ((C66-C67)+(C67-C69))*1.3*1.1,0),0)</f>
        <v>0</v>
      </c>
      <c r="F70" s="163"/>
      <c r="G70" s="163"/>
      <c r="H70" s="1111" t="s">
        <v>1228</v>
      </c>
      <c r="I70" s="1110">
        <f>+IF(I71=TRUE,0.2%,0%)</f>
        <v>0</v>
      </c>
      <c r="M70" s="194">
        <v>32</v>
      </c>
      <c r="N70" s="17" t="e">
        <f t="shared" si="2"/>
        <v>#DIV/0!</v>
      </c>
    </row>
    <row r="71" spans="1:39">
      <c r="B71" s="186" t="s">
        <v>995</v>
      </c>
      <c r="C71" s="232">
        <f>(운용리스_단일!$AS$11+운용리스_단일!$BF$12-운용리스_단일!AS13)-C70</f>
        <v>0</v>
      </c>
      <c r="F71" s="163"/>
      <c r="G71" s="163"/>
      <c r="H71" s="1111" t="s">
        <v>1275</v>
      </c>
      <c r="I71" s="1110" t="b">
        <v>0</v>
      </c>
      <c r="M71" s="194">
        <v>33</v>
      </c>
      <c r="N71" s="17" t="e">
        <f t="shared" ref="N71:N98" si="4">IF(M71&lt;$C$13,$N$15,IF(M71=$C$13,$N$15+$C$16-$C$14,0))</f>
        <v>#DIV/0!</v>
      </c>
    </row>
    <row r="72" spans="1:39" ht="12" customHeight="1">
      <c r="B72" s="186" t="s">
        <v>718</v>
      </c>
      <c r="C72" s="303">
        <f>+IF(I74=TRUE,C73,C74)</f>
        <v>0</v>
      </c>
      <c r="E72" s="313"/>
      <c r="H72" s="1111" t="s">
        <v>1257</v>
      </c>
      <c r="I72" s="1110">
        <f>+IF(AND(LEFT(I65,8)="G90_3.5T",C13=36),0.2%,IF(AND(LEFT(I65,8)="G90_3.5T",C13=48),0.2%,0%))+IF(AND(LEFT(I65,8)="G90_3.5T",C13=60,C17=20000),0%,IF(AND(LEFT(I65,8)="G90_3.5T",C13=60,C17=30000),0.1%,0%))</f>
        <v>0</v>
      </c>
      <c r="M72" s="194">
        <v>34</v>
      </c>
      <c r="N72" s="17" t="e">
        <f t="shared" si="4"/>
        <v>#DIV/0!</v>
      </c>
    </row>
    <row r="73" spans="1:39" ht="12" customHeight="1">
      <c r="B73" s="186" t="s">
        <v>1266</v>
      </c>
      <c r="C73" s="303">
        <f>ROUNDDOWN(IF(AND(OR(F3="현대특판",F3="기아특판",C4="전기"),VLOOKUP(운용리스_단일!$AS$7,차량정보!$D$877:$Q$1094,13,0)&gt;0),VLOOKUP(운용리스_단일!$AS$7,차량정보!$D$877:$Q$1094,13,0)*C71,0),-3)
+ROUNDDOWN(IF(AND(F3="KG모빌리티_특판",VLOOKUP(운용리스_단일!$AS$7,차량정보!$D$794:$AZ$11910,23,0)&gt;0),VLOOKUP(운용리스_단일!$AS$7,차량정보!$D$877:$AZ$11910,23,0)*C71,0),-1)
+IF(AND(F3="르노_특판",VLOOKUP(운용리스_단일!$AS$7,차량정보!$D$794:$AZ$11910,23,0)&gt;0),VLOOKUP(운용리스_단일!$AS$7,차량정보!$D$877:$AZ$11910,23,0)*C71,0)</f>
        <v>0</v>
      </c>
      <c r="D73" s="281">
        <f>ROUNDUP(IF(AND(OR(F3="현대특판",F3="기아특판",C4="전기"),VLOOKUP(운용리스_단일!$AS$7,차량정보!$D$877:$Q$1094,13,0)&gt;0),VLOOKUP(운용리스_단일!$AS$7,차량정보!$D$877:$Q$1094,13,0)*C71,0),-3)</f>
        <v>0</v>
      </c>
      <c r="E73" s="313"/>
      <c r="H73" s="1111"/>
      <c r="I73" s="1110">
        <f>+IF(AND(D4="수입",SUM(D40:D41)+D47+D44&gt;=9.01%,J66="D1"),1%,IF(AND(D4="수입",SUM(D40:D41)+D47+D44&gt;=7.01%,J66="D1"),0%,IF(AND(D4="수입",SUM(D40:D41)+D47+D44&gt;=9.01%,D22="D2"),1%,IF(AND(D4="수입",SUM(D40:D41)+D47+D44&gt;=7.01%,D22="D2"),0%,IF(AND(D4="수입",SUM(D40:D41)+D47+D44&gt;=9.01%,D22="D3"),1%,IF(AND(D4="수입",SUM(D40:D41)+D47+D44&gt;=7.01%,D22="D3"),0.5%,IF(AND(D4="국산",SUM(D40:D41)+D47+D44&gt;=9.01%),1%,IF(AND(D4="국산",SUM(D40:D41)+D47+D44&gt;=7.01%,K65="일반국산"),0.5%,0%))))))))</f>
        <v>0</v>
      </c>
      <c r="M73" s="194">
        <v>35</v>
      </c>
      <c r="N73" s="17" t="e">
        <f t="shared" si="4"/>
        <v>#DIV/0!</v>
      </c>
    </row>
    <row r="74" spans="1:39" ht="12" customHeight="1">
      <c r="B74" s="186" t="s">
        <v>1267</v>
      </c>
      <c r="C74" s="303">
        <f>ROUNDDOWN(IF(AND(OR(F3="현대특판",F3="기아특판",C4="전기"),VLOOKUP(운용리스_단일!$AS$7,차량정보!$D$794:$AZ$11910,23,0)&gt;0),VLOOKUP(운용리스_단일!$AS$7,차량정보!$D$794:$AZ$11910,23,0)*C71,0),-3)
+ROUNDDOWN(IF(AND(F3="KG모빌리티_특판",VLOOKUP(운용리스_단일!$AS$7,차량정보!$D$794:$AZ$11910,23,0)&gt;0),VLOOKUP(운용리스_단일!$AS$7,차량정보!$D$877:$AZ$11910,23,0)*C71,0),-1)
+IF(AND(F3="르노_특판",VLOOKUP(운용리스_단일!$AS$7,차량정보!$D$794:$AZ$11910,23,0)&gt;0),VLOOKUP(운용리스_단일!$AS$7,차량정보!$D$877:$AZ$11910,23,0)*C71,0)</f>
        <v>0</v>
      </c>
      <c r="D74" s="279"/>
      <c r="E74" s="313"/>
      <c r="H74" s="1111" t="s">
        <v>1268</v>
      </c>
      <c r="I74" s="1110" t="b">
        <v>0</v>
      </c>
      <c r="M74" s="194">
        <v>36</v>
      </c>
      <c r="N74" s="17" t="e">
        <f t="shared" si="4"/>
        <v>#DIV/0!</v>
      </c>
      <c r="Z74" s="163" t="e">
        <f>"Ver.230808_"&amp;ROUNDUP(I41,3)*100&amp;"L"</f>
        <v>#DIV/0!</v>
      </c>
    </row>
    <row r="75" spans="1:39">
      <c r="B75" s="186" t="s">
        <v>1269</v>
      </c>
      <c r="C75" s="303">
        <f>ROUNDUP(IF(AND(I74=FALSE,(OR(F3="현대특판",F3="기아특판",C4="전기")),VLOOKUP(운용리스_단일!$AS$7,차량정보!$D$877:$Q$1094,13,0)&gt;0),VLOOKUP(운용리스_단일!$AS$7,차량정보!$D$877:$Q$1094,13,0)*C71,VLOOKUP(운용리스_단일!$AS$7,차량정보!$D$794:$AZ$11910,23,0)*C71),-3)
-1000+IF(MOD(C71,1000)&lt;500,MOD(C71,1000),MOD(C71,1000))</f>
        <v>-1000</v>
      </c>
      <c r="D75" s="157">
        <f>4.274-0.6</f>
        <v>3.6739999999999999</v>
      </c>
      <c r="H75" s="1111" t="s">
        <v>1273</v>
      </c>
      <c r="I75" s="1110" t="b">
        <v>0</v>
      </c>
      <c r="K75" s="306"/>
      <c r="L75" s="163"/>
      <c r="M75" s="194">
        <v>37</v>
      </c>
      <c r="N75" s="17" t="e">
        <f t="shared" si="4"/>
        <v>#DIV/0!</v>
      </c>
    </row>
    <row r="76" spans="1:39">
      <c r="C76" s="281"/>
      <c r="H76" s="1111" t="s">
        <v>1274</v>
      </c>
      <c r="I76" s="1110" t="b">
        <f>+IF(AND(C4="전기",C13=60),FALSE,TRUE)</f>
        <v>1</v>
      </c>
      <c r="K76" s="306"/>
      <c r="L76" s="163"/>
      <c r="M76" s="194">
        <v>38</v>
      </c>
      <c r="N76" s="17" t="e">
        <f t="shared" si="4"/>
        <v>#DIV/0!</v>
      </c>
    </row>
    <row r="77" spans="1:39">
      <c r="C77" s="176"/>
      <c r="H77" s="1111" t="s">
        <v>1277</v>
      </c>
      <c r="I77" s="1110">
        <f>+IF(C4="전기",1.1%,0%)</f>
        <v>0</v>
      </c>
      <c r="K77" s="306"/>
      <c r="L77" s="163"/>
      <c r="M77" s="194">
        <v>39</v>
      </c>
      <c r="N77" s="17" t="e">
        <f t="shared" si="4"/>
        <v>#DIV/0!</v>
      </c>
    </row>
    <row r="78" spans="1:39">
      <c r="C78" s="157" t="e">
        <f>+IF(LEFT(운용리스_단일!AS7,1)="S","Y","N")&amp;+IF(OR(운용리스_단일!AS47="한성자동차",운용리스_단일!AS47="모터원"),"Y","N")&amp;IF(I41&gt;=6%,"Y","N")</f>
        <v>#DIV/0!</v>
      </c>
      <c r="H78" s="1111"/>
      <c r="I78" s="1110"/>
      <c r="M78" s="194">
        <v>40</v>
      </c>
      <c r="N78" s="17" t="e">
        <f t="shared" si="4"/>
        <v>#DIV/0!</v>
      </c>
    </row>
    <row r="79" spans="1:39">
      <c r="H79" s="1111" t="s">
        <v>147</v>
      </c>
      <c r="I79" s="1110">
        <f>IF(AND(D4="수입",'AG 입력시트'!S7="AUDI",(D40+D41+D44+D47)&gt;7.01%),0.5%,0%)</f>
        <v>0</v>
      </c>
      <c r="J79" s="159">
        <f>+VLOOKUP(I65,차량정보!$D$4:$AL$52712,35,0)</f>
        <v>82000</v>
      </c>
      <c r="M79" s="194">
        <v>41</v>
      </c>
      <c r="N79" s="17" t="e">
        <f t="shared" si="4"/>
        <v>#DIV/0!</v>
      </c>
    </row>
    <row r="80" spans="1:39">
      <c r="B80" s="182" t="s">
        <v>1814</v>
      </c>
      <c r="C80" s="314">
        <f>+D40</f>
        <v>0.03</v>
      </c>
      <c r="D80" s="176">
        <f>+E40</f>
        <v>0</v>
      </c>
      <c r="H80" s="1111" t="s">
        <v>1673</v>
      </c>
      <c r="I80" s="1110">
        <f>+IF(AND(D4="국산",C13=60,J80="N"),0%,0%)</f>
        <v>0</v>
      </c>
      <c r="J80" s="159" t="str">
        <f>+VLOOKUP(I65,차량정보!$D$4:$AL$52712,22,0)</f>
        <v>Y</v>
      </c>
      <c r="M80" s="194">
        <v>42</v>
      </c>
      <c r="N80" s="17" t="e">
        <f t="shared" si="4"/>
        <v>#DIV/0!</v>
      </c>
    </row>
    <row r="81" spans="2:25">
      <c r="B81" s="194" t="s">
        <v>1815</v>
      </c>
      <c r="C81" s="1022">
        <f>+D41</f>
        <v>0</v>
      </c>
      <c r="D81" s="176">
        <f>+E41</f>
        <v>0</v>
      </c>
      <c r="H81" s="1112" t="s">
        <v>1761</v>
      </c>
      <c r="I81" s="1113" t="b">
        <v>0</v>
      </c>
      <c r="M81" s="194">
        <v>43</v>
      </c>
      <c r="N81" s="17" t="e">
        <f t="shared" si="4"/>
        <v>#DIV/0!</v>
      </c>
    </row>
    <row r="82" spans="2:25" ht="17.25" customHeight="1" thickBot="1">
      <c r="B82" s="194" t="s">
        <v>1816</v>
      </c>
      <c r="C82" s="314">
        <f>+D47</f>
        <v>6.0000000000000001E-3</v>
      </c>
      <c r="D82" s="176">
        <f>+E47</f>
        <v>0</v>
      </c>
      <c r="F82" s="158"/>
      <c r="G82" s="158"/>
      <c r="M82" s="194">
        <v>44</v>
      </c>
      <c r="N82" s="17" t="e">
        <f t="shared" si="4"/>
        <v>#DIV/0!</v>
      </c>
    </row>
    <row r="83" spans="2:25" ht="12" thickBot="1">
      <c r="B83" s="194" t="s">
        <v>1817</v>
      </c>
      <c r="C83" s="314">
        <f>+D42</f>
        <v>0</v>
      </c>
      <c r="D83" s="176">
        <f>+E42</f>
        <v>0</v>
      </c>
      <c r="F83" s="158"/>
      <c r="G83" s="158"/>
      <c r="H83" s="1308" t="s">
        <v>1742</v>
      </c>
      <c r="I83" s="1309">
        <v>0</v>
      </c>
      <c r="M83" s="194">
        <v>45</v>
      </c>
      <c r="N83" s="17" t="e">
        <f t="shared" si="4"/>
        <v>#DIV/0!</v>
      </c>
    </row>
    <row r="84" spans="2:25" ht="12" thickBot="1">
      <c r="B84" s="194" t="s">
        <v>1818</v>
      </c>
      <c r="C84" s="314">
        <f t="shared" ref="C84:D87" si="5">+D43</f>
        <v>0</v>
      </c>
      <c r="D84" s="176">
        <f t="shared" si="5"/>
        <v>0</v>
      </c>
      <c r="F84" s="158"/>
      <c r="G84" s="158"/>
      <c r="H84" s="976" t="s">
        <v>2148</v>
      </c>
      <c r="I84" s="977" t="s">
        <v>2151</v>
      </c>
      <c r="M84" s="194">
        <v>46</v>
      </c>
      <c r="N84" s="17" t="e">
        <f t="shared" si="4"/>
        <v>#DIV/0!</v>
      </c>
      <c r="T84" s="315"/>
    </row>
    <row r="85" spans="2:25">
      <c r="B85" s="194" t="s">
        <v>1819</v>
      </c>
      <c r="C85" s="314">
        <f t="shared" si="5"/>
        <v>0</v>
      </c>
      <c r="D85" s="176">
        <f t="shared" si="5"/>
        <v>0</v>
      </c>
      <c r="F85" s="158"/>
      <c r="G85" s="158"/>
      <c r="H85" s="1031" t="s">
        <v>2149</v>
      </c>
      <c r="I85" s="1032" t="str">
        <f>IF(E3="수입",VLOOKUP(I65,차량정보!$D$4:$S$8555,16,0),"N")</f>
        <v>N</v>
      </c>
      <c r="M85" s="194">
        <v>47</v>
      </c>
      <c r="N85" s="17" t="e">
        <f t="shared" si="4"/>
        <v>#DIV/0!</v>
      </c>
      <c r="T85" s="314"/>
    </row>
    <row r="86" spans="2:25" ht="12" thickBot="1">
      <c r="B86" s="194" t="s">
        <v>1820</v>
      </c>
      <c r="C86" s="314">
        <f>+D45</f>
        <v>0</v>
      </c>
      <c r="D86" s="176">
        <f t="shared" si="5"/>
        <v>0</v>
      </c>
      <c r="H86" s="1033" t="s">
        <v>2150</v>
      </c>
      <c r="I86" s="1034">
        <f>IF(AND(I85="2만",E3="수입",I88&lt;120001),3%,0%)</f>
        <v>0</v>
      </c>
      <c r="M86" s="194">
        <v>48</v>
      </c>
      <c r="N86" s="17" t="e">
        <f t="shared" si="4"/>
        <v>#DIV/0!</v>
      </c>
      <c r="T86" s="314"/>
    </row>
    <row r="87" spans="2:25" ht="12" thickBot="1">
      <c r="B87" s="194" t="s">
        <v>1821</v>
      </c>
      <c r="C87" s="314">
        <f>+D46</f>
        <v>0</v>
      </c>
      <c r="D87" s="176">
        <f t="shared" si="5"/>
        <v>0</v>
      </c>
      <c r="H87" s="1035" t="s">
        <v>2151</v>
      </c>
      <c r="I87" s="1036">
        <f>IF(AND(E3="수입",I88&gt;100001,J87=2),"취급불가",0)</f>
        <v>0</v>
      </c>
      <c r="J87" s="159">
        <f>IF(E3="수입",VLOOKUP(I65,차량정보!$D$4:$T$8555,17,0),0)</f>
        <v>0</v>
      </c>
      <c r="M87" s="194">
        <v>49</v>
      </c>
      <c r="N87" s="17" t="e">
        <f t="shared" si="4"/>
        <v>#DIV/0!</v>
      </c>
      <c r="T87" s="314"/>
    </row>
    <row r="88" spans="2:25">
      <c r="B88" s="194" t="s">
        <v>1822</v>
      </c>
      <c r="C88" s="314" t="e">
        <f>+D48</f>
        <v>#DIV/0!</v>
      </c>
      <c r="D88" s="176" t="e">
        <f>+E48</f>
        <v>#DIV/0!</v>
      </c>
      <c r="I88" s="281">
        <f>(C17*(C13/12))</f>
        <v>100000</v>
      </c>
      <c r="M88" s="194">
        <v>50</v>
      </c>
      <c r="N88" s="17" t="e">
        <f t="shared" si="4"/>
        <v>#DIV/0!</v>
      </c>
      <c r="T88" s="314"/>
    </row>
    <row r="89" spans="2:25" ht="14.25" thickBot="1">
      <c r="B89" s="186" t="s">
        <v>1823</v>
      </c>
      <c r="C89" s="314" t="e">
        <f>+D49</f>
        <v>#DIV/0!</v>
      </c>
      <c r="D89" s="176" t="e">
        <f>+E49</f>
        <v>#DIV/0!</v>
      </c>
      <c r="H89" s="937" t="s">
        <v>2155</v>
      </c>
      <c r="I89" s="1040" t="s">
        <v>2159</v>
      </c>
      <c r="M89" s="194">
        <v>51</v>
      </c>
      <c r="N89" s="17" t="e">
        <f t="shared" si="4"/>
        <v>#DIV/0!</v>
      </c>
      <c r="T89" s="314"/>
    </row>
    <row r="90" spans="2:25" ht="13.5">
      <c r="H90" s="933">
        <v>36</v>
      </c>
      <c r="I90" s="934">
        <f>IF(AND(E3="수입",J5&lt;100001,C13=36),VLOOKUP(I65,차량정보!$D$4:$W$888,18,0),0%)</f>
        <v>0</v>
      </c>
      <c r="M90" s="194">
        <v>52</v>
      </c>
      <c r="N90" s="17" t="e">
        <f t="shared" si="4"/>
        <v>#DIV/0!</v>
      </c>
      <c r="T90" s="314"/>
      <c r="Y90" s="157"/>
    </row>
    <row r="91" spans="2:25" ht="13.5">
      <c r="H91" s="1041">
        <v>48</v>
      </c>
      <c r="I91" s="1042">
        <f>IF(AND(E3="수입",J5&lt;100001,C13=48),VLOOKUP(I65,차량정보!$D$4:$W$888,19,0),0%)</f>
        <v>0</v>
      </c>
      <c r="M91" s="194">
        <v>53</v>
      </c>
      <c r="N91" s="17" t="e">
        <f t="shared" si="4"/>
        <v>#DIV/0!</v>
      </c>
      <c r="T91" s="314"/>
      <c r="Y91" s="157"/>
    </row>
    <row r="92" spans="2:25" ht="14.25" thickBot="1">
      <c r="H92" s="935">
        <v>60</v>
      </c>
      <c r="I92" s="936">
        <f>IF(AND(E3="수입",J5&lt;100001,C13=60),VLOOKUP(I65,차량정보!$D$4:$W$888,20,0),0%)</f>
        <v>0</v>
      </c>
      <c r="M92" s="194">
        <v>54</v>
      </c>
      <c r="N92" s="17" t="e">
        <f t="shared" si="4"/>
        <v>#DIV/0!</v>
      </c>
      <c r="T92" s="314"/>
      <c r="Y92" s="157"/>
    </row>
    <row r="93" spans="2:25" ht="14.25" thickBot="1">
      <c r="H93" s="937" t="s">
        <v>2466</v>
      </c>
      <c r="I93" s="1040" t="s">
        <v>2160</v>
      </c>
      <c r="M93" s="194">
        <v>55</v>
      </c>
      <c r="N93" s="17" t="e">
        <f t="shared" si="4"/>
        <v>#DIV/0!</v>
      </c>
    </row>
    <row r="94" spans="2:25" ht="13.5">
      <c r="H94" s="933" t="s">
        <v>3236</v>
      </c>
      <c r="I94" s="934">
        <f>IF(AND(D4="수입",C17=30000,C13=36),6%,0%)</f>
        <v>0</v>
      </c>
      <c r="M94" s="194">
        <v>56</v>
      </c>
      <c r="N94" s="17" t="e">
        <f t="shared" si="4"/>
        <v>#DIV/0!</v>
      </c>
    </row>
    <row r="95" spans="2:25" ht="13.5">
      <c r="H95" s="1041" t="s">
        <v>3237</v>
      </c>
      <c r="I95" s="1042">
        <f>IF(AND(D4="수입",C17=30000,C13=48),6%,0%)</f>
        <v>0</v>
      </c>
      <c r="M95" s="194">
        <v>57</v>
      </c>
      <c r="N95" s="17" t="e">
        <f t="shared" si="4"/>
        <v>#DIV/0!</v>
      </c>
    </row>
    <row r="96" spans="2:25" ht="14.25" thickBot="1">
      <c r="H96" s="935" t="s">
        <v>3238</v>
      </c>
      <c r="I96" s="936">
        <f>IF(AND(D4="수입",C17=30000,C13=60),6%,0%)</f>
        <v>0</v>
      </c>
      <c r="M96" s="194">
        <v>58</v>
      </c>
      <c r="N96" s="17" t="e">
        <f t="shared" si="4"/>
        <v>#DIV/0!</v>
      </c>
    </row>
    <row r="97" spans="2:25" ht="12" thickBot="1">
      <c r="I97" s="157" t="str">
        <f>+VLOOKUP(I65,차량정보!$D$4:$X$77212,21,0)</f>
        <v>50만원</v>
      </c>
      <c r="M97" s="194">
        <v>59</v>
      </c>
      <c r="N97" s="17" t="e">
        <f t="shared" si="4"/>
        <v>#DIV/0!</v>
      </c>
    </row>
    <row r="98" spans="2:25" ht="14.25" thickBot="1">
      <c r="H98" s="1310" t="s">
        <v>2459</v>
      </c>
      <c r="I98" s="1311" t="s">
        <v>1680</v>
      </c>
      <c r="M98" s="201">
        <v>60</v>
      </c>
      <c r="N98" s="27" t="e">
        <f t="shared" si="4"/>
        <v>#DIV/0!</v>
      </c>
    </row>
    <row r="99" spans="2:25" ht="13.5">
      <c r="H99" s="1930" t="s">
        <v>2458</v>
      </c>
      <c r="I99" s="1312">
        <v>0</v>
      </c>
    </row>
    <row r="100" spans="2:25" ht="14.25" thickBot="1">
      <c r="H100" s="1931"/>
      <c r="I100" s="1313">
        <v>0</v>
      </c>
    </row>
    <row r="101" spans="2:25">
      <c r="H101" s="159"/>
      <c r="I101" s="159"/>
    </row>
    <row r="102" spans="2:25">
      <c r="C102" s="157" t="s">
        <v>2971</v>
      </c>
      <c r="D102" s="157" t="s">
        <v>2972</v>
      </c>
      <c r="H102" s="1932" t="s">
        <v>2706</v>
      </c>
      <c r="I102" s="1932"/>
    </row>
    <row r="103" spans="2:25">
      <c r="C103" s="1150">
        <v>1.1000000000000001E-3</v>
      </c>
      <c r="D103" s="1150">
        <v>2.2000000000000001E-3</v>
      </c>
      <c r="H103" s="1107" t="s">
        <v>2707</v>
      </c>
      <c r="I103" s="1143">
        <f>+I104+I105</f>
        <v>7.0000000000000007E-2</v>
      </c>
    </row>
    <row r="104" spans="2:25">
      <c r="C104" s="1150">
        <v>2.2000000000000001E-3</v>
      </c>
      <c r="D104" s="1150">
        <v>4.4000000000000003E-3</v>
      </c>
      <c r="H104" s="1109" t="s">
        <v>2708</v>
      </c>
      <c r="I104" s="1110">
        <f>IF(AND(C13=36,C17&lt;29999,I107="해당"),VLOOKUP(I65,프로모션잔가시트!$I$5:$AC$76,15,0),IF(AND(C13=48,C17&lt;29999,I107="해당"),VLOOKUP(I65,프로모션잔가시트!$I$5:$AC$76,16,0),IF(AND(C13=60,C17&lt;29999,I107="해당"),VLOOKUP(I65,프로모션잔가시트!$I$5:$AC$76,17,0),0)))</f>
        <v>7.0000000000000007E-2</v>
      </c>
      <c r="N104" s="157"/>
      <c r="O104" s="157"/>
      <c r="P104" s="157"/>
    </row>
    <row r="105" spans="2:25">
      <c r="C105" s="1150">
        <v>3.3E-3</v>
      </c>
      <c r="D105" s="1150">
        <v>6.6E-3</v>
      </c>
      <c r="H105" s="1142" t="s">
        <v>2709</v>
      </c>
      <c r="I105" s="1113">
        <f>IF(AND(C13=36,C17=30000,I107="해당"),VLOOKUP(I65,프로모션잔가시트!$I$5:$AC$76,19,0),IF(AND(C13=48,C17=30000,I107="해당"),VLOOKUP(I65,프로모션잔가시트!$I$5:$AC$76,20,0),IF(AND(C13=60,C17=30000,I107="해당"),VLOOKUP(I65,프로모션잔가시트!$I$5:$AC$76,21,0),0)))</f>
        <v>0</v>
      </c>
      <c r="K105" s="316"/>
      <c r="L105" s="315"/>
      <c r="M105" s="315"/>
      <c r="N105" s="315"/>
      <c r="O105" s="315"/>
      <c r="P105" s="315"/>
      <c r="Q105" s="315"/>
      <c r="R105" s="315"/>
      <c r="S105" s="315"/>
      <c r="T105" s="315"/>
    </row>
    <row r="106" spans="2:25">
      <c r="C106" s="1150">
        <v>4.4000000000000003E-3</v>
      </c>
      <c r="D106" s="1150">
        <v>9.3500000000000007E-3</v>
      </c>
      <c r="H106" s="1147" t="s">
        <v>2970</v>
      </c>
      <c r="I106" s="1148">
        <f>IF(AND(D4="국산",H107="Y",C17=30000,C13=48),-5%,IF(AND(D4="국산",H107="Y2",C17=30000,C13=48),0%,0%))</f>
        <v>0</v>
      </c>
      <c r="L106" s="316"/>
      <c r="M106" s="315"/>
      <c r="N106" s="315"/>
      <c r="O106" s="315"/>
      <c r="P106" s="315"/>
      <c r="Q106" s="315"/>
      <c r="R106" s="315"/>
      <c r="S106" s="315"/>
      <c r="T106" s="315"/>
      <c r="U106" s="315"/>
      <c r="Y106" s="157"/>
    </row>
    <row r="107" spans="2:25">
      <c r="C107" s="1150">
        <v>6.6E-3</v>
      </c>
      <c r="D107" s="1150">
        <v>1.21E-2</v>
      </c>
      <c r="H107" s="1149" t="str">
        <f>IF(D4="국산",VLOOKUP(I65,차량정보!$D$857:$AK$1040,34,0),0)</f>
        <v>Y</v>
      </c>
      <c r="I107" s="1149" t="str">
        <f>IF(AND(D4="국산",H107="Y"),"해당",IF(AND(D4="국산",H107="Y2"),"해당","미해당"))</f>
        <v>해당</v>
      </c>
      <c r="L107" s="316"/>
      <c r="M107" s="315"/>
      <c r="N107" s="315"/>
      <c r="O107" s="315"/>
      <c r="P107" s="315"/>
      <c r="Q107" s="315"/>
      <c r="R107" s="315"/>
      <c r="S107" s="315"/>
      <c r="T107" s="315"/>
      <c r="U107" s="315"/>
      <c r="Y107" s="157"/>
    </row>
    <row r="108" spans="2:25">
      <c r="C108" s="1150"/>
      <c r="D108" s="1150">
        <v>1.397E-2</v>
      </c>
      <c r="H108" s="159"/>
      <c r="I108" s="159"/>
      <c r="L108" s="316"/>
      <c r="M108" s="315"/>
      <c r="N108" s="315"/>
      <c r="O108" s="315"/>
      <c r="P108" s="315"/>
      <c r="Q108" s="315"/>
      <c r="R108" s="315"/>
      <c r="S108" s="315"/>
      <c r="T108" s="315"/>
      <c r="U108" s="315"/>
      <c r="Y108" s="157"/>
    </row>
    <row r="109" spans="2:25">
      <c r="C109" s="1150"/>
      <c r="D109" s="1150">
        <v>1.584E-2</v>
      </c>
      <c r="H109" s="159"/>
      <c r="I109" s="159"/>
      <c r="L109" s="316"/>
      <c r="M109" s="315"/>
      <c r="N109" s="315"/>
      <c r="O109" s="315"/>
      <c r="P109" s="315"/>
      <c r="Q109" s="315"/>
      <c r="R109" s="315"/>
      <c r="S109" s="315"/>
      <c r="T109" s="315"/>
      <c r="U109" s="315"/>
      <c r="Y109" s="157"/>
    </row>
    <row r="110" spans="2:25">
      <c r="B110" s="157" t="e">
        <f>'AG 입력시트'!AE51&amp;"_"&amp;ROUNDUP(I41,3)*100&amp;"L"</f>
        <v>#DIV/0!</v>
      </c>
      <c r="C110" s="1150"/>
      <c r="D110" s="1150">
        <v>1.7600000000000001E-2</v>
      </c>
      <c r="H110" s="159"/>
      <c r="I110" s="159"/>
      <c r="L110" s="316"/>
      <c r="M110" s="315"/>
      <c r="N110" s="315"/>
      <c r="O110" s="315"/>
      <c r="P110" s="315"/>
      <c r="Q110" s="315"/>
      <c r="R110" s="315"/>
      <c r="S110" s="315"/>
      <c r="T110" s="315"/>
      <c r="U110" s="315"/>
      <c r="Y110" s="157"/>
    </row>
    <row r="111" spans="2:25">
      <c r="H111" s="159"/>
      <c r="I111" s="159"/>
      <c r="L111" s="316"/>
      <c r="M111" s="315"/>
      <c r="N111" s="315"/>
      <c r="O111" s="315"/>
      <c r="P111" s="315"/>
      <c r="Q111" s="315"/>
      <c r="R111" s="315"/>
      <c r="S111" s="315"/>
      <c r="T111" s="315"/>
      <c r="U111" s="315"/>
      <c r="Y111" s="157"/>
    </row>
    <row r="112" spans="2:25">
      <c r="H112" s="159"/>
      <c r="I112" s="159"/>
      <c r="L112" s="316"/>
      <c r="M112" s="315"/>
      <c r="N112" s="315"/>
      <c r="O112" s="315"/>
      <c r="P112" s="315"/>
      <c r="Q112" s="315"/>
      <c r="R112" s="315"/>
      <c r="S112" s="315"/>
      <c r="T112" s="315"/>
      <c r="U112" s="315"/>
      <c r="Y112" s="157"/>
    </row>
    <row r="113" spans="8:26">
      <c r="H113" s="159"/>
      <c r="I113" s="159"/>
      <c r="L113" s="316"/>
      <c r="M113" s="315"/>
      <c r="N113" s="315"/>
      <c r="O113" s="315"/>
      <c r="P113" s="315"/>
      <c r="Q113" s="315"/>
      <c r="R113" s="314"/>
      <c r="S113" s="314"/>
      <c r="T113" s="314"/>
      <c r="U113" s="314"/>
      <c r="Y113" s="157"/>
    </row>
    <row r="114" spans="8:26">
      <c r="H114" s="159"/>
      <c r="I114" s="159"/>
      <c r="L114" s="316"/>
      <c r="M114" s="315"/>
      <c r="N114" s="315"/>
      <c r="O114" s="315"/>
      <c r="P114" s="315"/>
      <c r="Q114" s="315"/>
      <c r="R114" s="314"/>
      <c r="S114" s="314"/>
      <c r="T114" s="314"/>
      <c r="U114" s="314"/>
      <c r="Y114" s="157"/>
    </row>
    <row r="115" spans="8:26">
      <c r="H115" s="159"/>
      <c r="I115" s="159"/>
      <c r="L115" s="316"/>
      <c r="M115" s="315"/>
      <c r="N115" s="315"/>
      <c r="O115" s="315"/>
      <c r="P115" s="315"/>
      <c r="Q115" s="315"/>
      <c r="R115" s="314"/>
      <c r="S115" s="314"/>
      <c r="T115" s="314"/>
      <c r="U115" s="314"/>
      <c r="Y115" s="157"/>
    </row>
    <row r="116" spans="8:26" ht="12" thickBot="1">
      <c r="H116" s="159"/>
      <c r="I116" s="159"/>
      <c r="L116" s="316"/>
      <c r="M116" s="315"/>
      <c r="N116" s="315"/>
      <c r="O116" s="317"/>
      <c r="P116" s="318"/>
      <c r="Q116" s="318"/>
      <c r="R116" s="314"/>
      <c r="S116" s="314"/>
      <c r="T116" s="314"/>
      <c r="U116" s="314"/>
      <c r="Y116" s="157"/>
    </row>
    <row r="117" spans="8:26" ht="12" thickBot="1">
      <c r="H117" s="1124" t="s">
        <v>2977</v>
      </c>
      <c r="I117" s="1140">
        <f>+IF(AND(운용리스_단일!AS28=36,E3="수입",운용리스_단일!AS40=30000,운용리스_단일!AS7="S 580 4Matic L"),-8%,IF(AND(운용리스_단일!AS28=36,E3="수입",운용리스_단일!AS40=30000,운용리스_단일!AS7="S 580e 4M Long"),-8%,IF(AND(운용리스_단일!AS28=48,E3="수입",운용리스_단일!AS40=30000,운용리스_단일!AS7="S 580 4Matic L"),-5%,IF(AND(운용리스_단일!AS28=48,E3="수입",운용리스_단일!AS40=30000,운용리스_단일!AS7="S 580e 4M Long"),-5%,0%))))</f>
        <v>0</v>
      </c>
      <c r="K117" s="316"/>
      <c r="L117" s="315"/>
      <c r="M117" s="317"/>
      <c r="N117" s="317"/>
      <c r="O117" s="317"/>
      <c r="P117" s="318"/>
      <c r="Q117" s="314"/>
      <c r="R117" s="314"/>
      <c r="S117" s="314"/>
      <c r="T117" s="314"/>
    </row>
    <row r="118" spans="8:26">
      <c r="J118" s="157"/>
      <c r="K118" s="157"/>
      <c r="N118" s="317"/>
      <c r="O118" s="317"/>
      <c r="P118" s="318"/>
      <c r="Q118" s="314"/>
      <c r="R118" s="314"/>
      <c r="S118" s="314"/>
      <c r="T118" s="314"/>
    </row>
    <row r="119" spans="8:26">
      <c r="J119" s="157"/>
      <c r="K119" s="157"/>
      <c r="N119" s="317"/>
      <c r="O119" s="317"/>
      <c r="P119" s="318"/>
      <c r="Q119" s="314"/>
      <c r="R119" s="314"/>
      <c r="S119" s="314"/>
      <c r="T119" s="314"/>
    </row>
    <row r="120" spans="8:26">
      <c r="J120" s="157"/>
      <c r="K120" s="157"/>
      <c r="N120" s="317"/>
      <c r="O120" s="317"/>
      <c r="P120" s="318"/>
      <c r="Q120" s="314"/>
      <c r="R120" s="314"/>
      <c r="S120" s="314"/>
      <c r="T120" s="314"/>
    </row>
    <row r="121" spans="8:26">
      <c r="J121" s="157"/>
      <c r="K121" s="157"/>
      <c r="N121" s="317"/>
      <c r="O121" s="317"/>
      <c r="P121" s="318"/>
      <c r="Q121" s="314"/>
      <c r="R121" s="314"/>
      <c r="S121" s="314"/>
      <c r="T121" s="314"/>
    </row>
    <row r="122" spans="8:26">
      <c r="J122" s="157"/>
      <c r="K122" s="157"/>
      <c r="N122" s="317"/>
      <c r="O122" s="317"/>
      <c r="P122" s="318"/>
      <c r="Q122" s="314"/>
      <c r="R122" s="314"/>
      <c r="S122" s="314"/>
      <c r="T122" s="314"/>
    </row>
    <row r="123" spans="8:26">
      <c r="J123" s="157"/>
      <c r="K123" s="157"/>
      <c r="N123" s="317"/>
      <c r="O123" s="317"/>
      <c r="P123" s="318"/>
      <c r="Q123" s="314"/>
      <c r="R123" s="314"/>
      <c r="S123" s="314"/>
      <c r="T123" s="314"/>
    </row>
    <row r="124" spans="8:26">
      <c r="J124" s="157"/>
      <c r="K124" s="157"/>
      <c r="N124" s="317"/>
      <c r="O124" s="317"/>
      <c r="P124" s="318"/>
      <c r="Q124" s="314"/>
      <c r="R124" s="314"/>
      <c r="S124" s="314"/>
      <c r="T124" s="314"/>
    </row>
    <row r="125" spans="8:26">
      <c r="J125" s="157"/>
      <c r="K125" s="157"/>
      <c r="N125" s="317"/>
      <c r="O125" s="317"/>
      <c r="P125" s="157"/>
      <c r="Y125" s="157"/>
      <c r="Z125" s="157"/>
    </row>
    <row r="126" spans="8:26">
      <c r="J126" s="157"/>
      <c r="K126" s="157"/>
      <c r="N126" s="317"/>
      <c r="O126" s="317"/>
      <c r="P126" s="157"/>
      <c r="Y126" s="157"/>
      <c r="Z126" s="157"/>
    </row>
    <row r="127" spans="8:26">
      <c r="J127" s="157"/>
      <c r="K127" s="157"/>
      <c r="N127" s="317"/>
      <c r="O127" s="317"/>
      <c r="P127" s="157"/>
      <c r="Y127" s="157"/>
      <c r="Z127" s="157"/>
    </row>
    <row r="128" spans="8:26">
      <c r="J128" s="157"/>
      <c r="K128" s="157"/>
      <c r="N128" s="317"/>
      <c r="O128" s="317"/>
      <c r="P128" s="157"/>
      <c r="Y128" s="157"/>
      <c r="Z128" s="157"/>
    </row>
    <row r="129" spans="10:26">
      <c r="J129" s="157"/>
      <c r="K129" s="157"/>
      <c r="N129" s="317"/>
      <c r="O129" s="317"/>
      <c r="P129" s="157"/>
      <c r="Y129" s="157"/>
      <c r="Z129" s="157"/>
    </row>
    <row r="130" spans="10:26">
      <c r="J130" s="157"/>
      <c r="K130" s="157"/>
      <c r="N130" s="317"/>
      <c r="O130" s="317"/>
      <c r="P130" s="157"/>
      <c r="Y130" s="157"/>
      <c r="Z130" s="157"/>
    </row>
    <row r="131" spans="10:26">
      <c r="J131" s="157"/>
      <c r="K131" s="157"/>
      <c r="N131" s="317"/>
      <c r="O131" s="317"/>
      <c r="P131" s="157"/>
      <c r="Y131" s="157"/>
      <c r="Z131" s="157"/>
    </row>
    <row r="132" spans="10:26">
      <c r="J132" s="157"/>
      <c r="K132" s="157"/>
      <c r="N132" s="317"/>
      <c r="O132" s="317"/>
      <c r="P132" s="157"/>
      <c r="Y132" s="157"/>
      <c r="Z132" s="157"/>
    </row>
    <row r="133" spans="10:26">
      <c r="J133" s="157"/>
      <c r="K133" s="157"/>
      <c r="N133" s="157"/>
      <c r="O133" s="317"/>
      <c r="P133" s="157"/>
      <c r="Y133" s="157"/>
      <c r="Z133" s="157"/>
    </row>
    <row r="134" spans="10:26">
      <c r="J134" s="157"/>
      <c r="K134" s="157"/>
      <c r="N134" s="157"/>
      <c r="O134" s="317"/>
      <c r="P134" s="157"/>
      <c r="Y134" s="157"/>
      <c r="Z134" s="157"/>
    </row>
    <row r="135" spans="10:26">
      <c r="J135" s="157"/>
      <c r="K135" s="157"/>
      <c r="N135" s="157"/>
      <c r="O135" s="317"/>
      <c r="P135" s="157"/>
      <c r="Y135" s="157"/>
      <c r="Z135" s="157"/>
    </row>
    <row r="136" spans="10:26">
      <c r="J136" s="157"/>
      <c r="K136" s="157"/>
      <c r="N136" s="157"/>
      <c r="O136" s="317"/>
      <c r="P136" s="157"/>
      <c r="Y136" s="157"/>
      <c r="Z136" s="157"/>
    </row>
    <row r="137" spans="10:26">
      <c r="J137" s="157"/>
      <c r="K137" s="157"/>
      <c r="N137" s="157"/>
      <c r="O137" s="157"/>
      <c r="P137" s="157"/>
      <c r="Y137" s="157"/>
      <c r="Z137" s="157"/>
    </row>
    <row r="138" spans="10:26">
      <c r="J138" s="157"/>
      <c r="K138" s="157"/>
      <c r="N138" s="157"/>
      <c r="O138" s="157"/>
      <c r="P138" s="157"/>
      <c r="Y138" s="157"/>
      <c r="Z138" s="157"/>
    </row>
    <row r="139" spans="10:26">
      <c r="J139" s="157"/>
      <c r="K139" s="157"/>
      <c r="N139" s="157"/>
      <c r="O139" s="157"/>
      <c r="P139" s="157"/>
      <c r="Y139" s="157"/>
      <c r="Z139" s="157"/>
    </row>
    <row r="140" spans="10:26">
      <c r="J140" s="157"/>
      <c r="K140" s="157"/>
      <c r="N140" s="157"/>
    </row>
    <row r="141" spans="10:26">
      <c r="J141" s="157"/>
      <c r="K141" s="157"/>
      <c r="N141" s="157"/>
    </row>
    <row r="142" spans="10:26">
      <c r="J142" s="157"/>
      <c r="K142" s="157"/>
      <c r="N142" s="157"/>
    </row>
    <row r="143" spans="10:26">
      <c r="J143" s="157"/>
      <c r="K143" s="157"/>
      <c r="N143" s="157"/>
    </row>
    <row r="144" spans="10:26">
      <c r="J144" s="157"/>
      <c r="K144" s="157"/>
      <c r="N144" s="157"/>
    </row>
    <row r="145" spans="10:14">
      <c r="J145" s="157"/>
      <c r="K145" s="157"/>
      <c r="N145" s="157"/>
    </row>
    <row r="146" spans="10:14">
      <c r="J146" s="157"/>
      <c r="K146" s="157"/>
      <c r="N146" s="157"/>
    </row>
    <row r="147" spans="10:14">
      <c r="J147" s="157"/>
      <c r="K147" s="157"/>
      <c r="N147" s="157"/>
    </row>
    <row r="148" spans="10:14">
      <c r="J148" s="157"/>
      <c r="K148" s="157"/>
      <c r="N148" s="157"/>
    </row>
    <row r="149" spans="10:14">
      <c r="J149" s="157"/>
      <c r="K149" s="157"/>
      <c r="N149" s="157"/>
    </row>
    <row r="150" spans="10:14">
      <c r="J150" s="157"/>
      <c r="K150" s="157"/>
      <c r="N150" s="157"/>
    </row>
    <row r="151" spans="10:14">
      <c r="J151" s="157"/>
      <c r="K151" s="157"/>
      <c r="N151" s="157"/>
    </row>
    <row r="152" spans="10:14">
      <c r="J152" s="157"/>
      <c r="K152" s="157"/>
      <c r="N152" s="157"/>
    </row>
    <row r="153" spans="10:14">
      <c r="J153" s="157"/>
      <c r="K153" s="157"/>
      <c r="N153" s="157"/>
    </row>
    <row r="154" spans="10:14">
      <c r="J154" s="157"/>
      <c r="K154" s="157"/>
      <c r="N154" s="157"/>
    </row>
    <row r="155" spans="10:14">
      <c r="J155" s="157"/>
      <c r="K155" s="157"/>
      <c r="N155" s="157"/>
    </row>
    <row r="156" spans="10:14">
      <c r="J156" s="157"/>
      <c r="K156" s="157"/>
      <c r="N156" s="157"/>
    </row>
    <row r="157" spans="10:14">
      <c r="J157" s="157"/>
      <c r="K157" s="157"/>
      <c r="N157" s="157"/>
    </row>
    <row r="158" spans="10:14">
      <c r="J158" s="157"/>
      <c r="K158" s="157"/>
      <c r="N158" s="157"/>
    </row>
    <row r="159" spans="10:14">
      <c r="J159" s="157"/>
      <c r="K159" s="157"/>
      <c r="N159" s="157"/>
    </row>
    <row r="160" spans="10:14">
      <c r="J160" s="157"/>
      <c r="K160" s="157"/>
      <c r="N160" s="157"/>
    </row>
    <row r="161" spans="7:16">
      <c r="J161" s="157"/>
      <c r="K161" s="157"/>
      <c r="N161" s="157"/>
    </row>
    <row r="162" spans="7:16">
      <c r="J162" s="157"/>
      <c r="K162" s="157"/>
      <c r="N162" s="157"/>
    </row>
    <row r="163" spans="7:16">
      <c r="J163" s="157"/>
      <c r="K163" s="157"/>
      <c r="N163" s="157"/>
    </row>
    <row r="164" spans="7:16">
      <c r="J164" s="157"/>
      <c r="K164" s="157"/>
      <c r="N164" s="157"/>
    </row>
    <row r="165" spans="7:16">
      <c r="J165" s="157"/>
      <c r="K165" s="157"/>
      <c r="N165" s="157"/>
    </row>
    <row r="166" spans="7:16">
      <c r="J166" s="157"/>
      <c r="K166" s="157"/>
      <c r="N166" s="157"/>
    </row>
    <row r="167" spans="7:16">
      <c r="J167" s="157"/>
      <c r="K167" s="157"/>
      <c r="N167" s="157"/>
    </row>
    <row r="168" spans="7:16">
      <c r="J168" s="157"/>
      <c r="K168" s="157"/>
      <c r="N168" s="157"/>
    </row>
    <row r="169" spans="7:16">
      <c r="J169" s="157"/>
      <c r="K169" s="157"/>
      <c r="N169" s="157"/>
    </row>
    <row r="170" spans="7:16">
      <c r="J170" s="157"/>
      <c r="K170" s="157"/>
      <c r="N170" s="157"/>
    </row>
    <row r="171" spans="7:16">
      <c r="J171" s="157"/>
      <c r="K171" s="157"/>
      <c r="N171" s="157"/>
    </row>
    <row r="172" spans="7:16">
      <c r="J172" s="157"/>
      <c r="K172" s="157"/>
      <c r="N172" s="157"/>
    </row>
    <row r="173" spans="7:16">
      <c r="J173" s="157"/>
      <c r="K173" s="157"/>
      <c r="N173" s="157"/>
    </row>
    <row r="174" spans="7:16">
      <c r="J174" s="157"/>
      <c r="K174" s="157"/>
      <c r="N174" s="157"/>
    </row>
    <row r="175" spans="7:16">
      <c r="G175" s="157" t="s">
        <v>2589</v>
      </c>
      <c r="J175" s="157"/>
      <c r="K175" s="157"/>
      <c r="N175" s="157"/>
      <c r="P175" s="157"/>
    </row>
    <row r="176" spans="7:16">
      <c r="J176" s="157"/>
      <c r="K176" s="157"/>
      <c r="N176" s="157"/>
      <c r="P176" s="157"/>
    </row>
    <row r="177" spans="10:24">
      <c r="J177" s="157"/>
      <c r="K177" s="157"/>
      <c r="N177" s="157"/>
      <c r="P177" s="157"/>
      <c r="X177" s="163"/>
    </row>
    <row r="178" spans="10:24">
      <c r="J178" s="157"/>
      <c r="K178" s="157"/>
      <c r="N178" s="157"/>
      <c r="P178" s="157"/>
      <c r="X178" s="163"/>
    </row>
    <row r="179" spans="10:24">
      <c r="J179" s="157"/>
      <c r="K179" s="157"/>
      <c r="N179" s="157"/>
      <c r="P179" s="157"/>
      <c r="X179" s="163"/>
    </row>
    <row r="180" spans="10:24">
      <c r="J180" s="157"/>
      <c r="K180" s="157"/>
      <c r="N180" s="157"/>
      <c r="P180" s="157"/>
      <c r="X180" s="163"/>
    </row>
    <row r="181" spans="10:24">
      <c r="J181" s="157"/>
      <c r="K181" s="157"/>
      <c r="N181" s="157"/>
      <c r="X181" s="163"/>
    </row>
    <row r="182" spans="10:24">
      <c r="J182" s="157"/>
      <c r="K182" s="157"/>
      <c r="N182" s="157"/>
      <c r="X182" s="163"/>
    </row>
    <row r="183" spans="10:24">
      <c r="J183" s="157"/>
      <c r="K183" s="157"/>
      <c r="N183" s="157"/>
    </row>
    <row r="184" spans="10:24">
      <c r="J184" s="157"/>
      <c r="K184" s="157"/>
      <c r="N184" s="157"/>
    </row>
    <row r="185" spans="10:24">
      <c r="J185" s="157"/>
      <c r="K185" s="157"/>
      <c r="N185" s="157"/>
    </row>
    <row r="186" spans="10:24">
      <c r="J186" s="157"/>
      <c r="K186" s="157"/>
      <c r="N186" s="157"/>
    </row>
    <row r="187" spans="10:24">
      <c r="J187" s="157"/>
      <c r="K187" s="157"/>
      <c r="N187" s="157"/>
    </row>
  </sheetData>
  <mergeCells count="24">
    <mergeCell ref="H102:I102"/>
    <mergeCell ref="AR2:AS2"/>
    <mergeCell ref="Z3:Z4"/>
    <mergeCell ref="AC3:AD3"/>
    <mergeCell ref="AE3:AE4"/>
    <mergeCell ref="H2:I2"/>
    <mergeCell ref="M2:N2"/>
    <mergeCell ref="O19:P19"/>
    <mergeCell ref="H64:I64"/>
    <mergeCell ref="H99:H100"/>
    <mergeCell ref="M10:N10"/>
    <mergeCell ref="H9:I9"/>
    <mergeCell ref="H14:I14"/>
    <mergeCell ref="M19:N19"/>
    <mergeCell ref="B39:D39"/>
    <mergeCell ref="H44:I44"/>
    <mergeCell ref="B51:C51"/>
    <mergeCell ref="H19:I19"/>
    <mergeCell ref="S20:T20"/>
    <mergeCell ref="S21:T21"/>
    <mergeCell ref="H24:I24"/>
    <mergeCell ref="B31:C31"/>
    <mergeCell ref="H38:I38"/>
    <mergeCell ref="B23:C23"/>
  </mergeCells>
  <phoneticPr fontId="81"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AG151"/>
  <sheetViews>
    <sheetView showGridLines="0" zoomScaleNormal="100" workbookViewId="0">
      <selection activeCell="K13" sqref="K13"/>
    </sheetView>
  </sheetViews>
  <sheetFormatPr defaultColWidth="4.25" defaultRowHeight="16.5"/>
  <cols>
    <col min="1" max="1" width="18" customWidth="1"/>
    <col min="2" max="2" width="21.25" style="29" customWidth="1"/>
    <col min="3" max="3" width="12.75" style="29" bestFit="1" customWidth="1"/>
    <col min="4" max="6" width="9.625" style="29" bestFit="1" customWidth="1"/>
    <col min="7" max="7" width="12.75" style="29" bestFit="1" customWidth="1"/>
    <col min="8" max="9" width="9.625" style="29" bestFit="1" customWidth="1"/>
    <col min="10" max="11" width="9" style="29" bestFit="1" customWidth="1"/>
    <col min="12" max="12" width="9" style="29" customWidth="1"/>
    <col min="13" max="13" width="4.25" style="29"/>
    <col min="15" max="15" width="29.625" bestFit="1" customWidth="1"/>
    <col min="16" max="16" width="12.75" bestFit="1" customWidth="1"/>
    <col min="17" max="18" width="9.625" bestFit="1" customWidth="1"/>
    <col min="19" max="19" width="9.375" bestFit="1" customWidth="1"/>
    <col min="20" max="20" width="12.75" bestFit="1" customWidth="1"/>
    <col min="21" max="21" width="8.625" bestFit="1" customWidth="1"/>
    <col min="22" max="22" width="10.625" bestFit="1" customWidth="1"/>
    <col min="23" max="23" width="8.625" bestFit="1" customWidth="1"/>
    <col min="24" max="24" width="12.75" bestFit="1" customWidth="1"/>
    <col min="25" max="25" width="8.375" bestFit="1" customWidth="1"/>
    <col min="26" max="26" width="8.625" bestFit="1" customWidth="1"/>
    <col min="27" max="28" width="9" bestFit="1" customWidth="1"/>
    <col min="29" max="29" width="13.125" bestFit="1" customWidth="1"/>
    <col min="30" max="32" width="6.375" bestFit="1" customWidth="1"/>
    <col min="33" max="33" width="11.375" bestFit="1" customWidth="1"/>
  </cols>
  <sheetData>
    <row r="1" spans="1:21">
      <c r="A1" s="489" t="s">
        <v>760</v>
      </c>
      <c r="O1" s="489" t="s">
        <v>761</v>
      </c>
    </row>
    <row r="2" spans="1:21" ht="17.25" thickBot="1">
      <c r="B2" s="490" t="s">
        <v>762</v>
      </c>
      <c r="C2" s="491" t="s">
        <v>763</v>
      </c>
      <c r="D2" s="492" t="s">
        <v>1548</v>
      </c>
      <c r="E2" s="492" t="s">
        <v>765</v>
      </c>
      <c r="F2" s="492" t="s">
        <v>1554</v>
      </c>
      <c r="G2" s="492" t="s">
        <v>1552</v>
      </c>
      <c r="H2" s="492" t="s">
        <v>768</v>
      </c>
      <c r="I2" s="492" t="s">
        <v>1551</v>
      </c>
      <c r="J2" s="492" t="s">
        <v>770</v>
      </c>
      <c r="K2" s="493" t="s">
        <v>771</v>
      </c>
      <c r="L2" s="493" t="s">
        <v>1643</v>
      </c>
      <c r="M2" s="494" t="s">
        <v>1644</v>
      </c>
      <c r="P2" s="1950" t="s">
        <v>772</v>
      </c>
      <c r="Q2" s="1950"/>
      <c r="R2" s="1950"/>
      <c r="S2" s="1950"/>
      <c r="T2" s="1950"/>
      <c r="U2" s="1951"/>
    </row>
    <row r="3" spans="1:21" ht="17.25" thickTop="1">
      <c r="B3" s="495" t="s">
        <v>773</v>
      </c>
      <c r="C3" s="496">
        <f>+C116</f>
        <v>330000</v>
      </c>
      <c r="D3" s="496">
        <f t="shared" ref="D3:L3" si="0">+D116</f>
        <v>275000</v>
      </c>
      <c r="E3" s="496">
        <f t="shared" si="0"/>
        <v>275000</v>
      </c>
      <c r="F3" s="496">
        <f t="shared" si="0"/>
        <v>330000</v>
      </c>
      <c r="G3" s="496">
        <f t="shared" si="0"/>
        <v>330000</v>
      </c>
      <c r="H3" s="496">
        <f t="shared" si="0"/>
        <v>330000</v>
      </c>
      <c r="I3" s="496">
        <f t="shared" si="0"/>
        <v>330000</v>
      </c>
      <c r="J3" s="496">
        <f t="shared" si="0"/>
        <v>330000</v>
      </c>
      <c r="K3" s="496">
        <f t="shared" si="0"/>
        <v>330000</v>
      </c>
      <c r="L3" s="496">
        <f t="shared" si="0"/>
        <v>630000</v>
      </c>
      <c r="M3" s="499" t="s">
        <v>1645</v>
      </c>
      <c r="P3" s="1944" t="s">
        <v>774</v>
      </c>
      <c r="Q3" s="1944"/>
      <c r="R3" s="1944"/>
      <c r="S3" s="500" t="s">
        <v>775</v>
      </c>
      <c r="T3" s="1944" t="s">
        <v>776</v>
      </c>
      <c r="U3" s="1952"/>
    </row>
    <row r="4" spans="1:21">
      <c r="B4" s="506" t="s">
        <v>777</v>
      </c>
      <c r="C4" s="496">
        <f t="shared" ref="C4:L4" si="1">+C117</f>
        <v>259600</v>
      </c>
      <c r="D4" s="496">
        <f t="shared" si="1"/>
        <v>253880</v>
      </c>
      <c r="E4" s="496">
        <f t="shared" si="1"/>
        <v>253880</v>
      </c>
      <c r="F4" s="496">
        <f t="shared" si="1"/>
        <v>280720</v>
      </c>
      <c r="G4" s="496">
        <f t="shared" si="1"/>
        <v>288464</v>
      </c>
      <c r="H4" s="496">
        <f t="shared" si="1"/>
        <v>280720</v>
      </c>
      <c r="I4" s="496">
        <f t="shared" si="1"/>
        <v>288464</v>
      </c>
      <c r="J4" s="496">
        <f t="shared" si="1"/>
        <v>273680</v>
      </c>
      <c r="K4" s="496">
        <f t="shared" si="1"/>
        <v>287760</v>
      </c>
      <c r="L4" s="496">
        <f t="shared" si="1"/>
        <v>588464</v>
      </c>
      <c r="M4" s="499" t="s">
        <v>1645</v>
      </c>
      <c r="P4" s="1944" t="s">
        <v>778</v>
      </c>
      <c r="Q4" s="1944"/>
      <c r="R4" s="1944"/>
      <c r="S4" s="505">
        <v>30000</v>
      </c>
      <c r="T4" s="1948" t="s">
        <v>779</v>
      </c>
      <c r="U4" s="1949"/>
    </row>
    <row r="5" spans="1:21">
      <c r="B5" s="506" t="s">
        <v>780</v>
      </c>
      <c r="C5" s="496">
        <f t="shared" ref="C5:L5" si="2">+C118</f>
        <v>136200</v>
      </c>
      <c r="D5" s="496">
        <f t="shared" si="2"/>
        <v>154000</v>
      </c>
      <c r="E5" s="496">
        <f t="shared" si="2"/>
        <v>154000</v>
      </c>
      <c r="F5" s="496">
        <f t="shared" si="2"/>
        <v>246400</v>
      </c>
      <c r="G5" s="496">
        <f t="shared" si="2"/>
        <v>250800</v>
      </c>
      <c r="H5" s="496">
        <f t="shared" si="2"/>
        <v>246400</v>
      </c>
      <c r="I5" s="496">
        <f t="shared" si="2"/>
        <v>265800</v>
      </c>
      <c r="J5" s="496">
        <f t="shared" si="2"/>
        <v>205000</v>
      </c>
      <c r="K5" s="496">
        <f t="shared" si="2"/>
        <v>228800</v>
      </c>
      <c r="L5" s="496">
        <f t="shared" si="2"/>
        <v>565800</v>
      </c>
      <c r="M5" s="499" t="s">
        <v>1645</v>
      </c>
      <c r="P5" s="1944" t="s">
        <v>781</v>
      </c>
      <c r="Q5" s="1944"/>
      <c r="R5" s="1944"/>
      <c r="S5" s="505">
        <v>9000</v>
      </c>
      <c r="T5" s="1948" t="s">
        <v>782</v>
      </c>
      <c r="U5" s="1949"/>
    </row>
    <row r="6" spans="1:21">
      <c r="B6" s="501" t="s">
        <v>783</v>
      </c>
      <c r="C6" s="496">
        <f t="shared" ref="C6:L6" si="3">+C119</f>
        <v>162800</v>
      </c>
      <c r="D6" s="496">
        <f t="shared" si="3"/>
        <v>198000</v>
      </c>
      <c r="E6" s="496">
        <f t="shared" si="3"/>
        <v>198000</v>
      </c>
      <c r="F6" s="496">
        <f t="shared" si="3"/>
        <v>290400</v>
      </c>
      <c r="G6" s="496">
        <f t="shared" si="3"/>
        <v>294800</v>
      </c>
      <c r="H6" s="496">
        <f t="shared" si="3"/>
        <v>290400</v>
      </c>
      <c r="I6" s="496">
        <f t="shared" si="3"/>
        <v>294800</v>
      </c>
      <c r="J6" s="496">
        <f t="shared" si="3"/>
        <v>264000</v>
      </c>
      <c r="K6" s="496">
        <f t="shared" si="3"/>
        <v>272800</v>
      </c>
      <c r="L6" s="496">
        <f t="shared" si="3"/>
        <v>594800</v>
      </c>
      <c r="M6" s="907" t="s">
        <v>1646</v>
      </c>
      <c r="P6" s="500" t="s">
        <v>784</v>
      </c>
      <c r="Q6" s="500">
        <v>1</v>
      </c>
      <c r="R6" s="500" t="s">
        <v>785</v>
      </c>
      <c r="S6" s="505">
        <v>0</v>
      </c>
      <c r="T6" s="1948"/>
      <c r="U6" s="1949"/>
    </row>
    <row r="7" spans="1:21">
      <c r="B7" s="506" t="s">
        <v>786</v>
      </c>
      <c r="C7" s="496">
        <f t="shared" ref="C7:L8" si="4">+C120</f>
        <v>134000</v>
      </c>
      <c r="D7" s="496">
        <f t="shared" si="4"/>
        <v>151800</v>
      </c>
      <c r="E7" s="496">
        <f t="shared" si="4"/>
        <v>151800</v>
      </c>
      <c r="F7" s="496">
        <f t="shared" si="4"/>
        <v>277200</v>
      </c>
      <c r="G7" s="496">
        <f t="shared" si="4"/>
        <v>281600</v>
      </c>
      <c r="H7" s="496">
        <f t="shared" si="4"/>
        <v>244200</v>
      </c>
      <c r="I7" s="496">
        <f t="shared" si="4"/>
        <v>281600</v>
      </c>
      <c r="J7" s="496">
        <f t="shared" si="4"/>
        <v>202800</v>
      </c>
      <c r="K7" s="496">
        <f t="shared" si="4"/>
        <v>226600</v>
      </c>
      <c r="L7" s="496">
        <f t="shared" si="4"/>
        <v>581600</v>
      </c>
      <c r="M7" s="499" t="s">
        <v>1645</v>
      </c>
      <c r="P7" s="500"/>
      <c r="Q7" s="500">
        <v>2</v>
      </c>
      <c r="R7" s="500" t="s">
        <v>787</v>
      </c>
      <c r="S7" s="505">
        <v>100000</v>
      </c>
      <c r="T7" s="1948" t="s">
        <v>788</v>
      </c>
      <c r="U7" s="1949"/>
    </row>
    <row r="8" spans="1:21">
      <c r="B8" s="506" t="s">
        <v>2676</v>
      </c>
      <c r="C8" s="496">
        <f t="shared" si="4"/>
        <v>176000</v>
      </c>
      <c r="D8" s="496">
        <f t="shared" si="4"/>
        <v>208999.99999999997</v>
      </c>
      <c r="E8" s="496">
        <f t="shared" si="4"/>
        <v>214499.99999999997</v>
      </c>
      <c r="F8" s="496">
        <f t="shared" si="4"/>
        <v>291500</v>
      </c>
      <c r="G8" s="496">
        <f t="shared" si="4"/>
        <v>302500</v>
      </c>
      <c r="H8" s="496">
        <f t="shared" si="4"/>
        <v>291500</v>
      </c>
      <c r="I8" s="496">
        <f t="shared" si="4"/>
        <v>302500</v>
      </c>
      <c r="J8" s="496">
        <f t="shared" si="4"/>
        <v>291500</v>
      </c>
      <c r="K8" s="496">
        <f t="shared" si="4"/>
        <v>302500</v>
      </c>
      <c r="L8" s="496">
        <f t="shared" si="4"/>
        <v>632500</v>
      </c>
      <c r="M8" s="499" t="s">
        <v>1534</v>
      </c>
      <c r="P8" s="510"/>
      <c r="Q8" s="500">
        <v>3</v>
      </c>
      <c r="R8" s="500" t="s">
        <v>790</v>
      </c>
      <c r="S8" s="505">
        <v>80000</v>
      </c>
      <c r="T8" s="1948" t="s">
        <v>791</v>
      </c>
      <c r="U8" s="1949"/>
    </row>
    <row r="9" spans="1:21">
      <c r="B9" s="501" t="s">
        <v>789</v>
      </c>
      <c r="C9" s="496">
        <f t="shared" ref="C9:L9" si="5">+C122</f>
        <v>138400</v>
      </c>
      <c r="D9" s="496">
        <f t="shared" si="5"/>
        <v>156200</v>
      </c>
      <c r="E9" s="496">
        <f t="shared" si="5"/>
        <v>156200</v>
      </c>
      <c r="F9" s="496">
        <f t="shared" si="5"/>
        <v>248600</v>
      </c>
      <c r="G9" s="496">
        <f t="shared" si="5"/>
        <v>253000</v>
      </c>
      <c r="H9" s="496">
        <f t="shared" si="5"/>
        <v>248600</v>
      </c>
      <c r="I9" s="496">
        <f t="shared" si="5"/>
        <v>268000</v>
      </c>
      <c r="J9" s="496">
        <f t="shared" si="5"/>
        <v>207200</v>
      </c>
      <c r="K9" s="496">
        <f t="shared" si="5"/>
        <v>231000</v>
      </c>
      <c r="L9" s="496">
        <f t="shared" si="5"/>
        <v>568000</v>
      </c>
      <c r="M9" s="907" t="s">
        <v>1646</v>
      </c>
      <c r="P9" s="511"/>
      <c r="Q9" s="500">
        <v>4</v>
      </c>
      <c r="R9" s="500" t="s">
        <v>793</v>
      </c>
      <c r="S9" s="505">
        <v>91000</v>
      </c>
      <c r="T9" s="1948" t="s">
        <v>788</v>
      </c>
      <c r="U9" s="1949"/>
    </row>
    <row r="10" spans="1:21">
      <c r="B10" s="501" t="s">
        <v>792</v>
      </c>
      <c r="C10" s="496">
        <f t="shared" ref="C10:L10" si="6">+C123</f>
        <v>277200</v>
      </c>
      <c r="D10" s="496">
        <f t="shared" si="6"/>
        <v>253000</v>
      </c>
      <c r="E10" s="496">
        <f t="shared" si="6"/>
        <v>253000</v>
      </c>
      <c r="F10" s="496">
        <f t="shared" si="6"/>
        <v>290400</v>
      </c>
      <c r="G10" s="496">
        <f t="shared" si="6"/>
        <v>295240</v>
      </c>
      <c r="H10" s="496">
        <f t="shared" si="6"/>
        <v>290400</v>
      </c>
      <c r="I10" s="496">
        <f t="shared" si="6"/>
        <v>295240</v>
      </c>
      <c r="J10" s="496">
        <f t="shared" si="6"/>
        <v>286000</v>
      </c>
      <c r="K10" s="496">
        <f t="shared" si="6"/>
        <v>294800</v>
      </c>
      <c r="L10" s="496">
        <f t="shared" si="6"/>
        <v>595240</v>
      </c>
      <c r="M10" s="907" t="s">
        <v>1646</v>
      </c>
      <c r="P10" s="511"/>
      <c r="Q10" s="500">
        <v>5</v>
      </c>
      <c r="R10" s="500" t="s">
        <v>795</v>
      </c>
      <c r="S10" s="505">
        <v>100000</v>
      </c>
      <c r="T10" s="1948" t="s">
        <v>788</v>
      </c>
      <c r="U10" s="1949"/>
    </row>
    <row r="11" spans="1:21">
      <c r="B11" s="506" t="s">
        <v>794</v>
      </c>
      <c r="C11" s="496">
        <f t="shared" ref="C11:L11" si="7">+C124</f>
        <v>330000</v>
      </c>
      <c r="D11" s="496">
        <f t="shared" si="7"/>
        <v>275000</v>
      </c>
      <c r="E11" s="496">
        <f t="shared" si="7"/>
        <v>275000</v>
      </c>
      <c r="F11" s="496">
        <f t="shared" si="7"/>
        <v>330000</v>
      </c>
      <c r="G11" s="496">
        <f t="shared" si="7"/>
        <v>330000</v>
      </c>
      <c r="H11" s="496">
        <f t="shared" si="7"/>
        <v>330000</v>
      </c>
      <c r="I11" s="496">
        <f t="shared" si="7"/>
        <v>330000</v>
      </c>
      <c r="J11" s="496">
        <f t="shared" si="7"/>
        <v>330000</v>
      </c>
      <c r="K11" s="496">
        <f t="shared" si="7"/>
        <v>330000</v>
      </c>
      <c r="L11" s="496">
        <f t="shared" si="7"/>
        <v>630000</v>
      </c>
      <c r="M11" s="499" t="s">
        <v>1645</v>
      </c>
      <c r="P11" s="1944" t="s">
        <v>797</v>
      </c>
      <c r="Q11" s="1944"/>
      <c r="R11" s="1944"/>
      <c r="S11" s="505">
        <v>6700</v>
      </c>
      <c r="T11" s="1948"/>
      <c r="U11" s="1949"/>
    </row>
    <row r="12" spans="1:21">
      <c r="B12" s="506" t="s">
        <v>796</v>
      </c>
      <c r="C12" s="496">
        <f t="shared" ref="C12:L12" si="8">+C125</f>
        <v>150000</v>
      </c>
      <c r="D12" s="496">
        <f t="shared" si="8"/>
        <v>165000</v>
      </c>
      <c r="E12" s="496">
        <f t="shared" si="8"/>
        <v>165000</v>
      </c>
      <c r="F12" s="496">
        <f t="shared" si="8"/>
        <v>275000</v>
      </c>
      <c r="G12" s="496">
        <f t="shared" si="8"/>
        <v>275000</v>
      </c>
      <c r="H12" s="496">
        <f t="shared" si="8"/>
        <v>275000</v>
      </c>
      <c r="I12" s="496">
        <f t="shared" si="8"/>
        <v>300000</v>
      </c>
      <c r="J12" s="496">
        <f t="shared" si="8"/>
        <v>250000</v>
      </c>
      <c r="K12" s="496">
        <f t="shared" si="8"/>
        <v>275000</v>
      </c>
      <c r="L12" s="496">
        <f t="shared" si="8"/>
        <v>600000</v>
      </c>
      <c r="M12" s="499" t="s">
        <v>1645</v>
      </c>
      <c r="P12" s="1944" t="s">
        <v>799</v>
      </c>
      <c r="Q12" s="1944"/>
      <c r="R12" s="1944"/>
      <c r="S12" s="505">
        <v>8800</v>
      </c>
      <c r="T12" s="1948" t="s">
        <v>800</v>
      </c>
      <c r="U12" s="1949"/>
    </row>
    <row r="13" spans="1:21">
      <c r="B13" s="506" t="s">
        <v>798</v>
      </c>
      <c r="C13" s="496">
        <f t="shared" ref="C13:L13" si="9">+C126</f>
        <v>1000000</v>
      </c>
      <c r="D13" s="496">
        <f t="shared" si="9"/>
        <v>1000000</v>
      </c>
      <c r="E13" s="496">
        <f t="shared" si="9"/>
        <v>1000000</v>
      </c>
      <c r="F13" s="496">
        <f t="shared" si="9"/>
        <v>1000000</v>
      </c>
      <c r="G13" s="496">
        <f t="shared" si="9"/>
        <v>1000000</v>
      </c>
      <c r="H13" s="496">
        <f t="shared" si="9"/>
        <v>1000000</v>
      </c>
      <c r="I13" s="496">
        <f t="shared" si="9"/>
        <v>1000000</v>
      </c>
      <c r="J13" s="496">
        <f t="shared" si="9"/>
        <v>1000000</v>
      </c>
      <c r="K13" s="496">
        <f t="shared" si="9"/>
        <v>1000000</v>
      </c>
      <c r="L13" s="496">
        <f t="shared" si="9"/>
        <v>1300000</v>
      </c>
      <c r="M13" s="499" t="s">
        <v>1645</v>
      </c>
      <c r="P13" s="1944" t="s">
        <v>802</v>
      </c>
      <c r="Q13" s="1944"/>
      <c r="R13" s="1944"/>
      <c r="S13" s="505">
        <v>2000</v>
      </c>
      <c r="T13" s="1948"/>
      <c r="U13" s="1949"/>
    </row>
    <row r="14" spans="1:21" ht="17.25" thickBot="1">
      <c r="B14" s="512" t="s">
        <v>801</v>
      </c>
      <c r="C14" s="496">
        <f t="shared" ref="C14:L14" si="10">+C127</f>
        <v>150000</v>
      </c>
      <c r="D14" s="496">
        <f t="shared" si="10"/>
        <v>165000</v>
      </c>
      <c r="E14" s="496">
        <f t="shared" si="10"/>
        <v>165000</v>
      </c>
      <c r="F14" s="496">
        <f t="shared" si="10"/>
        <v>275000</v>
      </c>
      <c r="G14" s="496">
        <f t="shared" si="10"/>
        <v>275000</v>
      </c>
      <c r="H14" s="496">
        <f t="shared" si="10"/>
        <v>275000</v>
      </c>
      <c r="I14" s="496">
        <f t="shared" si="10"/>
        <v>300000</v>
      </c>
      <c r="J14" s="496">
        <f t="shared" si="10"/>
        <v>250000</v>
      </c>
      <c r="K14" s="496">
        <f t="shared" si="10"/>
        <v>275000</v>
      </c>
      <c r="L14" s="496">
        <f t="shared" si="10"/>
        <v>600000</v>
      </c>
      <c r="M14" s="499" t="s">
        <v>1645</v>
      </c>
      <c r="P14" s="1944" t="s">
        <v>803</v>
      </c>
      <c r="Q14" s="1944"/>
      <c r="R14" s="1944"/>
      <c r="S14" s="505">
        <v>10000</v>
      </c>
      <c r="T14" s="1948" t="s">
        <v>804</v>
      </c>
      <c r="U14" s="1949"/>
    </row>
    <row r="15" spans="1:21">
      <c r="M15" s="499"/>
      <c r="P15" s="1944" t="s">
        <v>805</v>
      </c>
      <c r="Q15" s="1944"/>
      <c r="R15" s="1944"/>
      <c r="S15" s="505">
        <f>S4+S5+S12+S14</f>
        <v>57800</v>
      </c>
      <c r="T15" s="1948"/>
      <c r="U15" s="1949"/>
    </row>
    <row r="16" spans="1:21" ht="17.25" thickBot="1">
      <c r="A16" s="489" t="s">
        <v>760</v>
      </c>
      <c r="M16" s="499"/>
      <c r="P16" s="1953" t="s">
        <v>806</v>
      </c>
      <c r="Q16" s="1953"/>
      <c r="R16" s="1953"/>
      <c r="S16" s="524">
        <f>S12+50000</f>
        <v>58800</v>
      </c>
      <c r="T16" s="525"/>
      <c r="U16" s="526"/>
    </row>
    <row r="17" spans="2:33" ht="17.25" thickBot="1">
      <c r="B17" s="490" t="s">
        <v>762</v>
      </c>
      <c r="C17" s="491" t="s">
        <v>763</v>
      </c>
      <c r="D17" s="492" t="s">
        <v>1548</v>
      </c>
      <c r="E17" s="492" t="s">
        <v>765</v>
      </c>
      <c r="F17" s="492" t="s">
        <v>1554</v>
      </c>
      <c r="G17" s="492" t="s">
        <v>1552</v>
      </c>
      <c r="H17" s="492" t="s">
        <v>768</v>
      </c>
      <c r="I17" s="492" t="s">
        <v>1551</v>
      </c>
      <c r="J17" s="492" t="s">
        <v>770</v>
      </c>
      <c r="K17" s="493" t="s">
        <v>771</v>
      </c>
      <c r="L17" s="493" t="s">
        <v>771</v>
      </c>
      <c r="M17" s="499"/>
    </row>
    <row r="18" spans="2:33" ht="18" thickTop="1" thickBot="1">
      <c r="B18" s="495" t="s">
        <v>773</v>
      </c>
      <c r="C18" s="496">
        <v>300000</v>
      </c>
      <c r="D18" s="497">
        <v>249999.99999999997</v>
      </c>
      <c r="E18" s="497">
        <v>249999.99999999997</v>
      </c>
      <c r="F18" s="497">
        <v>300000</v>
      </c>
      <c r="G18" s="497">
        <v>300000</v>
      </c>
      <c r="H18" s="497">
        <v>300000</v>
      </c>
      <c r="I18" s="497">
        <v>300000</v>
      </c>
      <c r="J18" s="497">
        <v>300000</v>
      </c>
      <c r="K18" s="498">
        <v>300000</v>
      </c>
      <c r="L18" s="498">
        <v>300000</v>
      </c>
      <c r="M18" s="499"/>
      <c r="P18" s="1954" t="s">
        <v>807</v>
      </c>
      <c r="Q18" s="1955"/>
      <c r="R18" s="1955"/>
      <c r="S18" s="1955"/>
      <c r="T18" s="1955"/>
      <c r="U18" s="1955"/>
      <c r="V18" s="1955"/>
      <c r="W18" s="1955"/>
      <c r="X18" s="1955"/>
      <c r="Y18" s="1955"/>
      <c r="Z18" s="1955"/>
      <c r="AA18" s="1955"/>
      <c r="AB18" s="1955"/>
      <c r="AC18" s="1955"/>
      <c r="AD18" s="1955"/>
      <c r="AE18" s="1955"/>
      <c r="AF18" s="1955"/>
      <c r="AG18" s="1956"/>
    </row>
    <row r="19" spans="2:33" ht="17.25" thickBot="1">
      <c r="B19" s="501" t="s">
        <v>777</v>
      </c>
      <c r="C19" s="502">
        <v>235999.99999999997</v>
      </c>
      <c r="D19" s="503">
        <v>230799.99999999997</v>
      </c>
      <c r="E19" s="503">
        <v>230799.99999999997</v>
      </c>
      <c r="F19" s="503">
        <v>255199.99999999997</v>
      </c>
      <c r="G19" s="503">
        <v>262240</v>
      </c>
      <c r="H19" s="503">
        <v>255199.99999999997</v>
      </c>
      <c r="I19" s="503">
        <v>262240</v>
      </c>
      <c r="J19" s="503">
        <v>248799.99999999997</v>
      </c>
      <c r="K19" s="504">
        <v>261599.99999999997</v>
      </c>
      <c r="L19" s="504">
        <v>261599.99999999997</v>
      </c>
      <c r="M19" s="499"/>
      <c r="P19" s="1957" t="s">
        <v>808</v>
      </c>
      <c r="Q19" s="1958" t="s">
        <v>809</v>
      </c>
      <c r="R19" s="1958"/>
      <c r="S19" s="1958"/>
      <c r="T19" s="1958"/>
      <c r="U19" s="1958"/>
      <c r="V19" s="1958"/>
      <c r="W19" s="1959" t="s">
        <v>810</v>
      </c>
      <c r="X19" s="1959"/>
      <c r="Y19" s="1959"/>
      <c r="Z19" s="1959"/>
      <c r="AA19" s="1959"/>
      <c r="AB19" s="1959"/>
      <c r="AC19" s="1960" t="s">
        <v>811</v>
      </c>
      <c r="AD19" s="1960"/>
      <c r="AE19" s="1960"/>
      <c r="AF19" s="531" t="s">
        <v>812</v>
      </c>
      <c r="AG19" s="532" t="s">
        <v>3115</v>
      </c>
    </row>
    <row r="20" spans="2:33" ht="17.25" thickBot="1">
      <c r="B20" s="501" t="s">
        <v>780</v>
      </c>
      <c r="C20" s="502">
        <v>123818.18181818181</v>
      </c>
      <c r="D20" s="503">
        <v>139999.99999999997</v>
      </c>
      <c r="E20" s="503">
        <v>139999.99999999997</v>
      </c>
      <c r="F20" s="503">
        <v>223999.99999999997</v>
      </c>
      <c r="G20" s="503">
        <v>227999.99999999997</v>
      </c>
      <c r="H20" s="503">
        <v>223999.99999999997</v>
      </c>
      <c r="I20" s="503">
        <v>241636.36363636362</v>
      </c>
      <c r="J20" s="503">
        <v>186363.63636363632</v>
      </c>
      <c r="K20" s="504">
        <v>207999.99999999997</v>
      </c>
      <c r="L20" s="504">
        <v>207999.99999999997</v>
      </c>
      <c r="M20" s="499"/>
      <c r="P20" s="1957"/>
      <c r="Q20" s="533" t="s">
        <v>813</v>
      </c>
      <c r="R20" s="533" t="s">
        <v>814</v>
      </c>
      <c r="S20" s="533" t="s">
        <v>815</v>
      </c>
      <c r="T20" s="533" t="s">
        <v>816</v>
      </c>
      <c r="U20" s="533" t="s">
        <v>817</v>
      </c>
      <c r="V20" s="533" t="s">
        <v>818</v>
      </c>
      <c r="W20" s="534" t="s">
        <v>819</v>
      </c>
      <c r="X20" s="534" t="s">
        <v>820</v>
      </c>
      <c r="Y20" s="534" t="s">
        <v>821</v>
      </c>
      <c r="Z20" s="534" t="s">
        <v>822</v>
      </c>
      <c r="AA20" s="534" t="s">
        <v>823</v>
      </c>
      <c r="AB20" s="534" t="s">
        <v>824</v>
      </c>
      <c r="AC20" s="535" t="s">
        <v>825</v>
      </c>
      <c r="AD20" s="535" t="s">
        <v>826</v>
      </c>
      <c r="AE20" s="535" t="s">
        <v>827</v>
      </c>
      <c r="AF20" s="531" t="s">
        <v>828</v>
      </c>
      <c r="AG20" s="532" t="s">
        <v>829</v>
      </c>
    </row>
    <row r="21" spans="2:33">
      <c r="B21" s="506" t="s">
        <v>783</v>
      </c>
      <c r="C21" s="507">
        <v>148000</v>
      </c>
      <c r="D21" s="508">
        <v>180000</v>
      </c>
      <c r="E21" s="508">
        <v>180000</v>
      </c>
      <c r="F21" s="508">
        <v>264000</v>
      </c>
      <c r="G21" s="508">
        <v>268000</v>
      </c>
      <c r="H21" s="508">
        <v>264000</v>
      </c>
      <c r="I21" s="508">
        <v>268000</v>
      </c>
      <c r="J21" s="508">
        <v>239999.99999999997</v>
      </c>
      <c r="K21" s="509">
        <v>247999.99999999997</v>
      </c>
      <c r="L21" s="509">
        <v>247999.99999999997</v>
      </c>
      <c r="M21" s="499"/>
      <c r="P21" s="1945"/>
      <c r="Q21" s="536" t="s">
        <v>830</v>
      </c>
      <c r="R21" s="536" t="s">
        <v>831</v>
      </c>
      <c r="S21" s="536" t="s">
        <v>832</v>
      </c>
      <c r="T21" s="536"/>
      <c r="U21" s="536"/>
      <c r="V21" s="536" t="s">
        <v>833</v>
      </c>
      <c r="W21" s="537" t="s">
        <v>834</v>
      </c>
      <c r="X21" s="537" t="s">
        <v>835</v>
      </c>
      <c r="Y21" s="537" t="s">
        <v>836</v>
      </c>
      <c r="Z21" s="537" t="s">
        <v>837</v>
      </c>
      <c r="AA21" s="537"/>
      <c r="AB21" s="537" t="s">
        <v>838</v>
      </c>
      <c r="AC21" s="538" t="s">
        <v>839</v>
      </c>
      <c r="AD21" s="538" t="s">
        <v>840</v>
      </c>
      <c r="AE21" s="538" t="s">
        <v>841</v>
      </c>
      <c r="AF21" s="539" t="s">
        <v>842</v>
      </c>
      <c r="AG21" s="540" t="s">
        <v>843</v>
      </c>
    </row>
    <row r="22" spans="2:33">
      <c r="B22" s="506" t="s">
        <v>786</v>
      </c>
      <c r="C22" s="507">
        <v>121818.18181818178</v>
      </c>
      <c r="D22" s="508">
        <v>138000</v>
      </c>
      <c r="E22" s="508">
        <v>138000</v>
      </c>
      <c r="F22" s="508">
        <v>251999.99999999997</v>
      </c>
      <c r="G22" s="508">
        <v>255999.99999999997</v>
      </c>
      <c r="H22" s="508">
        <v>221999.99999999997</v>
      </c>
      <c r="I22" s="508">
        <v>255999.99999999997</v>
      </c>
      <c r="J22" s="508">
        <v>184363.63636363635</v>
      </c>
      <c r="K22" s="509">
        <v>206000</v>
      </c>
      <c r="L22" s="509">
        <v>206000</v>
      </c>
      <c r="M22" s="499"/>
      <c r="P22" s="1946"/>
      <c r="Q22" s="541" t="s">
        <v>844</v>
      </c>
      <c r="R22" s="541" t="s">
        <v>845</v>
      </c>
      <c r="S22" s="541"/>
      <c r="T22" s="541"/>
      <c r="U22" s="541"/>
      <c r="V22" s="541" t="s">
        <v>846</v>
      </c>
      <c r="W22" s="542" t="s">
        <v>847</v>
      </c>
      <c r="X22" s="542" t="s">
        <v>848</v>
      </c>
      <c r="Y22" s="542" t="s">
        <v>849</v>
      </c>
      <c r="Z22" s="542" t="s">
        <v>850</v>
      </c>
      <c r="AA22" s="542"/>
      <c r="AB22" s="542"/>
      <c r="AC22" s="543" t="s">
        <v>851</v>
      </c>
      <c r="AD22" s="543" t="s">
        <v>852</v>
      </c>
      <c r="AE22" s="543" t="s">
        <v>853</v>
      </c>
      <c r="AF22" s="544" t="s">
        <v>854</v>
      </c>
      <c r="AG22" s="545" t="s">
        <v>855</v>
      </c>
    </row>
    <row r="23" spans="2:33">
      <c r="B23" s="506" t="s">
        <v>789</v>
      </c>
      <c r="C23" s="507">
        <v>125818.18181818181</v>
      </c>
      <c r="D23" s="508">
        <v>142000</v>
      </c>
      <c r="E23" s="508">
        <v>142000</v>
      </c>
      <c r="F23" s="508">
        <v>225999.99999999997</v>
      </c>
      <c r="G23" s="508">
        <v>229999.99999999997</v>
      </c>
      <c r="H23" s="508">
        <v>225999.99999999997</v>
      </c>
      <c r="I23" s="508">
        <v>243636.36363636362</v>
      </c>
      <c r="J23" s="508">
        <v>188363.63636363635</v>
      </c>
      <c r="K23" s="509">
        <v>209999.99999999997</v>
      </c>
      <c r="L23" s="509">
        <v>209999.99999999997</v>
      </c>
      <c r="M23" s="499"/>
      <c r="P23" s="1946"/>
      <c r="Q23" s="541" t="s">
        <v>856</v>
      </c>
      <c r="R23" s="541"/>
      <c r="S23" s="541"/>
      <c r="T23" s="541"/>
      <c r="U23" s="541"/>
      <c r="V23" s="541"/>
      <c r="W23" s="542" t="s">
        <v>857</v>
      </c>
      <c r="X23" s="542" t="s">
        <v>858</v>
      </c>
      <c r="Y23" s="542"/>
      <c r="Z23" s="542" t="s">
        <v>859</v>
      </c>
      <c r="AA23" s="542"/>
      <c r="AB23" s="542"/>
      <c r="AC23" s="543" t="s">
        <v>860</v>
      </c>
      <c r="AD23" s="543"/>
      <c r="AE23" s="543"/>
      <c r="AF23" s="544" t="s">
        <v>861</v>
      </c>
      <c r="AG23" s="545" t="s">
        <v>862</v>
      </c>
    </row>
    <row r="24" spans="2:33">
      <c r="B24" s="506" t="s">
        <v>792</v>
      </c>
      <c r="C24" s="507">
        <v>251999.99999999997</v>
      </c>
      <c r="D24" s="508">
        <v>229999.99999999997</v>
      </c>
      <c r="E24" s="508">
        <v>229999.99999999997</v>
      </c>
      <c r="F24" s="508">
        <v>264000</v>
      </c>
      <c r="G24" s="508">
        <v>268400</v>
      </c>
      <c r="H24" s="508">
        <v>264000</v>
      </c>
      <c r="I24" s="508">
        <v>268400</v>
      </c>
      <c r="J24" s="508">
        <v>259999.99999999997</v>
      </c>
      <c r="K24" s="509">
        <v>268000</v>
      </c>
      <c r="L24" s="509">
        <v>268000</v>
      </c>
      <c r="M24" s="499"/>
      <c r="P24" s="1946"/>
      <c r="Q24" s="541" t="s">
        <v>863</v>
      </c>
      <c r="R24" s="541"/>
      <c r="S24" s="541"/>
      <c r="T24" s="541"/>
      <c r="U24" s="541"/>
      <c r="V24" s="541"/>
      <c r="W24" s="542" t="s">
        <v>864</v>
      </c>
      <c r="X24" s="542" t="s">
        <v>865</v>
      </c>
      <c r="Y24" s="542"/>
      <c r="Z24" s="542" t="s">
        <v>866</v>
      </c>
      <c r="AA24" s="542"/>
      <c r="AB24" s="542"/>
      <c r="AC24" s="543" t="s">
        <v>867</v>
      </c>
      <c r="AD24" s="543"/>
      <c r="AE24" s="543"/>
      <c r="AF24" s="544" t="s">
        <v>868</v>
      </c>
      <c r="AG24" s="545" t="s">
        <v>869</v>
      </c>
    </row>
    <row r="25" spans="2:33">
      <c r="B25" s="506" t="s">
        <v>794</v>
      </c>
      <c r="C25" s="507">
        <v>300000</v>
      </c>
      <c r="D25" s="508">
        <v>249999.99999999997</v>
      </c>
      <c r="E25" s="508">
        <v>249999.99999999997</v>
      </c>
      <c r="F25" s="508">
        <v>300000</v>
      </c>
      <c r="G25" s="508">
        <v>300000</v>
      </c>
      <c r="H25" s="508">
        <v>300000</v>
      </c>
      <c r="I25" s="508">
        <v>300000</v>
      </c>
      <c r="J25" s="508">
        <v>300000</v>
      </c>
      <c r="K25" s="509">
        <v>300000</v>
      </c>
      <c r="L25" s="509">
        <v>300000</v>
      </c>
      <c r="M25" s="499"/>
      <c r="P25" s="1946"/>
      <c r="Q25" s="541" t="s">
        <v>870</v>
      </c>
      <c r="R25" s="541"/>
      <c r="S25" s="541"/>
      <c r="T25" s="541"/>
      <c r="U25" s="541"/>
      <c r="V25" s="541"/>
      <c r="W25" s="542" t="s">
        <v>871</v>
      </c>
      <c r="X25" s="542" t="s">
        <v>872</v>
      </c>
      <c r="Y25" s="542"/>
      <c r="Z25" s="542"/>
      <c r="AA25" s="542"/>
      <c r="AB25" s="542"/>
      <c r="AC25" s="543" t="s">
        <v>873</v>
      </c>
      <c r="AD25" s="543"/>
      <c r="AE25" s="543"/>
      <c r="AF25" s="544" t="s">
        <v>3117</v>
      </c>
      <c r="AG25" s="545" t="s">
        <v>874</v>
      </c>
    </row>
    <row r="26" spans="2:33">
      <c r="B26" s="506" t="s">
        <v>796</v>
      </c>
      <c r="C26" s="507">
        <v>136363.63636363635</v>
      </c>
      <c r="D26" s="508">
        <v>149999.99999999997</v>
      </c>
      <c r="E26" s="508">
        <v>149999.99999999997</v>
      </c>
      <c r="F26" s="508">
        <v>249999.99999999997</v>
      </c>
      <c r="G26" s="508">
        <v>249999.99999999997</v>
      </c>
      <c r="H26" s="508">
        <v>249999.99999999997</v>
      </c>
      <c r="I26" s="508">
        <v>272727.27272727271</v>
      </c>
      <c r="J26" s="508">
        <v>227272.72727272726</v>
      </c>
      <c r="K26" s="509">
        <v>249999.99999999997</v>
      </c>
      <c r="L26" s="509">
        <v>249999.99999999997</v>
      </c>
      <c r="M26" s="499"/>
      <c r="P26" s="1946"/>
      <c r="Q26" s="541" t="s">
        <v>875</v>
      </c>
      <c r="R26" s="541"/>
      <c r="S26" s="541"/>
      <c r="T26" s="541"/>
      <c r="U26" s="541"/>
      <c r="V26" s="541"/>
      <c r="W26" s="542" t="s">
        <v>1648</v>
      </c>
      <c r="X26" s="542"/>
      <c r="Y26" s="542"/>
      <c r="Z26" s="542"/>
      <c r="AA26" s="542"/>
      <c r="AB26" s="542"/>
      <c r="AC26" s="543" t="s">
        <v>876</v>
      </c>
      <c r="AD26" s="543"/>
      <c r="AE26" s="543"/>
      <c r="AF26" s="544" t="s">
        <v>3118</v>
      </c>
      <c r="AG26" s="545" t="s">
        <v>877</v>
      </c>
    </row>
    <row r="27" spans="2:33">
      <c r="B27" s="506" t="s">
        <v>798</v>
      </c>
      <c r="C27" s="507">
        <v>1000000</v>
      </c>
      <c r="D27" s="508">
        <v>1000000</v>
      </c>
      <c r="E27" s="508">
        <v>1000000</v>
      </c>
      <c r="F27" s="508">
        <v>1000000</v>
      </c>
      <c r="G27" s="508">
        <v>1000000</v>
      </c>
      <c r="H27" s="508">
        <v>1000000</v>
      </c>
      <c r="I27" s="508">
        <v>1000000</v>
      </c>
      <c r="J27" s="508">
        <v>1000000</v>
      </c>
      <c r="K27" s="509">
        <v>1000000</v>
      </c>
      <c r="L27" s="509">
        <v>1000000</v>
      </c>
      <c r="M27" s="499"/>
      <c r="P27" s="1946"/>
      <c r="Q27" s="541" t="s">
        <v>880</v>
      </c>
      <c r="R27" s="541"/>
      <c r="S27" s="541"/>
      <c r="T27" s="541"/>
      <c r="U27" s="541"/>
      <c r="V27" s="541"/>
      <c r="W27" s="542"/>
      <c r="X27" s="542"/>
      <c r="Y27" s="542"/>
      <c r="Z27" s="542"/>
      <c r="AA27" s="542"/>
      <c r="AB27" s="542"/>
      <c r="AC27" s="543" t="s">
        <v>881</v>
      </c>
      <c r="AD27" s="543"/>
      <c r="AE27" s="543"/>
      <c r="AF27" s="544"/>
      <c r="AG27" s="545" t="s">
        <v>882</v>
      </c>
    </row>
    <row r="28" spans="2:33" ht="17.25" thickBot="1">
      <c r="B28" s="512" t="s">
        <v>801</v>
      </c>
      <c r="C28" s="513">
        <v>136363.63636363635</v>
      </c>
      <c r="D28" s="514">
        <v>150000</v>
      </c>
      <c r="E28" s="514">
        <v>150000</v>
      </c>
      <c r="F28" s="514">
        <v>249999.99999999997</v>
      </c>
      <c r="G28" s="514">
        <v>249999.99999999997</v>
      </c>
      <c r="H28" s="514">
        <v>249999.99999999997</v>
      </c>
      <c r="I28" s="514">
        <v>272727.27272727271</v>
      </c>
      <c r="J28" s="514">
        <v>227272.72727272726</v>
      </c>
      <c r="K28" s="515">
        <v>249999.99999999997</v>
      </c>
      <c r="L28" s="515">
        <v>249999.99999999997</v>
      </c>
      <c r="M28" s="499"/>
      <c r="P28" s="1946"/>
      <c r="Q28" s="541" t="s">
        <v>883</v>
      </c>
      <c r="R28" s="541"/>
      <c r="S28" s="541"/>
      <c r="T28" s="541"/>
      <c r="U28" s="541"/>
      <c r="V28" s="541"/>
      <c r="W28" s="542"/>
      <c r="X28" s="542"/>
      <c r="Y28" s="542"/>
      <c r="Z28" s="542"/>
      <c r="AA28" s="542"/>
      <c r="AB28" s="542"/>
      <c r="AC28" s="543"/>
      <c r="AD28" s="543"/>
      <c r="AE28" s="543"/>
      <c r="AF28" s="544"/>
      <c r="AG28" s="545" t="s">
        <v>3116</v>
      </c>
    </row>
    <row r="29" spans="2:33" ht="17.25" thickBot="1">
      <c r="M29" s="499"/>
      <c r="P29" s="1946"/>
      <c r="Q29" s="541" t="s">
        <v>884</v>
      </c>
      <c r="R29" s="541"/>
      <c r="S29" s="541"/>
      <c r="T29" s="541"/>
      <c r="U29" s="541"/>
      <c r="V29" s="541"/>
      <c r="W29" s="542"/>
      <c r="X29" s="542"/>
      <c r="Y29" s="542"/>
      <c r="Z29" s="542"/>
      <c r="AA29" s="542"/>
      <c r="AB29" s="542"/>
      <c r="AC29" s="543"/>
      <c r="AD29" s="543"/>
      <c r="AE29" s="543"/>
      <c r="AF29" s="544"/>
      <c r="AG29" s="545"/>
    </row>
    <row r="30" spans="2:33">
      <c r="B30" s="516" t="s">
        <v>773</v>
      </c>
      <c r="C30" s="517">
        <f t="shared" ref="C30:K30" si="11">C18*1.1</f>
        <v>330000</v>
      </c>
      <c r="D30" s="518">
        <f t="shared" si="11"/>
        <v>275000</v>
      </c>
      <c r="E30" s="518">
        <f t="shared" si="11"/>
        <v>275000</v>
      </c>
      <c r="F30" s="518">
        <f t="shared" si="11"/>
        <v>330000</v>
      </c>
      <c r="G30" s="518">
        <f t="shared" si="11"/>
        <v>330000</v>
      </c>
      <c r="H30" s="518">
        <f t="shared" si="11"/>
        <v>330000</v>
      </c>
      <c r="I30" s="518">
        <f t="shared" si="11"/>
        <v>330000</v>
      </c>
      <c r="J30" s="518">
        <f t="shared" si="11"/>
        <v>330000</v>
      </c>
      <c r="K30" s="519">
        <f t="shared" si="11"/>
        <v>330000</v>
      </c>
      <c r="L30" s="519">
        <f t="shared" ref="L30:L40" si="12">L18*1.1</f>
        <v>330000</v>
      </c>
      <c r="M30" s="499"/>
      <c r="P30" s="1946"/>
      <c r="Q30" s="541" t="s">
        <v>886</v>
      </c>
      <c r="R30" s="541"/>
      <c r="S30" s="541"/>
      <c r="T30" s="541"/>
      <c r="U30" s="541"/>
      <c r="V30" s="541"/>
      <c r="W30" s="542"/>
      <c r="X30" s="542"/>
      <c r="Y30" s="542"/>
      <c r="Z30" s="542"/>
      <c r="AA30" s="542"/>
      <c r="AB30" s="542"/>
      <c r="AC30" s="543"/>
      <c r="AD30" s="543"/>
      <c r="AE30" s="543"/>
      <c r="AF30" s="544"/>
      <c r="AG30" s="545"/>
    </row>
    <row r="31" spans="2:33">
      <c r="B31" s="520" t="s">
        <v>777</v>
      </c>
      <c r="C31" s="521">
        <f t="shared" ref="C31:K31" si="13">C19*1.1</f>
        <v>259600</v>
      </c>
      <c r="D31" s="522">
        <f t="shared" si="13"/>
        <v>253880</v>
      </c>
      <c r="E31" s="522">
        <f t="shared" si="13"/>
        <v>253880</v>
      </c>
      <c r="F31" s="522">
        <f t="shared" si="13"/>
        <v>280720</v>
      </c>
      <c r="G31" s="522">
        <f t="shared" si="13"/>
        <v>288464</v>
      </c>
      <c r="H31" s="522">
        <f t="shared" si="13"/>
        <v>280720</v>
      </c>
      <c r="I31" s="522">
        <f t="shared" si="13"/>
        <v>288464</v>
      </c>
      <c r="J31" s="522">
        <f t="shared" si="13"/>
        <v>273680</v>
      </c>
      <c r="K31" s="523">
        <f t="shared" si="13"/>
        <v>287760</v>
      </c>
      <c r="L31" s="523">
        <f t="shared" si="12"/>
        <v>287760</v>
      </c>
      <c r="M31" s="499"/>
      <c r="P31" s="1946"/>
      <c r="Q31" s="541" t="s">
        <v>888</v>
      </c>
      <c r="R31" s="541"/>
      <c r="S31" s="541"/>
      <c r="T31" s="541"/>
      <c r="U31" s="541"/>
      <c r="V31" s="541"/>
      <c r="W31" s="542"/>
      <c r="X31" s="542"/>
      <c r="Y31" s="542"/>
      <c r="Z31" s="542"/>
      <c r="AA31" s="542"/>
      <c r="AB31" s="542"/>
      <c r="AC31" s="543"/>
      <c r="AD31" s="543"/>
      <c r="AE31" s="543"/>
      <c r="AF31" s="544"/>
      <c r="AG31" s="545"/>
    </row>
    <row r="32" spans="2:33">
      <c r="B32" s="520" t="s">
        <v>780</v>
      </c>
      <c r="C32" s="521">
        <f t="shared" ref="C32:K32" si="14">C20*1.1</f>
        <v>136200</v>
      </c>
      <c r="D32" s="522">
        <f t="shared" si="14"/>
        <v>153999.99999999997</v>
      </c>
      <c r="E32" s="522">
        <f t="shared" si="14"/>
        <v>153999.99999999997</v>
      </c>
      <c r="F32" s="522">
        <f t="shared" si="14"/>
        <v>246400</v>
      </c>
      <c r="G32" s="522">
        <f t="shared" si="14"/>
        <v>250800</v>
      </c>
      <c r="H32" s="522">
        <f t="shared" si="14"/>
        <v>246400</v>
      </c>
      <c r="I32" s="522">
        <f t="shared" si="14"/>
        <v>265800</v>
      </c>
      <c r="J32" s="522">
        <f t="shared" si="14"/>
        <v>204999.99999999997</v>
      </c>
      <c r="K32" s="523">
        <f t="shared" si="14"/>
        <v>228800</v>
      </c>
      <c r="L32" s="523">
        <f t="shared" si="12"/>
        <v>228800</v>
      </c>
      <c r="M32" s="499"/>
      <c r="P32" s="1946"/>
      <c r="Q32" s="541" t="s">
        <v>890</v>
      </c>
      <c r="R32" s="541"/>
      <c r="S32" s="541"/>
      <c r="T32" s="541"/>
      <c r="U32" s="541"/>
      <c r="V32" s="541"/>
      <c r="W32" s="542"/>
      <c r="X32" s="542"/>
      <c r="Y32" s="542"/>
      <c r="Z32" s="542"/>
      <c r="AA32" s="542"/>
      <c r="AB32" s="542"/>
      <c r="AC32" s="543"/>
      <c r="AD32" s="543"/>
      <c r="AE32" s="543"/>
      <c r="AF32" s="544"/>
      <c r="AG32" s="545"/>
    </row>
    <row r="33" spans="2:33">
      <c r="B33" s="527" t="s">
        <v>783</v>
      </c>
      <c r="C33" s="528">
        <f t="shared" ref="C33:K33" si="15">C21*1.1</f>
        <v>162800</v>
      </c>
      <c r="D33" s="529">
        <f t="shared" si="15"/>
        <v>198000.00000000003</v>
      </c>
      <c r="E33" s="529">
        <f t="shared" si="15"/>
        <v>198000.00000000003</v>
      </c>
      <c r="F33" s="529">
        <f t="shared" si="15"/>
        <v>290400</v>
      </c>
      <c r="G33" s="529">
        <f t="shared" si="15"/>
        <v>294800</v>
      </c>
      <c r="H33" s="529">
        <f t="shared" si="15"/>
        <v>290400</v>
      </c>
      <c r="I33" s="529">
        <f t="shared" si="15"/>
        <v>294800</v>
      </c>
      <c r="J33" s="529">
        <f t="shared" si="15"/>
        <v>264000</v>
      </c>
      <c r="K33" s="530">
        <f t="shared" si="15"/>
        <v>272800</v>
      </c>
      <c r="L33" s="530">
        <f t="shared" si="12"/>
        <v>272800</v>
      </c>
      <c r="M33" s="499"/>
      <c r="P33" s="1946"/>
      <c r="Q33" s="550" t="s">
        <v>892</v>
      </c>
      <c r="R33" s="550"/>
      <c r="S33" s="550"/>
      <c r="T33" s="550"/>
      <c r="U33" s="550"/>
      <c r="V33" s="550"/>
      <c r="W33" s="551"/>
      <c r="X33" s="551"/>
      <c r="Y33" s="551"/>
      <c r="Z33" s="551"/>
      <c r="AA33" s="551"/>
      <c r="AB33" s="551"/>
      <c r="AC33" s="552"/>
      <c r="AD33" s="552"/>
      <c r="AE33" s="552"/>
      <c r="AF33" s="553"/>
      <c r="AG33" s="554"/>
    </row>
    <row r="34" spans="2:33" ht="17.25" thickBot="1">
      <c r="B34" s="527" t="s">
        <v>786</v>
      </c>
      <c r="C34" s="528">
        <f t="shared" ref="C34:K34" si="16">C22*1.1</f>
        <v>133999.99999999997</v>
      </c>
      <c r="D34" s="529">
        <f t="shared" si="16"/>
        <v>151800</v>
      </c>
      <c r="E34" s="529">
        <f t="shared" si="16"/>
        <v>151800</v>
      </c>
      <c r="F34" s="529">
        <f t="shared" si="16"/>
        <v>277200</v>
      </c>
      <c r="G34" s="529">
        <f t="shared" si="16"/>
        <v>281600</v>
      </c>
      <c r="H34" s="529">
        <f t="shared" si="16"/>
        <v>244200</v>
      </c>
      <c r="I34" s="529">
        <f t="shared" si="16"/>
        <v>281600</v>
      </c>
      <c r="J34" s="529">
        <f t="shared" si="16"/>
        <v>202800</v>
      </c>
      <c r="K34" s="530">
        <f t="shared" si="16"/>
        <v>226600.00000000003</v>
      </c>
      <c r="L34" s="530">
        <f t="shared" si="12"/>
        <v>226600.00000000003</v>
      </c>
      <c r="M34" s="499"/>
      <c r="P34" s="1947"/>
      <c r="Q34" s="555" t="s">
        <v>894</v>
      </c>
      <c r="R34" s="555"/>
      <c r="S34" s="555"/>
      <c r="T34" s="555"/>
      <c r="U34" s="555"/>
      <c r="V34" s="555"/>
      <c r="W34" s="556"/>
      <c r="X34" s="556"/>
      <c r="Y34" s="556"/>
      <c r="Z34" s="556"/>
      <c r="AA34" s="556"/>
      <c r="AB34" s="556"/>
      <c r="AC34" s="557"/>
      <c r="AD34" s="557"/>
      <c r="AE34" s="557"/>
      <c r="AF34" s="558"/>
      <c r="AG34" s="559"/>
    </row>
    <row r="35" spans="2:33">
      <c r="B35" s="527" t="s">
        <v>789</v>
      </c>
      <c r="C35" s="528">
        <f t="shared" ref="C35:K35" si="17">C23*1.1</f>
        <v>138400</v>
      </c>
      <c r="D35" s="529">
        <f t="shared" si="17"/>
        <v>156200</v>
      </c>
      <c r="E35" s="529">
        <f t="shared" si="17"/>
        <v>156200</v>
      </c>
      <c r="F35" s="529">
        <f t="shared" si="17"/>
        <v>248600</v>
      </c>
      <c r="G35" s="529">
        <f t="shared" si="17"/>
        <v>253000</v>
      </c>
      <c r="H35" s="529">
        <f t="shared" si="17"/>
        <v>248600</v>
      </c>
      <c r="I35" s="529">
        <f t="shared" si="17"/>
        <v>268000</v>
      </c>
      <c r="J35" s="529">
        <f t="shared" si="17"/>
        <v>207200</v>
      </c>
      <c r="K35" s="530">
        <f t="shared" si="17"/>
        <v>231000</v>
      </c>
      <c r="L35" s="530">
        <f t="shared" si="12"/>
        <v>231000</v>
      </c>
      <c r="M35" s="499"/>
      <c r="P35" s="560"/>
      <c r="Q35" s="560"/>
      <c r="R35" s="560"/>
      <c r="S35" s="560"/>
      <c r="T35" s="560"/>
      <c r="U35" s="560"/>
      <c r="V35" s="560"/>
      <c r="W35" s="560"/>
      <c r="X35" s="560"/>
      <c r="Y35" s="560"/>
      <c r="Z35" s="560"/>
      <c r="AA35" s="560"/>
      <c r="AB35" s="560"/>
      <c r="AC35" s="560"/>
      <c r="AD35" s="560"/>
      <c r="AE35" s="560"/>
      <c r="AF35" s="560"/>
      <c r="AG35" s="560"/>
    </row>
    <row r="36" spans="2:33">
      <c r="B36" s="527" t="s">
        <v>792</v>
      </c>
      <c r="C36" s="528">
        <f t="shared" ref="C36:K36" si="18">C24*1.1</f>
        <v>277200</v>
      </c>
      <c r="D36" s="529">
        <f t="shared" si="18"/>
        <v>253000</v>
      </c>
      <c r="E36" s="529">
        <f t="shared" si="18"/>
        <v>253000</v>
      </c>
      <c r="F36" s="529">
        <f t="shared" si="18"/>
        <v>290400</v>
      </c>
      <c r="G36" s="529">
        <f t="shared" si="18"/>
        <v>295240</v>
      </c>
      <c r="H36" s="529">
        <f t="shared" si="18"/>
        <v>290400</v>
      </c>
      <c r="I36" s="529">
        <f t="shared" si="18"/>
        <v>295240</v>
      </c>
      <c r="J36" s="529">
        <f t="shared" si="18"/>
        <v>286000</v>
      </c>
      <c r="K36" s="530">
        <f t="shared" si="18"/>
        <v>294800</v>
      </c>
      <c r="L36" s="530">
        <f t="shared" si="12"/>
        <v>294800</v>
      </c>
      <c r="M36" s="499"/>
    </row>
    <row r="37" spans="2:33">
      <c r="B37" s="527" t="s">
        <v>794</v>
      </c>
      <c r="C37" s="528">
        <f t="shared" ref="C37:K37" si="19">C25*1.1</f>
        <v>330000</v>
      </c>
      <c r="D37" s="529">
        <f t="shared" si="19"/>
        <v>275000</v>
      </c>
      <c r="E37" s="529">
        <f t="shared" si="19"/>
        <v>275000</v>
      </c>
      <c r="F37" s="529">
        <f t="shared" si="19"/>
        <v>330000</v>
      </c>
      <c r="G37" s="529">
        <f t="shared" si="19"/>
        <v>330000</v>
      </c>
      <c r="H37" s="529">
        <f t="shared" si="19"/>
        <v>330000</v>
      </c>
      <c r="I37" s="529">
        <f t="shared" si="19"/>
        <v>330000</v>
      </c>
      <c r="J37" s="529">
        <f t="shared" si="19"/>
        <v>330000</v>
      </c>
      <c r="K37" s="530">
        <f t="shared" si="19"/>
        <v>330000</v>
      </c>
      <c r="L37" s="530">
        <f t="shared" si="12"/>
        <v>330000</v>
      </c>
      <c r="M37" s="499"/>
    </row>
    <row r="38" spans="2:33">
      <c r="B38" s="527" t="s">
        <v>796</v>
      </c>
      <c r="C38" s="528">
        <f t="shared" ref="C38:K38" si="20">C26*1.1</f>
        <v>150000</v>
      </c>
      <c r="D38" s="529">
        <f t="shared" si="20"/>
        <v>164999.99999999997</v>
      </c>
      <c r="E38" s="529">
        <f t="shared" si="20"/>
        <v>164999.99999999997</v>
      </c>
      <c r="F38" s="529">
        <f t="shared" si="20"/>
        <v>275000</v>
      </c>
      <c r="G38" s="529">
        <f t="shared" si="20"/>
        <v>275000</v>
      </c>
      <c r="H38" s="529">
        <f t="shared" si="20"/>
        <v>275000</v>
      </c>
      <c r="I38" s="529">
        <f t="shared" si="20"/>
        <v>300000</v>
      </c>
      <c r="J38" s="529">
        <f t="shared" si="20"/>
        <v>250000</v>
      </c>
      <c r="K38" s="530">
        <f t="shared" si="20"/>
        <v>275000</v>
      </c>
      <c r="L38" s="530">
        <f t="shared" si="12"/>
        <v>275000</v>
      </c>
      <c r="M38" s="499"/>
    </row>
    <row r="39" spans="2:33" ht="17.25">
      <c r="B39" s="527" t="s">
        <v>798</v>
      </c>
      <c r="C39" s="528">
        <f t="shared" ref="C39:K39" si="21">C27*1.1</f>
        <v>1100000</v>
      </c>
      <c r="D39" s="529">
        <f t="shared" si="21"/>
        <v>1100000</v>
      </c>
      <c r="E39" s="529">
        <f t="shared" si="21"/>
        <v>1100000</v>
      </c>
      <c r="F39" s="529">
        <f t="shared" si="21"/>
        <v>1100000</v>
      </c>
      <c r="G39" s="529">
        <f t="shared" si="21"/>
        <v>1100000</v>
      </c>
      <c r="H39" s="529">
        <f t="shared" si="21"/>
        <v>1100000</v>
      </c>
      <c r="I39" s="529">
        <f t="shared" si="21"/>
        <v>1100000</v>
      </c>
      <c r="J39" s="529">
        <f t="shared" si="21"/>
        <v>1100000</v>
      </c>
      <c r="K39" s="530">
        <f t="shared" si="21"/>
        <v>1100000</v>
      </c>
      <c r="L39" s="530">
        <f t="shared" si="12"/>
        <v>1100000</v>
      </c>
      <c r="M39" s="499"/>
      <c r="Q39" s="680" t="s">
        <v>1172</v>
      </c>
      <c r="R39" s="560"/>
      <c r="S39" s="489"/>
      <c r="T39" s="489"/>
      <c r="U39" s="489"/>
      <c r="V39" s="489"/>
      <c r="W39" s="489"/>
      <c r="X39" s="489"/>
      <c r="Y39" s="489"/>
      <c r="Z39" s="489"/>
      <c r="AA39" s="489"/>
      <c r="AB39" s="489"/>
    </row>
    <row r="40" spans="2:33" ht="17.25" thickBot="1">
      <c r="B40" s="546" t="s">
        <v>801</v>
      </c>
      <c r="C40" s="547">
        <f t="shared" ref="C40:K40" si="22">C28*1.1</f>
        <v>150000</v>
      </c>
      <c r="D40" s="548">
        <f t="shared" si="22"/>
        <v>165000</v>
      </c>
      <c r="E40" s="548">
        <f t="shared" si="22"/>
        <v>165000</v>
      </c>
      <c r="F40" s="548">
        <f t="shared" si="22"/>
        <v>275000</v>
      </c>
      <c r="G40" s="548">
        <f t="shared" si="22"/>
        <v>275000</v>
      </c>
      <c r="H40" s="548">
        <f t="shared" si="22"/>
        <v>275000</v>
      </c>
      <c r="I40" s="548">
        <f t="shared" si="22"/>
        <v>300000</v>
      </c>
      <c r="J40" s="548">
        <f t="shared" si="22"/>
        <v>250000</v>
      </c>
      <c r="K40" s="549">
        <f t="shared" si="22"/>
        <v>275000</v>
      </c>
      <c r="L40" s="549">
        <f t="shared" si="12"/>
        <v>275000</v>
      </c>
      <c r="M40" s="499"/>
      <c r="Q40" s="560"/>
      <c r="R40" s="679" t="s">
        <v>1158</v>
      </c>
      <c r="S40" s="681" t="s">
        <v>1159</v>
      </c>
      <c r="T40" s="491" t="s">
        <v>763</v>
      </c>
      <c r="U40" s="492" t="s">
        <v>1548</v>
      </c>
      <c r="V40" s="492" t="s">
        <v>765</v>
      </c>
      <c r="W40" s="492" t="s">
        <v>1554</v>
      </c>
      <c r="X40" s="492" t="s">
        <v>1552</v>
      </c>
      <c r="Y40" s="492" t="s">
        <v>768</v>
      </c>
      <c r="Z40" s="492" t="s">
        <v>1551</v>
      </c>
      <c r="AA40" s="492" t="s">
        <v>770</v>
      </c>
      <c r="AB40" s="493" t="s">
        <v>771</v>
      </c>
    </row>
    <row r="41" spans="2:33">
      <c r="M41" s="499"/>
      <c r="P41" s="809" t="s">
        <v>903</v>
      </c>
      <c r="Q41" s="560"/>
      <c r="R41" s="1943" t="s">
        <v>1160</v>
      </c>
      <c r="S41" s="681" t="s">
        <v>1161</v>
      </c>
      <c r="T41" s="682">
        <v>220000</v>
      </c>
      <c r="U41" s="682">
        <v>242000</v>
      </c>
      <c r="V41" s="682">
        <v>242000</v>
      </c>
      <c r="W41" s="682">
        <v>253000</v>
      </c>
      <c r="X41" s="682">
        <v>265100</v>
      </c>
      <c r="Y41" s="682">
        <v>253000</v>
      </c>
      <c r="Z41" s="682">
        <v>265100</v>
      </c>
      <c r="AA41" s="682">
        <v>242000</v>
      </c>
      <c r="AB41" s="682">
        <v>264000</v>
      </c>
    </row>
    <row r="42" spans="2:33" ht="17.25" thickBot="1">
      <c r="B42" s="490" t="s">
        <v>762</v>
      </c>
      <c r="C42" s="491" t="s">
        <v>763</v>
      </c>
      <c r="D42" s="492" t="s">
        <v>1548</v>
      </c>
      <c r="E42" s="492" t="s">
        <v>765</v>
      </c>
      <c r="F42" s="492" t="s">
        <v>1554</v>
      </c>
      <c r="G42" s="492" t="s">
        <v>1552</v>
      </c>
      <c r="H42" s="492" t="s">
        <v>768</v>
      </c>
      <c r="I42" s="492" t="s">
        <v>1551</v>
      </c>
      <c r="J42" s="492" t="s">
        <v>770</v>
      </c>
      <c r="K42" s="493" t="s">
        <v>771</v>
      </c>
      <c r="L42" s="493" t="s">
        <v>771</v>
      </c>
      <c r="M42" s="499"/>
      <c r="P42" s="809" t="s">
        <v>1553</v>
      </c>
      <c r="Q42" s="560"/>
      <c r="R42" s="1943"/>
      <c r="S42" s="681" t="s">
        <v>1162</v>
      </c>
      <c r="T42" s="682">
        <v>115500</v>
      </c>
      <c r="U42" s="682">
        <v>137500</v>
      </c>
      <c r="V42" s="682">
        <v>137500</v>
      </c>
      <c r="W42" s="682">
        <v>203500</v>
      </c>
      <c r="X42" s="682">
        <v>214500</v>
      </c>
      <c r="Y42" s="682">
        <v>203500</v>
      </c>
      <c r="Z42" s="682">
        <v>214500</v>
      </c>
      <c r="AA42" s="682">
        <v>137500</v>
      </c>
      <c r="AB42" s="682">
        <v>159500</v>
      </c>
    </row>
    <row r="43" spans="2:33" ht="17.25" thickTop="1">
      <c r="B43" s="495" t="s">
        <v>813</v>
      </c>
      <c r="C43" s="496">
        <v>220000</v>
      </c>
      <c r="D43" s="497">
        <f>$C$43+D65</f>
        <v>253000</v>
      </c>
      <c r="E43" s="497">
        <f>$C43+E65</f>
        <v>265000</v>
      </c>
      <c r="F43" s="497">
        <f>C43+F65</f>
        <v>242000</v>
      </c>
      <c r="G43" s="497">
        <f>C43+G65</f>
        <v>242000</v>
      </c>
      <c r="H43" s="497">
        <f>C43+H65</f>
        <v>253000</v>
      </c>
      <c r="I43" s="497">
        <f>C43+I65</f>
        <v>265000</v>
      </c>
      <c r="J43" s="497">
        <f>C43+J65</f>
        <v>242000</v>
      </c>
      <c r="K43" s="498">
        <f>C43+K65</f>
        <v>264000</v>
      </c>
      <c r="L43" s="498">
        <f>D43+L65</f>
        <v>297000</v>
      </c>
      <c r="M43" s="499"/>
      <c r="P43" s="809" t="s">
        <v>1550</v>
      </c>
      <c r="Q43" s="560"/>
      <c r="R43" s="1943" t="s">
        <v>1163</v>
      </c>
      <c r="S43" s="681" t="s">
        <v>1164</v>
      </c>
      <c r="T43" s="682">
        <v>143000</v>
      </c>
      <c r="U43" s="682">
        <v>165000</v>
      </c>
      <c r="V43" s="682">
        <v>165000</v>
      </c>
      <c r="W43" s="682">
        <v>231000</v>
      </c>
      <c r="X43" s="682">
        <v>242000</v>
      </c>
      <c r="Y43" s="682">
        <v>231000</v>
      </c>
      <c r="Z43" s="682">
        <v>242000</v>
      </c>
      <c r="AA43" s="682">
        <v>165000</v>
      </c>
      <c r="AB43" s="682">
        <v>187000</v>
      </c>
    </row>
    <row r="44" spans="2:33">
      <c r="B44" s="506" t="s">
        <v>814</v>
      </c>
      <c r="C44" s="507">
        <v>115000</v>
      </c>
      <c r="D44" s="497">
        <f t="shared" ref="D44:D57" si="23">C44+D66</f>
        <v>203000</v>
      </c>
      <c r="E44" s="497">
        <f t="shared" ref="E44:E57" si="24">$C44+E66</f>
        <v>214000</v>
      </c>
      <c r="F44" s="497">
        <f t="shared" ref="F44:F57" si="25">C44+F66</f>
        <v>137000</v>
      </c>
      <c r="G44" s="497">
        <f t="shared" ref="G44:G57" si="26">C44+G66</f>
        <v>137000</v>
      </c>
      <c r="H44" s="497">
        <f t="shared" ref="H44:H57" si="27">C44+H66</f>
        <v>203000</v>
      </c>
      <c r="I44" s="497">
        <f t="shared" ref="I44:I57" si="28">C44+I66</f>
        <v>214000</v>
      </c>
      <c r="J44" s="497">
        <f t="shared" ref="J44:J57" si="29">C44+J66</f>
        <v>137000</v>
      </c>
      <c r="K44" s="498">
        <f t="shared" ref="K44:L57" si="30">C44+K66</f>
        <v>159000</v>
      </c>
      <c r="L44" s="498">
        <f t="shared" si="30"/>
        <v>247000</v>
      </c>
      <c r="M44" s="499"/>
      <c r="P44" s="809" t="s">
        <v>765</v>
      </c>
      <c r="Q44" s="560"/>
      <c r="R44" s="1943"/>
      <c r="S44" s="681" t="s">
        <v>1165</v>
      </c>
      <c r="T44" s="682">
        <v>110000</v>
      </c>
      <c r="U44" s="682">
        <v>132000</v>
      </c>
      <c r="V44" s="682">
        <v>132000</v>
      </c>
      <c r="W44" s="682">
        <v>198000</v>
      </c>
      <c r="X44" s="682">
        <v>209000</v>
      </c>
      <c r="Y44" s="682">
        <v>198000</v>
      </c>
      <c r="Z44" s="682">
        <v>209000</v>
      </c>
      <c r="AA44" s="682">
        <v>132000</v>
      </c>
      <c r="AB44" s="682">
        <v>154000</v>
      </c>
    </row>
    <row r="45" spans="2:33">
      <c r="B45" s="506" t="s">
        <v>885</v>
      </c>
      <c r="C45" s="507">
        <v>115000</v>
      </c>
      <c r="D45" s="497">
        <f t="shared" si="23"/>
        <v>203000</v>
      </c>
      <c r="E45" s="497">
        <f t="shared" si="24"/>
        <v>214000</v>
      </c>
      <c r="F45" s="497">
        <f t="shared" si="25"/>
        <v>137000</v>
      </c>
      <c r="G45" s="497">
        <f t="shared" si="26"/>
        <v>137000</v>
      </c>
      <c r="H45" s="497">
        <f t="shared" si="27"/>
        <v>203000</v>
      </c>
      <c r="I45" s="497">
        <f t="shared" si="28"/>
        <v>214000</v>
      </c>
      <c r="J45" s="497">
        <f t="shared" si="29"/>
        <v>137000</v>
      </c>
      <c r="K45" s="498">
        <f t="shared" si="30"/>
        <v>159000</v>
      </c>
      <c r="L45" s="498">
        <f t="shared" si="30"/>
        <v>247000</v>
      </c>
      <c r="M45" s="499"/>
      <c r="P45" s="809" t="s">
        <v>1555</v>
      </c>
      <c r="Q45" s="560"/>
      <c r="R45" s="1943"/>
      <c r="S45" s="681" t="s">
        <v>1166</v>
      </c>
      <c r="T45" s="682">
        <v>121000</v>
      </c>
      <c r="U45" s="682">
        <v>143000</v>
      </c>
      <c r="V45" s="682">
        <v>143000</v>
      </c>
      <c r="W45" s="682">
        <v>209000</v>
      </c>
      <c r="X45" s="682">
        <v>220000</v>
      </c>
      <c r="Y45" s="682">
        <v>209000</v>
      </c>
      <c r="Z45" s="682">
        <v>220000</v>
      </c>
      <c r="AA45" s="682">
        <v>143000</v>
      </c>
      <c r="AB45" s="682">
        <v>165000</v>
      </c>
    </row>
    <row r="46" spans="2:33">
      <c r="B46" s="506" t="s">
        <v>887</v>
      </c>
      <c r="C46" s="507">
        <v>187000</v>
      </c>
      <c r="D46" s="497">
        <f t="shared" si="23"/>
        <v>220000</v>
      </c>
      <c r="E46" s="497">
        <f t="shared" si="24"/>
        <v>232000</v>
      </c>
      <c r="F46" s="497">
        <f t="shared" si="25"/>
        <v>209000</v>
      </c>
      <c r="G46" s="497">
        <f t="shared" si="26"/>
        <v>209000</v>
      </c>
      <c r="H46" s="497">
        <f t="shared" si="27"/>
        <v>220000</v>
      </c>
      <c r="I46" s="497">
        <f t="shared" si="28"/>
        <v>232000</v>
      </c>
      <c r="J46" s="497">
        <f t="shared" si="29"/>
        <v>209000</v>
      </c>
      <c r="K46" s="498">
        <f t="shared" si="30"/>
        <v>231000</v>
      </c>
      <c r="L46" s="498">
        <f t="shared" si="30"/>
        <v>264000</v>
      </c>
      <c r="M46" s="499"/>
      <c r="P46" s="809" t="s">
        <v>905</v>
      </c>
      <c r="Q46" s="560"/>
      <c r="R46" s="1943"/>
      <c r="S46" s="681" t="s">
        <v>1167</v>
      </c>
      <c r="T46" s="682">
        <v>198000</v>
      </c>
      <c r="U46" s="682">
        <v>220000</v>
      </c>
      <c r="V46" s="682">
        <v>220000</v>
      </c>
      <c r="W46" s="682">
        <v>231000</v>
      </c>
      <c r="X46" s="682">
        <v>243100</v>
      </c>
      <c r="Y46" s="682">
        <v>231000</v>
      </c>
      <c r="Z46" s="682">
        <v>243100</v>
      </c>
      <c r="AA46" s="682">
        <v>220000</v>
      </c>
      <c r="AB46" s="682">
        <v>242000</v>
      </c>
    </row>
    <row r="47" spans="2:33">
      <c r="B47" s="506" t="s">
        <v>889</v>
      </c>
      <c r="C47" s="507">
        <v>121000</v>
      </c>
      <c r="D47" s="497">
        <f t="shared" si="23"/>
        <v>209000</v>
      </c>
      <c r="E47" s="497">
        <f t="shared" si="24"/>
        <v>220000</v>
      </c>
      <c r="F47" s="497">
        <f t="shared" si="25"/>
        <v>143000</v>
      </c>
      <c r="G47" s="497">
        <f t="shared" si="26"/>
        <v>143000</v>
      </c>
      <c r="H47" s="497">
        <f t="shared" si="27"/>
        <v>209000</v>
      </c>
      <c r="I47" s="497">
        <f t="shared" si="28"/>
        <v>220000</v>
      </c>
      <c r="J47" s="497">
        <f t="shared" si="29"/>
        <v>143000</v>
      </c>
      <c r="K47" s="498">
        <f t="shared" si="30"/>
        <v>165000</v>
      </c>
      <c r="L47" s="498">
        <f t="shared" si="30"/>
        <v>253000</v>
      </c>
      <c r="M47" s="499"/>
      <c r="P47" s="809" t="s">
        <v>1556</v>
      </c>
      <c r="Q47" s="560"/>
      <c r="R47" s="560"/>
      <c r="S47" s="489"/>
      <c r="T47" s="489"/>
      <c r="U47" s="489"/>
      <c r="V47" s="489"/>
      <c r="W47" s="489"/>
      <c r="X47" s="489"/>
      <c r="Y47" s="489"/>
      <c r="Z47" s="489"/>
      <c r="AA47" s="489"/>
      <c r="AB47" s="489"/>
    </row>
    <row r="48" spans="2:33" ht="17.25">
      <c r="B48" s="506" t="s">
        <v>891</v>
      </c>
      <c r="C48" s="507">
        <v>110000</v>
      </c>
      <c r="D48" s="497">
        <f t="shared" si="23"/>
        <v>198000</v>
      </c>
      <c r="E48" s="497">
        <f t="shared" si="24"/>
        <v>209000</v>
      </c>
      <c r="F48" s="497">
        <f t="shared" si="25"/>
        <v>132000</v>
      </c>
      <c r="G48" s="497">
        <f t="shared" si="26"/>
        <v>132000</v>
      </c>
      <c r="H48" s="497">
        <f t="shared" si="27"/>
        <v>198000</v>
      </c>
      <c r="I48" s="497">
        <f t="shared" si="28"/>
        <v>209000</v>
      </c>
      <c r="J48" s="497">
        <f t="shared" si="29"/>
        <v>132000</v>
      </c>
      <c r="K48" s="498">
        <f t="shared" si="30"/>
        <v>154000</v>
      </c>
      <c r="L48" s="498">
        <f t="shared" si="30"/>
        <v>242000</v>
      </c>
      <c r="M48" s="499"/>
      <c r="P48" s="809" t="s">
        <v>906</v>
      </c>
      <c r="Q48" s="680" t="s">
        <v>1171</v>
      </c>
      <c r="R48" s="560"/>
      <c r="S48" s="489"/>
      <c r="T48" s="489"/>
      <c r="U48" s="489"/>
      <c r="V48" s="489"/>
      <c r="W48" s="489"/>
      <c r="X48" s="489"/>
      <c r="Y48" s="489"/>
      <c r="Z48" s="489"/>
      <c r="AA48" s="489"/>
      <c r="AB48" s="489"/>
    </row>
    <row r="49" spans="2:28" ht="17.25" thickBot="1">
      <c r="B49" s="506" t="s">
        <v>893</v>
      </c>
      <c r="C49" s="507">
        <v>110000</v>
      </c>
      <c r="D49" s="497">
        <f t="shared" si="23"/>
        <v>198000</v>
      </c>
      <c r="E49" s="497">
        <f t="shared" si="24"/>
        <v>209000</v>
      </c>
      <c r="F49" s="497">
        <f t="shared" si="25"/>
        <v>132000</v>
      </c>
      <c r="G49" s="497">
        <f t="shared" si="26"/>
        <v>132000</v>
      </c>
      <c r="H49" s="497">
        <f t="shared" si="27"/>
        <v>198000</v>
      </c>
      <c r="I49" s="497">
        <f t="shared" si="28"/>
        <v>209000</v>
      </c>
      <c r="J49" s="497">
        <f t="shared" si="29"/>
        <v>132000</v>
      </c>
      <c r="K49" s="498">
        <f t="shared" si="30"/>
        <v>154000</v>
      </c>
      <c r="L49" s="498">
        <f t="shared" si="30"/>
        <v>242000</v>
      </c>
      <c r="M49" s="499"/>
      <c r="P49" s="820" t="s">
        <v>879</v>
      </c>
      <c r="Q49" s="560"/>
      <c r="R49" s="679" t="s">
        <v>1168</v>
      </c>
      <c r="S49" s="681" t="s">
        <v>1159</v>
      </c>
      <c r="T49" s="491" t="s">
        <v>763</v>
      </c>
      <c r="U49" s="492" t="s">
        <v>1548</v>
      </c>
      <c r="V49" s="492" t="s">
        <v>765</v>
      </c>
      <c r="W49" s="492" t="s">
        <v>1554</v>
      </c>
      <c r="X49" s="492" t="s">
        <v>1552</v>
      </c>
      <c r="Y49" s="492" t="s">
        <v>768</v>
      </c>
      <c r="Z49" s="492" t="s">
        <v>1551</v>
      </c>
      <c r="AA49" s="492" t="s">
        <v>770</v>
      </c>
      <c r="AB49" s="493" t="s">
        <v>771</v>
      </c>
    </row>
    <row r="50" spans="2:28">
      <c r="B50" s="506" t="s">
        <v>895</v>
      </c>
      <c r="C50" s="507">
        <v>143000</v>
      </c>
      <c r="D50" s="497">
        <f t="shared" si="23"/>
        <v>231000</v>
      </c>
      <c r="E50" s="497">
        <f t="shared" si="24"/>
        <v>242000</v>
      </c>
      <c r="F50" s="497">
        <f t="shared" si="25"/>
        <v>165000</v>
      </c>
      <c r="G50" s="497">
        <f t="shared" si="26"/>
        <v>165000</v>
      </c>
      <c r="H50" s="497">
        <f t="shared" si="27"/>
        <v>231000</v>
      </c>
      <c r="I50" s="497">
        <f t="shared" si="28"/>
        <v>242000</v>
      </c>
      <c r="J50" s="497">
        <f t="shared" si="29"/>
        <v>165000</v>
      </c>
      <c r="K50" s="498">
        <f t="shared" si="30"/>
        <v>187000</v>
      </c>
      <c r="L50" s="498">
        <f t="shared" si="30"/>
        <v>275000</v>
      </c>
      <c r="M50" s="499"/>
      <c r="Q50" s="560"/>
      <c r="R50" s="1943" t="s">
        <v>1160</v>
      </c>
      <c r="S50" s="681" t="s">
        <v>1161</v>
      </c>
      <c r="T50" s="683">
        <v>220000</v>
      </c>
      <c r="U50" s="683">
        <v>242000</v>
      </c>
      <c r="V50" s="683">
        <v>242000</v>
      </c>
      <c r="W50" s="683">
        <v>253000</v>
      </c>
      <c r="X50" s="684">
        <v>265000</v>
      </c>
      <c r="Y50" s="683">
        <v>253000</v>
      </c>
      <c r="Z50" s="684">
        <v>265000</v>
      </c>
      <c r="AA50" s="683">
        <v>242000</v>
      </c>
      <c r="AB50" s="683">
        <v>264000</v>
      </c>
    </row>
    <row r="51" spans="2:28">
      <c r="B51" s="506" t="s">
        <v>896</v>
      </c>
      <c r="C51" s="507">
        <v>143000</v>
      </c>
      <c r="D51" s="497">
        <f t="shared" si="23"/>
        <v>231000</v>
      </c>
      <c r="E51" s="497">
        <f t="shared" si="24"/>
        <v>242000</v>
      </c>
      <c r="F51" s="497">
        <f t="shared" si="25"/>
        <v>165000</v>
      </c>
      <c r="G51" s="497">
        <f t="shared" si="26"/>
        <v>165000</v>
      </c>
      <c r="H51" s="497">
        <f t="shared" si="27"/>
        <v>231000</v>
      </c>
      <c r="I51" s="497">
        <f t="shared" si="28"/>
        <v>242000</v>
      </c>
      <c r="J51" s="497">
        <f t="shared" si="29"/>
        <v>165000</v>
      </c>
      <c r="K51" s="498">
        <f t="shared" si="30"/>
        <v>187000</v>
      </c>
      <c r="L51" s="498">
        <f t="shared" si="30"/>
        <v>275000</v>
      </c>
      <c r="M51" s="499"/>
      <c r="Q51" s="560"/>
      <c r="R51" s="1943"/>
      <c r="S51" s="681" t="s">
        <v>814</v>
      </c>
      <c r="T51" s="683">
        <v>115500</v>
      </c>
      <c r="U51" s="683">
        <v>137500</v>
      </c>
      <c r="V51" s="683">
        <v>137500</v>
      </c>
      <c r="W51" s="684">
        <v>195000</v>
      </c>
      <c r="X51" s="683">
        <v>214500</v>
      </c>
      <c r="Y51" s="684">
        <v>195000</v>
      </c>
      <c r="Z51" s="683">
        <v>214500</v>
      </c>
      <c r="AA51" s="683">
        <v>137500</v>
      </c>
      <c r="AB51" s="683">
        <v>159500</v>
      </c>
    </row>
    <row r="52" spans="2:28">
      <c r="B52" s="506" t="s">
        <v>822</v>
      </c>
      <c r="C52" s="507">
        <v>198000</v>
      </c>
      <c r="D52" s="497">
        <f t="shared" si="23"/>
        <v>231000</v>
      </c>
      <c r="E52" s="497">
        <f t="shared" si="24"/>
        <v>243000</v>
      </c>
      <c r="F52" s="497">
        <f t="shared" si="25"/>
        <v>220000</v>
      </c>
      <c r="G52" s="497">
        <f t="shared" si="26"/>
        <v>220000</v>
      </c>
      <c r="H52" s="497">
        <f t="shared" si="27"/>
        <v>231000</v>
      </c>
      <c r="I52" s="497">
        <f t="shared" si="28"/>
        <v>243000</v>
      </c>
      <c r="J52" s="497">
        <f t="shared" si="29"/>
        <v>220000</v>
      </c>
      <c r="K52" s="498">
        <f t="shared" si="30"/>
        <v>242000</v>
      </c>
      <c r="L52" s="498">
        <f t="shared" si="30"/>
        <v>275000</v>
      </c>
      <c r="M52" s="499"/>
      <c r="Q52" s="560"/>
      <c r="R52" s="1943" t="s">
        <v>1169</v>
      </c>
      <c r="S52" s="681" t="s">
        <v>895</v>
      </c>
      <c r="T52" s="683">
        <v>143000</v>
      </c>
      <c r="U52" s="684">
        <v>155000</v>
      </c>
      <c r="V52" s="684">
        <v>155000</v>
      </c>
      <c r="W52" s="683">
        <v>231000</v>
      </c>
      <c r="X52" s="683">
        <v>242000</v>
      </c>
      <c r="Y52" s="683">
        <v>231000</v>
      </c>
      <c r="Z52" s="683">
        <v>242000</v>
      </c>
      <c r="AA52" s="683">
        <v>165000</v>
      </c>
      <c r="AB52" s="683">
        <v>187000</v>
      </c>
    </row>
    <row r="53" spans="2:28">
      <c r="B53" s="561" t="s">
        <v>897</v>
      </c>
      <c r="C53" s="562">
        <v>121000</v>
      </c>
      <c r="D53" s="497">
        <f t="shared" si="23"/>
        <v>209000</v>
      </c>
      <c r="E53" s="497">
        <f t="shared" si="24"/>
        <v>220000</v>
      </c>
      <c r="F53" s="497">
        <f t="shared" si="25"/>
        <v>143000</v>
      </c>
      <c r="G53" s="497">
        <f t="shared" si="26"/>
        <v>143000</v>
      </c>
      <c r="H53" s="497">
        <f t="shared" si="27"/>
        <v>209000</v>
      </c>
      <c r="I53" s="497">
        <f t="shared" si="28"/>
        <v>220000</v>
      </c>
      <c r="J53" s="497">
        <f t="shared" si="29"/>
        <v>143000</v>
      </c>
      <c r="K53" s="498">
        <f t="shared" si="30"/>
        <v>165000</v>
      </c>
      <c r="L53" s="498">
        <f t="shared" si="30"/>
        <v>253000</v>
      </c>
      <c r="M53" s="499"/>
      <c r="Q53" s="560"/>
      <c r="R53" s="1943"/>
      <c r="S53" s="681" t="s">
        <v>820</v>
      </c>
      <c r="T53" s="685">
        <v>145000</v>
      </c>
      <c r="U53" s="685">
        <v>155000</v>
      </c>
      <c r="V53" s="685">
        <v>155000</v>
      </c>
      <c r="W53" s="685">
        <v>235000</v>
      </c>
      <c r="X53" s="685">
        <v>245000</v>
      </c>
      <c r="Y53" s="685">
        <v>235000</v>
      </c>
      <c r="Z53" s="685">
        <v>245000</v>
      </c>
      <c r="AA53" s="685">
        <v>180000</v>
      </c>
      <c r="AB53" s="685">
        <v>190000</v>
      </c>
    </row>
    <row r="54" spans="2:28">
      <c r="B54" s="561" t="s">
        <v>898</v>
      </c>
      <c r="C54" s="562">
        <v>187000</v>
      </c>
      <c r="D54" s="497">
        <f t="shared" si="23"/>
        <v>220000</v>
      </c>
      <c r="E54" s="497">
        <f t="shared" si="24"/>
        <v>232000</v>
      </c>
      <c r="F54" s="497">
        <f t="shared" si="25"/>
        <v>209000</v>
      </c>
      <c r="G54" s="497">
        <f t="shared" si="26"/>
        <v>209000</v>
      </c>
      <c r="H54" s="497">
        <f t="shared" si="27"/>
        <v>220000</v>
      </c>
      <c r="I54" s="497">
        <f t="shared" si="28"/>
        <v>232000</v>
      </c>
      <c r="J54" s="497">
        <f t="shared" si="29"/>
        <v>209000</v>
      </c>
      <c r="K54" s="498">
        <f t="shared" si="30"/>
        <v>231000</v>
      </c>
      <c r="L54" s="498">
        <f t="shared" si="30"/>
        <v>264000</v>
      </c>
      <c r="M54" s="499"/>
      <c r="Q54" s="560"/>
      <c r="R54" s="1943"/>
      <c r="S54" s="681" t="s">
        <v>1170</v>
      </c>
      <c r="T54" s="683">
        <v>121000</v>
      </c>
      <c r="U54" s="683">
        <v>143000</v>
      </c>
      <c r="V54" s="683">
        <v>143000</v>
      </c>
      <c r="W54" s="684">
        <v>195000</v>
      </c>
      <c r="X54" s="684">
        <v>215000</v>
      </c>
      <c r="Y54" s="684">
        <v>195000</v>
      </c>
      <c r="Z54" s="684">
        <v>215000</v>
      </c>
      <c r="AA54" s="683">
        <v>143000</v>
      </c>
      <c r="AB54" s="683">
        <v>165000</v>
      </c>
    </row>
    <row r="55" spans="2:28">
      <c r="B55" s="561" t="s">
        <v>899</v>
      </c>
      <c r="C55" s="562">
        <v>220000</v>
      </c>
      <c r="D55" s="497">
        <f t="shared" si="23"/>
        <v>253000</v>
      </c>
      <c r="E55" s="497">
        <f t="shared" si="24"/>
        <v>265000</v>
      </c>
      <c r="F55" s="497">
        <f t="shared" si="25"/>
        <v>242000</v>
      </c>
      <c r="G55" s="497">
        <f t="shared" si="26"/>
        <v>242000</v>
      </c>
      <c r="H55" s="497">
        <f t="shared" si="27"/>
        <v>253000</v>
      </c>
      <c r="I55" s="497">
        <f t="shared" si="28"/>
        <v>265000</v>
      </c>
      <c r="J55" s="497">
        <f t="shared" si="29"/>
        <v>242000</v>
      </c>
      <c r="K55" s="498">
        <f t="shared" si="30"/>
        <v>264000</v>
      </c>
      <c r="L55" s="498">
        <f t="shared" si="30"/>
        <v>297000</v>
      </c>
      <c r="M55" s="499"/>
      <c r="Q55" s="560"/>
      <c r="R55" s="1943"/>
      <c r="S55" s="681" t="s">
        <v>822</v>
      </c>
      <c r="T55" s="684">
        <v>187000</v>
      </c>
      <c r="U55" s="684">
        <v>215000</v>
      </c>
      <c r="V55" s="684">
        <v>215000</v>
      </c>
      <c r="W55" s="683">
        <v>231000</v>
      </c>
      <c r="X55" s="683">
        <v>243100</v>
      </c>
      <c r="Y55" s="683">
        <v>231000</v>
      </c>
      <c r="Z55" s="683">
        <v>243100</v>
      </c>
      <c r="AA55" s="683">
        <v>220000</v>
      </c>
      <c r="AB55" s="683">
        <v>242000</v>
      </c>
    </row>
    <row r="56" spans="2:28">
      <c r="B56" s="561" t="s">
        <v>900</v>
      </c>
      <c r="C56" s="562">
        <v>220000</v>
      </c>
      <c r="D56" s="497">
        <f t="shared" si="23"/>
        <v>253000</v>
      </c>
      <c r="E56" s="497">
        <f t="shared" si="24"/>
        <v>265000</v>
      </c>
      <c r="F56" s="497">
        <f t="shared" si="25"/>
        <v>242000</v>
      </c>
      <c r="G56" s="497">
        <f t="shared" si="26"/>
        <v>242000</v>
      </c>
      <c r="H56" s="497">
        <f t="shared" si="27"/>
        <v>253000</v>
      </c>
      <c r="I56" s="497">
        <f t="shared" si="28"/>
        <v>265000</v>
      </c>
      <c r="J56" s="497">
        <f t="shared" si="29"/>
        <v>242000</v>
      </c>
      <c r="K56" s="498">
        <f t="shared" si="30"/>
        <v>264000</v>
      </c>
      <c r="L56" s="498">
        <f t="shared" si="30"/>
        <v>297000</v>
      </c>
      <c r="M56" s="499"/>
    </row>
    <row r="57" spans="2:28" ht="17.25" thickBot="1">
      <c r="B57" s="512" t="s">
        <v>901</v>
      </c>
      <c r="C57" s="513">
        <v>110000</v>
      </c>
      <c r="D57" s="514">
        <f t="shared" si="23"/>
        <v>198000</v>
      </c>
      <c r="E57" s="514">
        <f t="shared" si="24"/>
        <v>209000</v>
      </c>
      <c r="F57" s="514">
        <f t="shared" si="25"/>
        <v>132000</v>
      </c>
      <c r="G57" s="514">
        <f t="shared" si="26"/>
        <v>132000</v>
      </c>
      <c r="H57" s="514">
        <f t="shared" si="27"/>
        <v>198000</v>
      </c>
      <c r="I57" s="514">
        <f t="shared" si="28"/>
        <v>209000</v>
      </c>
      <c r="J57" s="514">
        <f t="shared" si="29"/>
        <v>132000</v>
      </c>
      <c r="K57" s="515">
        <f t="shared" si="30"/>
        <v>154000</v>
      </c>
      <c r="L57" s="515">
        <f t="shared" si="30"/>
        <v>242000</v>
      </c>
      <c r="M57" s="499"/>
    </row>
    <row r="58" spans="2:28">
      <c r="M58" s="499"/>
    </row>
    <row r="59" spans="2:28">
      <c r="B59" s="563" t="s">
        <v>902</v>
      </c>
      <c r="M59" s="499"/>
    </row>
    <row r="60" spans="2:28" ht="17.25" thickBot="1">
      <c r="B60" s="490" t="s">
        <v>762</v>
      </c>
      <c r="C60" s="491" t="s">
        <v>763</v>
      </c>
      <c r="D60" s="492" t="s">
        <v>1548</v>
      </c>
      <c r="E60" s="492" t="s">
        <v>765</v>
      </c>
      <c r="F60" s="492" t="s">
        <v>1554</v>
      </c>
      <c r="G60" s="492" t="s">
        <v>1552</v>
      </c>
      <c r="H60" s="492" t="s">
        <v>768</v>
      </c>
      <c r="I60" s="492" t="s">
        <v>1551</v>
      </c>
      <c r="J60" s="492" t="s">
        <v>770</v>
      </c>
      <c r="K60" s="493" t="s">
        <v>771</v>
      </c>
      <c r="L60" s="493" t="s">
        <v>771</v>
      </c>
      <c r="M60" s="499"/>
    </row>
    <row r="61" spans="2:28" ht="17.25" thickTop="1">
      <c r="B61" s="564" t="s">
        <v>908</v>
      </c>
      <c r="C61" s="565">
        <v>77000</v>
      </c>
      <c r="D61" s="566">
        <v>142000</v>
      </c>
      <c r="E61" s="566">
        <v>187000</v>
      </c>
      <c r="F61" s="566">
        <v>81000</v>
      </c>
      <c r="G61" s="566">
        <v>77000</v>
      </c>
      <c r="H61" s="566">
        <v>121000</v>
      </c>
      <c r="I61" s="566">
        <v>187000</v>
      </c>
      <c r="J61" s="566">
        <v>142000</v>
      </c>
      <c r="K61" s="566">
        <v>187000</v>
      </c>
      <c r="L61" s="566">
        <v>187000</v>
      </c>
      <c r="M61" s="499"/>
    </row>
    <row r="62" spans="2:28">
      <c r="M62" s="499"/>
    </row>
    <row r="63" spans="2:28">
      <c r="M63" s="499"/>
    </row>
    <row r="64" spans="2:28" ht="17.25" thickBot="1">
      <c r="C64" s="490" t="s">
        <v>762</v>
      </c>
      <c r="D64" s="492" t="s">
        <v>766</v>
      </c>
      <c r="E64" s="492" t="s">
        <v>909</v>
      </c>
      <c r="F64" s="492" t="s">
        <v>910</v>
      </c>
      <c r="G64" s="492" t="s">
        <v>904</v>
      </c>
      <c r="H64" s="492" t="s">
        <v>878</v>
      </c>
      <c r="I64" s="492" t="s">
        <v>769</v>
      </c>
      <c r="J64" s="492" t="s">
        <v>906</v>
      </c>
      <c r="K64" s="493" t="s">
        <v>907</v>
      </c>
      <c r="L64" s="493" t="s">
        <v>771</v>
      </c>
      <c r="M64" s="499"/>
    </row>
    <row r="65" spans="3:13" ht="17.25" thickTop="1">
      <c r="C65" s="495" t="s">
        <v>908</v>
      </c>
      <c r="D65" s="497">
        <v>33000</v>
      </c>
      <c r="E65" s="497">
        <v>45000</v>
      </c>
      <c r="F65" s="497">
        <v>22000</v>
      </c>
      <c r="G65" s="497">
        <v>22000</v>
      </c>
      <c r="H65" s="497">
        <v>33000</v>
      </c>
      <c r="I65" s="497">
        <v>45000</v>
      </c>
      <c r="J65" s="497">
        <v>22000</v>
      </c>
      <c r="K65" s="498">
        <v>44000</v>
      </c>
      <c r="L65" s="498">
        <v>44000</v>
      </c>
      <c r="M65" s="499"/>
    </row>
    <row r="66" spans="3:13">
      <c r="C66" s="506" t="s">
        <v>911</v>
      </c>
      <c r="D66" s="508">
        <v>88000</v>
      </c>
      <c r="E66" s="508">
        <v>99000</v>
      </c>
      <c r="F66" s="497">
        <v>22000</v>
      </c>
      <c r="G66" s="497">
        <v>22000</v>
      </c>
      <c r="H66" s="508">
        <v>88000</v>
      </c>
      <c r="I66" s="508">
        <v>99000</v>
      </c>
      <c r="J66" s="497">
        <v>22000</v>
      </c>
      <c r="K66" s="498">
        <v>44000</v>
      </c>
      <c r="L66" s="498">
        <v>44000</v>
      </c>
      <c r="M66" s="499"/>
    </row>
    <row r="67" spans="3:13">
      <c r="C67" s="506" t="s">
        <v>912</v>
      </c>
      <c r="D67" s="508">
        <v>88000</v>
      </c>
      <c r="E67" s="508">
        <v>99000</v>
      </c>
      <c r="F67" s="497">
        <v>22000</v>
      </c>
      <c r="G67" s="497">
        <v>22000</v>
      </c>
      <c r="H67" s="508">
        <v>88000</v>
      </c>
      <c r="I67" s="508">
        <v>99000</v>
      </c>
      <c r="J67" s="497">
        <v>22000</v>
      </c>
      <c r="K67" s="498">
        <v>44000</v>
      </c>
      <c r="L67" s="498">
        <v>44000</v>
      </c>
      <c r="M67" s="499"/>
    </row>
    <row r="68" spans="3:13">
      <c r="C68" s="506" t="s">
        <v>913</v>
      </c>
      <c r="D68" s="508">
        <v>33000</v>
      </c>
      <c r="E68" s="508">
        <v>45000</v>
      </c>
      <c r="F68" s="497">
        <v>22000</v>
      </c>
      <c r="G68" s="497">
        <v>22000</v>
      </c>
      <c r="H68" s="508">
        <v>33000</v>
      </c>
      <c r="I68" s="508">
        <v>45000</v>
      </c>
      <c r="J68" s="497">
        <v>22000</v>
      </c>
      <c r="K68" s="498">
        <v>44000</v>
      </c>
      <c r="L68" s="498">
        <v>44000</v>
      </c>
      <c r="M68" s="499"/>
    </row>
    <row r="69" spans="3:13">
      <c r="C69" s="506" t="s">
        <v>914</v>
      </c>
      <c r="D69" s="508">
        <v>88000</v>
      </c>
      <c r="E69" s="508">
        <v>99000</v>
      </c>
      <c r="F69" s="497">
        <v>22000</v>
      </c>
      <c r="G69" s="497">
        <v>22000</v>
      </c>
      <c r="H69" s="508">
        <v>88000</v>
      </c>
      <c r="I69" s="508">
        <v>99000</v>
      </c>
      <c r="J69" s="497">
        <v>22000</v>
      </c>
      <c r="K69" s="498">
        <v>44000</v>
      </c>
      <c r="L69" s="498">
        <v>44000</v>
      </c>
      <c r="M69" s="499"/>
    </row>
    <row r="70" spans="3:13">
      <c r="C70" s="506" t="s">
        <v>915</v>
      </c>
      <c r="D70" s="508">
        <v>88000</v>
      </c>
      <c r="E70" s="508">
        <v>99000</v>
      </c>
      <c r="F70" s="497">
        <v>22000</v>
      </c>
      <c r="G70" s="497">
        <v>22000</v>
      </c>
      <c r="H70" s="508">
        <v>88000</v>
      </c>
      <c r="I70" s="508">
        <v>99000</v>
      </c>
      <c r="J70" s="497">
        <v>22000</v>
      </c>
      <c r="K70" s="498">
        <v>44000</v>
      </c>
      <c r="L70" s="498">
        <v>44000</v>
      </c>
      <c r="M70" s="499"/>
    </row>
    <row r="71" spans="3:13">
      <c r="C71" s="506" t="s">
        <v>916</v>
      </c>
      <c r="D71" s="508">
        <v>88000</v>
      </c>
      <c r="E71" s="508">
        <v>99000</v>
      </c>
      <c r="F71" s="497">
        <v>22000</v>
      </c>
      <c r="G71" s="497">
        <v>22000</v>
      </c>
      <c r="H71" s="508">
        <v>88000</v>
      </c>
      <c r="I71" s="508">
        <v>99000</v>
      </c>
      <c r="J71" s="497">
        <v>22000</v>
      </c>
      <c r="K71" s="498">
        <v>44000</v>
      </c>
      <c r="L71" s="498">
        <v>44000</v>
      </c>
      <c r="M71" s="499"/>
    </row>
    <row r="72" spans="3:13">
      <c r="C72" s="506" t="s">
        <v>917</v>
      </c>
      <c r="D72" s="508">
        <v>88000</v>
      </c>
      <c r="E72" s="508">
        <v>99000</v>
      </c>
      <c r="F72" s="497">
        <v>22000</v>
      </c>
      <c r="G72" s="497">
        <v>22000</v>
      </c>
      <c r="H72" s="508">
        <v>88000</v>
      </c>
      <c r="I72" s="508">
        <v>99000</v>
      </c>
      <c r="J72" s="497">
        <v>22000</v>
      </c>
      <c r="K72" s="498">
        <v>44000</v>
      </c>
      <c r="L72" s="498">
        <v>44000</v>
      </c>
      <c r="M72" s="499"/>
    </row>
    <row r="73" spans="3:13">
      <c r="C73" s="506" t="s">
        <v>918</v>
      </c>
      <c r="D73" s="508">
        <v>88000</v>
      </c>
      <c r="E73" s="508">
        <v>99000</v>
      </c>
      <c r="F73" s="497">
        <v>22000</v>
      </c>
      <c r="G73" s="497">
        <v>22000</v>
      </c>
      <c r="H73" s="508">
        <v>88000</v>
      </c>
      <c r="I73" s="508">
        <v>99000</v>
      </c>
      <c r="J73" s="497">
        <v>22000</v>
      </c>
      <c r="K73" s="498">
        <v>44000</v>
      </c>
      <c r="L73" s="498">
        <v>44000</v>
      </c>
      <c r="M73" s="499"/>
    </row>
    <row r="74" spans="3:13">
      <c r="C74" s="506" t="s">
        <v>919</v>
      </c>
      <c r="D74" s="508">
        <v>33000</v>
      </c>
      <c r="E74" s="508">
        <v>45000</v>
      </c>
      <c r="F74" s="497">
        <v>22000</v>
      </c>
      <c r="G74" s="497">
        <v>22000</v>
      </c>
      <c r="H74" s="508">
        <v>33000</v>
      </c>
      <c r="I74" s="508">
        <v>45000</v>
      </c>
      <c r="J74" s="497">
        <v>22000</v>
      </c>
      <c r="K74" s="498">
        <v>44000</v>
      </c>
      <c r="L74" s="498">
        <v>44000</v>
      </c>
      <c r="M74" s="499"/>
    </row>
    <row r="75" spans="3:13">
      <c r="C75" s="561" t="s">
        <v>920</v>
      </c>
      <c r="D75" s="567">
        <v>88000</v>
      </c>
      <c r="E75" s="567">
        <v>99000</v>
      </c>
      <c r="F75" s="497">
        <v>22000</v>
      </c>
      <c r="G75" s="497">
        <v>22000</v>
      </c>
      <c r="H75" s="567">
        <v>88000</v>
      </c>
      <c r="I75" s="567">
        <v>99000</v>
      </c>
      <c r="J75" s="497">
        <v>22000</v>
      </c>
      <c r="K75" s="498">
        <v>44000</v>
      </c>
      <c r="L75" s="498">
        <v>44000</v>
      </c>
      <c r="M75" s="499"/>
    </row>
    <row r="76" spans="3:13">
      <c r="C76" s="561" t="s">
        <v>898</v>
      </c>
      <c r="D76" s="567">
        <v>33000</v>
      </c>
      <c r="E76" s="567">
        <v>45000</v>
      </c>
      <c r="F76" s="497">
        <v>22000</v>
      </c>
      <c r="G76" s="497">
        <v>22000</v>
      </c>
      <c r="H76" s="567">
        <v>33000</v>
      </c>
      <c r="I76" s="567">
        <v>45000</v>
      </c>
      <c r="J76" s="497">
        <v>22000</v>
      </c>
      <c r="K76" s="498">
        <v>44000</v>
      </c>
      <c r="L76" s="498">
        <v>44000</v>
      </c>
      <c r="M76" s="499"/>
    </row>
    <row r="77" spans="3:13">
      <c r="C77" s="561" t="s">
        <v>921</v>
      </c>
      <c r="D77" s="567">
        <v>33000</v>
      </c>
      <c r="E77" s="567">
        <v>45000</v>
      </c>
      <c r="F77" s="497">
        <v>22000</v>
      </c>
      <c r="G77" s="497">
        <v>22000</v>
      </c>
      <c r="H77" s="567">
        <v>33000</v>
      </c>
      <c r="I77" s="567">
        <v>45000</v>
      </c>
      <c r="J77" s="497">
        <v>22000</v>
      </c>
      <c r="K77" s="498">
        <v>44000</v>
      </c>
      <c r="L77" s="498">
        <v>44000</v>
      </c>
      <c r="M77" s="499"/>
    </row>
    <row r="78" spans="3:13">
      <c r="C78" s="561" t="s">
        <v>535</v>
      </c>
      <c r="D78" s="567">
        <v>33000</v>
      </c>
      <c r="E78" s="567">
        <v>45000</v>
      </c>
      <c r="F78" s="497">
        <v>22000</v>
      </c>
      <c r="G78" s="497">
        <v>22000</v>
      </c>
      <c r="H78" s="567">
        <v>33000</v>
      </c>
      <c r="I78" s="567">
        <v>45000</v>
      </c>
      <c r="J78" s="497">
        <v>22000</v>
      </c>
      <c r="K78" s="498">
        <v>44000</v>
      </c>
      <c r="L78" s="498">
        <v>44000</v>
      </c>
      <c r="M78" s="499"/>
    </row>
    <row r="79" spans="3:13" ht="17.25" thickBot="1">
      <c r="C79" s="512" t="s">
        <v>901</v>
      </c>
      <c r="D79" s="514">
        <v>88000</v>
      </c>
      <c r="E79" s="514">
        <v>99000</v>
      </c>
      <c r="F79" s="514">
        <v>22000</v>
      </c>
      <c r="G79" s="514">
        <v>22000</v>
      </c>
      <c r="H79" s="514">
        <v>88000</v>
      </c>
      <c r="I79" s="514">
        <v>99000</v>
      </c>
      <c r="J79" s="514">
        <v>22000</v>
      </c>
      <c r="K79" s="515">
        <v>44000</v>
      </c>
      <c r="L79" s="515">
        <v>44000</v>
      </c>
      <c r="M79" s="499"/>
    </row>
    <row r="80" spans="3:13">
      <c r="M80" s="499"/>
    </row>
    <row r="81" spans="2:13" ht="17.25" thickBot="1">
      <c r="B81" s="568" t="s">
        <v>762</v>
      </c>
      <c r="C81" s="491" t="s">
        <v>763</v>
      </c>
      <c r="D81" s="492" t="s">
        <v>1548</v>
      </c>
      <c r="E81" s="492" t="s">
        <v>765</v>
      </c>
      <c r="F81" s="492" t="s">
        <v>1554</v>
      </c>
      <c r="G81" s="492" t="s">
        <v>1552</v>
      </c>
      <c r="H81" s="492" t="s">
        <v>768</v>
      </c>
      <c r="I81" s="492" t="s">
        <v>1551</v>
      </c>
      <c r="J81" s="492" t="s">
        <v>770</v>
      </c>
      <c r="K81" s="493" t="s">
        <v>771</v>
      </c>
      <c r="L81" s="493" t="s">
        <v>771</v>
      </c>
      <c r="M81" s="499"/>
    </row>
    <row r="82" spans="2:13" ht="17.25" thickTop="1">
      <c r="B82" s="568" t="s">
        <v>777</v>
      </c>
      <c r="C82" s="569">
        <v>220000</v>
      </c>
      <c r="D82" s="569">
        <v>253000</v>
      </c>
      <c r="E82" s="569">
        <v>265000</v>
      </c>
      <c r="F82" s="569">
        <v>242000</v>
      </c>
      <c r="G82" s="569">
        <v>242000</v>
      </c>
      <c r="H82" s="569">
        <v>253000</v>
      </c>
      <c r="I82" s="569">
        <v>265000</v>
      </c>
      <c r="J82" s="569">
        <v>242000</v>
      </c>
      <c r="K82" s="569">
        <v>264000</v>
      </c>
      <c r="L82" s="569">
        <v>264000</v>
      </c>
      <c r="M82" s="499"/>
    </row>
    <row r="83" spans="2:13">
      <c r="B83" s="568" t="s">
        <v>780</v>
      </c>
      <c r="C83" s="569">
        <v>115000</v>
      </c>
      <c r="D83" s="569">
        <v>203000</v>
      </c>
      <c r="E83" s="569">
        <v>214000</v>
      </c>
      <c r="F83" s="569">
        <v>137000</v>
      </c>
      <c r="G83" s="569">
        <v>137000</v>
      </c>
      <c r="H83" s="569">
        <v>203000</v>
      </c>
      <c r="I83" s="569">
        <v>214000</v>
      </c>
      <c r="J83" s="569">
        <v>137000</v>
      </c>
      <c r="K83" s="569">
        <v>159000</v>
      </c>
      <c r="L83" s="569">
        <v>159000</v>
      </c>
      <c r="M83" s="499"/>
    </row>
    <row r="84" spans="2:13">
      <c r="B84" s="568" t="s">
        <v>922</v>
      </c>
      <c r="C84" s="569">
        <v>115000</v>
      </c>
      <c r="D84" s="569">
        <v>203000</v>
      </c>
      <c r="E84" s="569">
        <v>214000</v>
      </c>
      <c r="F84" s="569">
        <v>137000</v>
      </c>
      <c r="G84" s="569">
        <v>137000</v>
      </c>
      <c r="H84" s="569">
        <v>203000</v>
      </c>
      <c r="I84" s="569">
        <v>214000</v>
      </c>
      <c r="J84" s="569">
        <v>137000</v>
      </c>
      <c r="K84" s="569">
        <v>159000</v>
      </c>
      <c r="L84" s="569">
        <v>159000</v>
      </c>
      <c r="M84" s="499"/>
    </row>
    <row r="85" spans="2:13">
      <c r="B85" s="568" t="s">
        <v>923</v>
      </c>
      <c r="C85" s="569">
        <v>187000</v>
      </c>
      <c r="D85" s="569">
        <v>220000</v>
      </c>
      <c r="E85" s="569">
        <v>232000</v>
      </c>
      <c r="F85" s="569">
        <v>209000</v>
      </c>
      <c r="G85" s="569">
        <v>209000</v>
      </c>
      <c r="H85" s="569">
        <v>220000</v>
      </c>
      <c r="I85" s="569">
        <v>232000</v>
      </c>
      <c r="J85" s="569">
        <v>209000</v>
      </c>
      <c r="K85" s="569">
        <v>231000</v>
      </c>
      <c r="L85" s="569">
        <v>231000</v>
      </c>
      <c r="M85" s="499"/>
    </row>
    <row r="86" spans="2:13">
      <c r="B86" s="568" t="s">
        <v>789</v>
      </c>
      <c r="C86" s="569">
        <v>121000</v>
      </c>
      <c r="D86" s="569">
        <v>209000</v>
      </c>
      <c r="E86" s="569">
        <v>220000</v>
      </c>
      <c r="F86" s="569">
        <v>143000</v>
      </c>
      <c r="G86" s="569">
        <v>143000</v>
      </c>
      <c r="H86" s="569">
        <v>209000</v>
      </c>
      <c r="I86" s="569">
        <v>220000</v>
      </c>
      <c r="J86" s="569">
        <v>143000</v>
      </c>
      <c r="K86" s="569">
        <v>165000</v>
      </c>
      <c r="L86" s="569">
        <v>165000</v>
      </c>
      <c r="M86" s="499"/>
    </row>
    <row r="87" spans="2:13">
      <c r="B87" s="568" t="s">
        <v>786</v>
      </c>
      <c r="C87" s="569">
        <v>110000</v>
      </c>
      <c r="D87" s="569">
        <v>198000</v>
      </c>
      <c r="E87" s="569">
        <v>209000</v>
      </c>
      <c r="F87" s="569">
        <v>132000</v>
      </c>
      <c r="G87" s="569">
        <v>132000</v>
      </c>
      <c r="H87" s="569">
        <v>198000</v>
      </c>
      <c r="I87" s="569">
        <v>209000</v>
      </c>
      <c r="J87" s="569">
        <v>132000</v>
      </c>
      <c r="K87" s="569">
        <v>154000</v>
      </c>
      <c r="L87" s="569">
        <v>154000</v>
      </c>
      <c r="M87" s="499"/>
    </row>
    <row r="88" spans="2:13">
      <c r="B88" s="568" t="s">
        <v>924</v>
      </c>
      <c r="C88" s="569">
        <v>110000</v>
      </c>
      <c r="D88" s="569">
        <v>198000</v>
      </c>
      <c r="E88" s="569">
        <v>209000</v>
      </c>
      <c r="F88" s="569">
        <v>132000</v>
      </c>
      <c r="G88" s="569">
        <v>132000</v>
      </c>
      <c r="H88" s="569">
        <v>198000</v>
      </c>
      <c r="I88" s="569">
        <v>209000</v>
      </c>
      <c r="J88" s="569">
        <v>132000</v>
      </c>
      <c r="K88" s="569">
        <v>154000</v>
      </c>
      <c r="L88" s="569">
        <v>154000</v>
      </c>
      <c r="M88" s="499"/>
    </row>
    <row r="89" spans="2:13">
      <c r="B89" s="568" t="s">
        <v>783</v>
      </c>
      <c r="C89" s="569">
        <v>143000</v>
      </c>
      <c r="D89" s="569">
        <v>231000</v>
      </c>
      <c r="E89" s="569">
        <v>242000</v>
      </c>
      <c r="F89" s="569">
        <v>165000</v>
      </c>
      <c r="G89" s="569">
        <v>165000</v>
      </c>
      <c r="H89" s="569">
        <v>231000</v>
      </c>
      <c r="I89" s="569">
        <v>242000</v>
      </c>
      <c r="J89" s="569">
        <v>165000</v>
      </c>
      <c r="K89" s="569">
        <v>187000</v>
      </c>
      <c r="L89" s="569">
        <v>187000</v>
      </c>
      <c r="M89" s="499"/>
    </row>
    <row r="90" spans="2:13">
      <c r="B90" s="568" t="s">
        <v>925</v>
      </c>
      <c r="C90" s="569">
        <v>143000</v>
      </c>
      <c r="D90" s="569">
        <v>231000</v>
      </c>
      <c r="E90" s="569">
        <v>242000</v>
      </c>
      <c r="F90" s="569">
        <v>165000</v>
      </c>
      <c r="G90" s="569">
        <v>165000</v>
      </c>
      <c r="H90" s="569">
        <v>231000</v>
      </c>
      <c r="I90" s="569">
        <v>242000</v>
      </c>
      <c r="J90" s="569">
        <v>165000</v>
      </c>
      <c r="K90" s="569">
        <v>187000</v>
      </c>
      <c r="L90" s="569">
        <v>187000</v>
      </c>
      <c r="M90" s="499"/>
    </row>
    <row r="91" spans="2:13">
      <c r="B91" s="568" t="s">
        <v>792</v>
      </c>
      <c r="C91" s="569">
        <v>198000</v>
      </c>
      <c r="D91" s="569">
        <v>231000</v>
      </c>
      <c r="E91" s="569">
        <v>243000</v>
      </c>
      <c r="F91" s="569">
        <v>220000</v>
      </c>
      <c r="G91" s="569">
        <v>220000</v>
      </c>
      <c r="H91" s="569">
        <v>231000</v>
      </c>
      <c r="I91" s="569">
        <v>243000</v>
      </c>
      <c r="J91" s="569">
        <v>220000</v>
      </c>
      <c r="K91" s="569">
        <v>242000</v>
      </c>
      <c r="L91" s="569">
        <v>242000</v>
      </c>
      <c r="M91" s="499"/>
    </row>
    <row r="92" spans="2:13">
      <c r="B92" s="568" t="s">
        <v>335</v>
      </c>
      <c r="C92" s="569">
        <v>121000</v>
      </c>
      <c r="D92" s="569">
        <v>209000</v>
      </c>
      <c r="E92" s="569">
        <v>220000</v>
      </c>
      <c r="F92" s="569">
        <v>143000</v>
      </c>
      <c r="G92" s="569">
        <v>143000</v>
      </c>
      <c r="H92" s="569">
        <v>209000</v>
      </c>
      <c r="I92" s="569">
        <v>220000</v>
      </c>
      <c r="J92" s="569">
        <v>143000</v>
      </c>
      <c r="K92" s="569">
        <v>165000</v>
      </c>
      <c r="L92" s="569">
        <v>165000</v>
      </c>
      <c r="M92" s="499"/>
    </row>
    <row r="93" spans="2:13">
      <c r="B93" s="568" t="s">
        <v>798</v>
      </c>
      <c r="C93" s="569">
        <v>187000</v>
      </c>
      <c r="D93" s="569">
        <v>220000</v>
      </c>
      <c r="E93" s="569">
        <v>232000</v>
      </c>
      <c r="F93" s="569">
        <v>209000</v>
      </c>
      <c r="G93" s="569">
        <v>209000</v>
      </c>
      <c r="H93" s="569">
        <v>220000</v>
      </c>
      <c r="I93" s="569">
        <v>232000</v>
      </c>
      <c r="J93" s="569">
        <v>209000</v>
      </c>
      <c r="K93" s="569">
        <v>231000</v>
      </c>
      <c r="L93" s="569">
        <v>231000</v>
      </c>
      <c r="M93" s="499"/>
    </row>
    <row r="94" spans="2:13">
      <c r="B94" s="568" t="s">
        <v>794</v>
      </c>
      <c r="C94" s="569">
        <v>220000</v>
      </c>
      <c r="D94" s="569">
        <v>253000</v>
      </c>
      <c r="E94" s="569">
        <v>265000</v>
      </c>
      <c r="F94" s="569">
        <v>242000</v>
      </c>
      <c r="G94" s="569">
        <v>242000</v>
      </c>
      <c r="H94" s="569">
        <v>253000</v>
      </c>
      <c r="I94" s="569">
        <v>265000</v>
      </c>
      <c r="J94" s="569">
        <v>242000</v>
      </c>
      <c r="K94" s="569">
        <v>264000</v>
      </c>
      <c r="L94" s="569">
        <v>264000</v>
      </c>
      <c r="M94" s="499"/>
    </row>
    <row r="95" spans="2:13">
      <c r="B95" s="568" t="s">
        <v>773</v>
      </c>
      <c r="C95" s="569">
        <v>220000</v>
      </c>
      <c r="D95" s="569">
        <v>253000</v>
      </c>
      <c r="E95" s="569">
        <v>265000</v>
      </c>
      <c r="F95" s="569">
        <v>242000</v>
      </c>
      <c r="G95" s="569">
        <v>242000</v>
      </c>
      <c r="H95" s="569">
        <v>253000</v>
      </c>
      <c r="I95" s="569">
        <v>265000</v>
      </c>
      <c r="J95" s="569">
        <v>242000</v>
      </c>
      <c r="K95" s="569">
        <v>264000</v>
      </c>
      <c r="L95" s="569">
        <v>264000</v>
      </c>
      <c r="M95" s="499"/>
    </row>
    <row r="96" spans="2:13">
      <c r="B96" s="568" t="s">
        <v>801</v>
      </c>
      <c r="C96" s="569">
        <v>110000</v>
      </c>
      <c r="D96" s="569">
        <v>198000</v>
      </c>
      <c r="E96" s="569">
        <v>209000</v>
      </c>
      <c r="F96" s="569">
        <v>132000</v>
      </c>
      <c r="G96" s="569">
        <v>132000</v>
      </c>
      <c r="H96" s="569">
        <v>198000</v>
      </c>
      <c r="I96" s="569">
        <v>209000</v>
      </c>
      <c r="J96" s="569">
        <v>132000</v>
      </c>
      <c r="K96" s="569">
        <v>154000</v>
      </c>
      <c r="L96" s="569">
        <v>154000</v>
      </c>
      <c r="M96" s="499"/>
    </row>
    <row r="97" spans="2:13">
      <c r="B97" s="568"/>
      <c r="C97" s="568"/>
      <c r="D97" s="568"/>
      <c r="E97" s="568"/>
      <c r="F97" s="568"/>
      <c r="G97" s="568"/>
      <c r="H97" s="568"/>
      <c r="I97" s="568"/>
      <c r="J97" s="568"/>
      <c r="K97" s="568"/>
      <c r="L97" s="568"/>
      <c r="M97" s="499"/>
    </row>
    <row r="98" spans="2:13" ht="17.25" thickBot="1">
      <c r="B98" s="568" t="s">
        <v>762</v>
      </c>
      <c r="C98" s="491" t="s">
        <v>763</v>
      </c>
      <c r="D98" s="492" t="s">
        <v>1548</v>
      </c>
      <c r="E98" s="492" t="s">
        <v>765</v>
      </c>
      <c r="F98" s="492" t="s">
        <v>1554</v>
      </c>
      <c r="G98" s="492" t="s">
        <v>1552</v>
      </c>
      <c r="H98" s="492" t="s">
        <v>768</v>
      </c>
      <c r="I98" s="492" t="s">
        <v>1551</v>
      </c>
      <c r="J98" s="492" t="s">
        <v>770</v>
      </c>
      <c r="K98" s="493" t="s">
        <v>771</v>
      </c>
      <c r="L98" s="493" t="s">
        <v>771</v>
      </c>
      <c r="M98" s="499"/>
    </row>
    <row r="99" spans="2:13" ht="17.25" thickTop="1">
      <c r="B99" s="568" t="s">
        <v>777</v>
      </c>
      <c r="C99" s="570">
        <f>C82/1.1</f>
        <v>199999.99999999997</v>
      </c>
      <c r="D99" s="570">
        <f t="shared" ref="D99:K99" si="31">D82/1.1</f>
        <v>229999.99999999997</v>
      </c>
      <c r="E99" s="570">
        <f t="shared" si="31"/>
        <v>240909.09090909088</v>
      </c>
      <c r="F99" s="570">
        <f t="shared" si="31"/>
        <v>219999.99999999997</v>
      </c>
      <c r="G99" s="570">
        <f t="shared" si="31"/>
        <v>219999.99999999997</v>
      </c>
      <c r="H99" s="570">
        <f t="shared" si="31"/>
        <v>229999.99999999997</v>
      </c>
      <c r="I99" s="570">
        <f t="shared" si="31"/>
        <v>240909.09090909088</v>
      </c>
      <c r="J99" s="570">
        <f t="shared" si="31"/>
        <v>219999.99999999997</v>
      </c>
      <c r="K99" s="570">
        <f t="shared" si="31"/>
        <v>239999.99999999997</v>
      </c>
      <c r="L99" s="570">
        <f t="shared" ref="L99:L113" si="32">L82/1.1</f>
        <v>239999.99999999997</v>
      </c>
      <c r="M99" s="499"/>
    </row>
    <row r="100" spans="2:13">
      <c r="B100" s="568" t="s">
        <v>780</v>
      </c>
      <c r="C100" s="570">
        <f t="shared" ref="C100:K113" si="33">C83/1.1</f>
        <v>104545.45454545454</v>
      </c>
      <c r="D100" s="570">
        <f t="shared" si="33"/>
        <v>184545.45454545453</v>
      </c>
      <c r="E100" s="570">
        <f t="shared" si="33"/>
        <v>194545.45454545453</v>
      </c>
      <c r="F100" s="570">
        <f t="shared" si="33"/>
        <v>124545.45454545453</v>
      </c>
      <c r="G100" s="570">
        <f t="shared" si="33"/>
        <v>124545.45454545453</v>
      </c>
      <c r="H100" s="570">
        <f t="shared" si="33"/>
        <v>184545.45454545453</v>
      </c>
      <c r="I100" s="570">
        <f t="shared" si="33"/>
        <v>194545.45454545453</v>
      </c>
      <c r="J100" s="570">
        <f t="shared" si="33"/>
        <v>124545.45454545453</v>
      </c>
      <c r="K100" s="570">
        <f t="shared" si="33"/>
        <v>144545.45454545453</v>
      </c>
      <c r="L100" s="570">
        <f t="shared" si="32"/>
        <v>144545.45454545453</v>
      </c>
      <c r="M100" s="499"/>
    </row>
    <row r="101" spans="2:13">
      <c r="B101" s="568" t="s">
        <v>922</v>
      </c>
      <c r="C101" s="570">
        <f t="shared" si="33"/>
        <v>104545.45454545454</v>
      </c>
      <c r="D101" s="570">
        <f t="shared" si="33"/>
        <v>184545.45454545453</v>
      </c>
      <c r="E101" s="570">
        <f t="shared" si="33"/>
        <v>194545.45454545453</v>
      </c>
      <c r="F101" s="570">
        <f t="shared" si="33"/>
        <v>124545.45454545453</v>
      </c>
      <c r="G101" s="570">
        <f t="shared" si="33"/>
        <v>124545.45454545453</v>
      </c>
      <c r="H101" s="570">
        <f t="shared" si="33"/>
        <v>184545.45454545453</v>
      </c>
      <c r="I101" s="570">
        <f t="shared" si="33"/>
        <v>194545.45454545453</v>
      </c>
      <c r="J101" s="570">
        <f t="shared" si="33"/>
        <v>124545.45454545453</v>
      </c>
      <c r="K101" s="570">
        <f t="shared" si="33"/>
        <v>144545.45454545453</v>
      </c>
      <c r="L101" s="570">
        <f t="shared" si="32"/>
        <v>144545.45454545453</v>
      </c>
      <c r="M101" s="499"/>
    </row>
    <row r="102" spans="2:13">
      <c r="B102" s="568" t="s">
        <v>923</v>
      </c>
      <c r="C102" s="570">
        <f t="shared" si="33"/>
        <v>170000</v>
      </c>
      <c r="D102" s="570">
        <f t="shared" si="33"/>
        <v>199999.99999999997</v>
      </c>
      <c r="E102" s="570">
        <f t="shared" si="33"/>
        <v>210909.09090909088</v>
      </c>
      <c r="F102" s="570">
        <f t="shared" si="33"/>
        <v>189999.99999999997</v>
      </c>
      <c r="G102" s="570">
        <f t="shared" si="33"/>
        <v>189999.99999999997</v>
      </c>
      <c r="H102" s="570">
        <f t="shared" si="33"/>
        <v>199999.99999999997</v>
      </c>
      <c r="I102" s="570">
        <f t="shared" si="33"/>
        <v>210909.09090909088</v>
      </c>
      <c r="J102" s="570">
        <f t="shared" si="33"/>
        <v>189999.99999999997</v>
      </c>
      <c r="K102" s="570">
        <f t="shared" si="33"/>
        <v>209999.99999999997</v>
      </c>
      <c r="L102" s="570">
        <f t="shared" si="32"/>
        <v>209999.99999999997</v>
      </c>
      <c r="M102" s="499"/>
    </row>
    <row r="103" spans="2:13">
      <c r="B103" s="568" t="s">
        <v>789</v>
      </c>
      <c r="C103" s="570">
        <f t="shared" si="33"/>
        <v>109999.99999999999</v>
      </c>
      <c r="D103" s="570">
        <f t="shared" si="33"/>
        <v>189999.99999999997</v>
      </c>
      <c r="E103" s="570">
        <f t="shared" si="33"/>
        <v>199999.99999999997</v>
      </c>
      <c r="F103" s="570">
        <f t="shared" si="33"/>
        <v>129999.99999999999</v>
      </c>
      <c r="G103" s="570">
        <f t="shared" si="33"/>
        <v>129999.99999999999</v>
      </c>
      <c r="H103" s="570">
        <f t="shared" si="33"/>
        <v>189999.99999999997</v>
      </c>
      <c r="I103" s="570">
        <f t="shared" si="33"/>
        <v>199999.99999999997</v>
      </c>
      <c r="J103" s="570">
        <f t="shared" si="33"/>
        <v>129999.99999999999</v>
      </c>
      <c r="K103" s="570">
        <f t="shared" si="33"/>
        <v>150000</v>
      </c>
      <c r="L103" s="570">
        <f t="shared" si="32"/>
        <v>150000</v>
      </c>
      <c r="M103" s="499"/>
    </row>
    <row r="104" spans="2:13">
      <c r="B104" s="568" t="s">
        <v>786</v>
      </c>
      <c r="C104" s="570">
        <f t="shared" si="33"/>
        <v>99999.999999999985</v>
      </c>
      <c r="D104" s="570">
        <f t="shared" si="33"/>
        <v>180000</v>
      </c>
      <c r="E104" s="570">
        <f t="shared" si="33"/>
        <v>189999.99999999997</v>
      </c>
      <c r="F104" s="570">
        <f t="shared" si="33"/>
        <v>119999.99999999999</v>
      </c>
      <c r="G104" s="570">
        <f t="shared" si="33"/>
        <v>119999.99999999999</v>
      </c>
      <c r="H104" s="570">
        <f t="shared" si="33"/>
        <v>180000</v>
      </c>
      <c r="I104" s="570">
        <f t="shared" si="33"/>
        <v>189999.99999999997</v>
      </c>
      <c r="J104" s="570">
        <f t="shared" si="33"/>
        <v>119999.99999999999</v>
      </c>
      <c r="K104" s="570">
        <f t="shared" si="33"/>
        <v>140000</v>
      </c>
      <c r="L104" s="570">
        <f t="shared" si="32"/>
        <v>140000</v>
      </c>
      <c r="M104" s="499"/>
    </row>
    <row r="105" spans="2:13">
      <c r="B105" s="568" t="s">
        <v>924</v>
      </c>
      <c r="C105" s="570">
        <f t="shared" si="33"/>
        <v>99999.999999999985</v>
      </c>
      <c r="D105" s="570">
        <f t="shared" si="33"/>
        <v>180000</v>
      </c>
      <c r="E105" s="570">
        <f t="shared" si="33"/>
        <v>189999.99999999997</v>
      </c>
      <c r="F105" s="570">
        <f t="shared" si="33"/>
        <v>119999.99999999999</v>
      </c>
      <c r="G105" s="570">
        <f t="shared" si="33"/>
        <v>119999.99999999999</v>
      </c>
      <c r="H105" s="570">
        <f t="shared" si="33"/>
        <v>180000</v>
      </c>
      <c r="I105" s="570">
        <f t="shared" si="33"/>
        <v>189999.99999999997</v>
      </c>
      <c r="J105" s="570">
        <f t="shared" si="33"/>
        <v>119999.99999999999</v>
      </c>
      <c r="K105" s="570">
        <f t="shared" si="33"/>
        <v>140000</v>
      </c>
      <c r="L105" s="570">
        <f t="shared" si="32"/>
        <v>140000</v>
      </c>
      <c r="M105" s="499"/>
    </row>
    <row r="106" spans="2:13">
      <c r="B106" s="568" t="s">
        <v>783</v>
      </c>
      <c r="C106" s="570">
        <f t="shared" si="33"/>
        <v>129999.99999999999</v>
      </c>
      <c r="D106" s="570">
        <f t="shared" si="33"/>
        <v>209999.99999999997</v>
      </c>
      <c r="E106" s="570">
        <f t="shared" si="33"/>
        <v>219999.99999999997</v>
      </c>
      <c r="F106" s="570">
        <f t="shared" si="33"/>
        <v>150000</v>
      </c>
      <c r="G106" s="570">
        <f t="shared" si="33"/>
        <v>150000</v>
      </c>
      <c r="H106" s="570">
        <f t="shared" si="33"/>
        <v>209999.99999999997</v>
      </c>
      <c r="I106" s="570">
        <f t="shared" si="33"/>
        <v>219999.99999999997</v>
      </c>
      <c r="J106" s="570">
        <f t="shared" si="33"/>
        <v>150000</v>
      </c>
      <c r="K106" s="570">
        <f t="shared" si="33"/>
        <v>170000</v>
      </c>
      <c r="L106" s="570">
        <f t="shared" si="32"/>
        <v>170000</v>
      </c>
      <c r="M106" s="499"/>
    </row>
    <row r="107" spans="2:13">
      <c r="B107" s="568" t="s">
        <v>925</v>
      </c>
      <c r="C107" s="570">
        <f t="shared" si="33"/>
        <v>129999.99999999999</v>
      </c>
      <c r="D107" s="570">
        <f t="shared" si="33"/>
        <v>209999.99999999997</v>
      </c>
      <c r="E107" s="570">
        <f t="shared" si="33"/>
        <v>219999.99999999997</v>
      </c>
      <c r="F107" s="570">
        <f t="shared" si="33"/>
        <v>150000</v>
      </c>
      <c r="G107" s="570">
        <f t="shared" si="33"/>
        <v>150000</v>
      </c>
      <c r="H107" s="570">
        <f t="shared" si="33"/>
        <v>209999.99999999997</v>
      </c>
      <c r="I107" s="570">
        <f t="shared" si="33"/>
        <v>219999.99999999997</v>
      </c>
      <c r="J107" s="570">
        <f t="shared" si="33"/>
        <v>150000</v>
      </c>
      <c r="K107" s="570">
        <f t="shared" si="33"/>
        <v>170000</v>
      </c>
      <c r="L107" s="570">
        <f t="shared" si="32"/>
        <v>170000</v>
      </c>
      <c r="M107" s="499"/>
    </row>
    <row r="108" spans="2:13">
      <c r="B108" s="568" t="s">
        <v>792</v>
      </c>
      <c r="C108" s="570">
        <f t="shared" si="33"/>
        <v>180000</v>
      </c>
      <c r="D108" s="570">
        <f t="shared" si="33"/>
        <v>209999.99999999997</v>
      </c>
      <c r="E108" s="570">
        <f t="shared" si="33"/>
        <v>220909.09090909088</v>
      </c>
      <c r="F108" s="570">
        <f t="shared" si="33"/>
        <v>199999.99999999997</v>
      </c>
      <c r="G108" s="570">
        <f t="shared" si="33"/>
        <v>199999.99999999997</v>
      </c>
      <c r="H108" s="570">
        <f t="shared" si="33"/>
        <v>209999.99999999997</v>
      </c>
      <c r="I108" s="570">
        <f t="shared" si="33"/>
        <v>220909.09090909088</v>
      </c>
      <c r="J108" s="570">
        <f t="shared" si="33"/>
        <v>199999.99999999997</v>
      </c>
      <c r="K108" s="570">
        <f t="shared" si="33"/>
        <v>219999.99999999997</v>
      </c>
      <c r="L108" s="570">
        <f t="shared" si="32"/>
        <v>219999.99999999997</v>
      </c>
      <c r="M108" s="499"/>
    </row>
    <row r="109" spans="2:13">
      <c r="B109" s="568" t="s">
        <v>335</v>
      </c>
      <c r="C109" s="570">
        <f t="shared" si="33"/>
        <v>109999.99999999999</v>
      </c>
      <c r="D109" s="570">
        <f t="shared" si="33"/>
        <v>189999.99999999997</v>
      </c>
      <c r="E109" s="570">
        <f t="shared" si="33"/>
        <v>199999.99999999997</v>
      </c>
      <c r="F109" s="570">
        <f t="shared" si="33"/>
        <v>129999.99999999999</v>
      </c>
      <c r="G109" s="570">
        <f t="shared" si="33"/>
        <v>129999.99999999999</v>
      </c>
      <c r="H109" s="570">
        <f t="shared" si="33"/>
        <v>189999.99999999997</v>
      </c>
      <c r="I109" s="570">
        <f t="shared" si="33"/>
        <v>199999.99999999997</v>
      </c>
      <c r="J109" s="570">
        <f t="shared" si="33"/>
        <v>129999.99999999999</v>
      </c>
      <c r="K109" s="570">
        <f t="shared" si="33"/>
        <v>150000</v>
      </c>
      <c r="L109" s="570">
        <f t="shared" si="32"/>
        <v>150000</v>
      </c>
      <c r="M109" s="499"/>
    </row>
    <row r="110" spans="2:13">
      <c r="B110" s="568" t="s">
        <v>798</v>
      </c>
      <c r="C110" s="570">
        <f t="shared" si="33"/>
        <v>170000</v>
      </c>
      <c r="D110" s="570">
        <f t="shared" si="33"/>
        <v>199999.99999999997</v>
      </c>
      <c r="E110" s="570">
        <f t="shared" si="33"/>
        <v>210909.09090909088</v>
      </c>
      <c r="F110" s="570">
        <f t="shared" si="33"/>
        <v>189999.99999999997</v>
      </c>
      <c r="G110" s="570">
        <f t="shared" si="33"/>
        <v>189999.99999999997</v>
      </c>
      <c r="H110" s="570">
        <f t="shared" si="33"/>
        <v>199999.99999999997</v>
      </c>
      <c r="I110" s="570">
        <f t="shared" si="33"/>
        <v>210909.09090909088</v>
      </c>
      <c r="J110" s="570">
        <f t="shared" si="33"/>
        <v>189999.99999999997</v>
      </c>
      <c r="K110" s="570">
        <f t="shared" si="33"/>
        <v>209999.99999999997</v>
      </c>
      <c r="L110" s="570">
        <f t="shared" si="32"/>
        <v>209999.99999999997</v>
      </c>
      <c r="M110" s="499"/>
    </row>
    <row r="111" spans="2:13">
      <c r="B111" s="568" t="s">
        <v>794</v>
      </c>
      <c r="C111" s="570">
        <f t="shared" si="33"/>
        <v>199999.99999999997</v>
      </c>
      <c r="D111" s="570">
        <f t="shared" si="33"/>
        <v>229999.99999999997</v>
      </c>
      <c r="E111" s="570">
        <f t="shared" si="33"/>
        <v>240909.09090909088</v>
      </c>
      <c r="F111" s="570">
        <f t="shared" si="33"/>
        <v>219999.99999999997</v>
      </c>
      <c r="G111" s="570">
        <f t="shared" si="33"/>
        <v>219999.99999999997</v>
      </c>
      <c r="H111" s="570">
        <f t="shared" si="33"/>
        <v>229999.99999999997</v>
      </c>
      <c r="I111" s="570">
        <f t="shared" si="33"/>
        <v>240909.09090909088</v>
      </c>
      <c r="J111" s="570">
        <f t="shared" si="33"/>
        <v>219999.99999999997</v>
      </c>
      <c r="K111" s="570">
        <f t="shared" si="33"/>
        <v>239999.99999999997</v>
      </c>
      <c r="L111" s="570">
        <f t="shared" si="32"/>
        <v>239999.99999999997</v>
      </c>
      <c r="M111" s="499"/>
    </row>
    <row r="112" spans="2:13">
      <c r="B112" s="568" t="s">
        <v>773</v>
      </c>
      <c r="C112" s="570">
        <f t="shared" si="33"/>
        <v>199999.99999999997</v>
      </c>
      <c r="D112" s="570">
        <f t="shared" si="33"/>
        <v>229999.99999999997</v>
      </c>
      <c r="E112" s="570">
        <f t="shared" si="33"/>
        <v>240909.09090909088</v>
      </c>
      <c r="F112" s="570">
        <f t="shared" si="33"/>
        <v>219999.99999999997</v>
      </c>
      <c r="G112" s="570">
        <f t="shared" si="33"/>
        <v>219999.99999999997</v>
      </c>
      <c r="H112" s="570">
        <f t="shared" si="33"/>
        <v>229999.99999999997</v>
      </c>
      <c r="I112" s="570">
        <f t="shared" si="33"/>
        <v>240909.09090909088</v>
      </c>
      <c r="J112" s="570">
        <f t="shared" si="33"/>
        <v>219999.99999999997</v>
      </c>
      <c r="K112" s="570">
        <f t="shared" si="33"/>
        <v>239999.99999999997</v>
      </c>
      <c r="L112" s="570">
        <f t="shared" si="32"/>
        <v>239999.99999999997</v>
      </c>
      <c r="M112" s="499"/>
    </row>
    <row r="113" spans="2:13">
      <c r="B113" s="568" t="s">
        <v>801</v>
      </c>
      <c r="C113" s="570">
        <f t="shared" si="33"/>
        <v>99999.999999999985</v>
      </c>
      <c r="D113" s="570">
        <f t="shared" si="33"/>
        <v>180000</v>
      </c>
      <c r="E113" s="570">
        <f t="shared" si="33"/>
        <v>189999.99999999997</v>
      </c>
      <c r="F113" s="570">
        <f t="shared" si="33"/>
        <v>119999.99999999999</v>
      </c>
      <c r="G113" s="570">
        <f t="shared" si="33"/>
        <v>119999.99999999999</v>
      </c>
      <c r="H113" s="570">
        <f t="shared" si="33"/>
        <v>180000</v>
      </c>
      <c r="I113" s="570">
        <f t="shared" si="33"/>
        <v>189999.99999999997</v>
      </c>
      <c r="J113" s="570">
        <f t="shared" si="33"/>
        <v>119999.99999999999</v>
      </c>
      <c r="K113" s="570">
        <f t="shared" si="33"/>
        <v>140000</v>
      </c>
      <c r="L113" s="570">
        <f t="shared" si="32"/>
        <v>140000</v>
      </c>
      <c r="M113" s="499"/>
    </row>
    <row r="114" spans="2:13">
      <c r="B114" s="568"/>
      <c r="C114" s="568"/>
      <c r="D114" s="568"/>
      <c r="E114" s="568"/>
      <c r="F114" s="568"/>
      <c r="G114" s="568"/>
      <c r="H114" s="568"/>
      <c r="I114" s="568"/>
      <c r="J114" s="568"/>
      <c r="K114" s="568"/>
      <c r="L114" s="568"/>
      <c r="M114" s="499"/>
    </row>
    <row r="115" spans="2:13" ht="17.25" thickBot="1">
      <c r="B115" s="490" t="s">
        <v>762</v>
      </c>
      <c r="C115" s="491" t="s">
        <v>763</v>
      </c>
      <c r="D115" s="492" t="s">
        <v>1548</v>
      </c>
      <c r="E115" s="492" t="s">
        <v>765</v>
      </c>
      <c r="F115" s="492" t="s">
        <v>1549</v>
      </c>
      <c r="G115" s="492" t="s">
        <v>1550</v>
      </c>
      <c r="H115" s="492" t="s">
        <v>768</v>
      </c>
      <c r="I115" s="492" t="s">
        <v>1551</v>
      </c>
      <c r="J115" s="492" t="s">
        <v>770</v>
      </c>
      <c r="K115" s="493" t="s">
        <v>771</v>
      </c>
      <c r="L115" s="493" t="s">
        <v>1643</v>
      </c>
      <c r="M115" s="499"/>
    </row>
    <row r="116" spans="2:13" ht="17.25" thickTop="1">
      <c r="B116" s="495" t="s">
        <v>773</v>
      </c>
      <c r="C116" s="496">
        <v>330000</v>
      </c>
      <c r="D116" s="497">
        <v>275000</v>
      </c>
      <c r="E116" s="497">
        <v>275000</v>
      </c>
      <c r="F116" s="497">
        <v>330000</v>
      </c>
      <c r="G116" s="497">
        <v>330000</v>
      </c>
      <c r="H116" s="497">
        <v>330000</v>
      </c>
      <c r="I116" s="497">
        <v>330000</v>
      </c>
      <c r="J116" s="497">
        <v>330000</v>
      </c>
      <c r="K116" s="498">
        <v>330000</v>
      </c>
      <c r="L116" s="498">
        <f>+I116+300000</f>
        <v>630000</v>
      </c>
      <c r="M116" s="499" t="s">
        <v>1647</v>
      </c>
    </row>
    <row r="117" spans="2:13">
      <c r="B117" s="501" t="s">
        <v>777</v>
      </c>
      <c r="C117" s="502">
        <v>259600</v>
      </c>
      <c r="D117" s="503">
        <v>253880</v>
      </c>
      <c r="E117" s="503">
        <v>253880</v>
      </c>
      <c r="F117" s="503">
        <v>280720</v>
      </c>
      <c r="G117" s="503">
        <v>288464</v>
      </c>
      <c r="H117" s="503">
        <v>280720</v>
      </c>
      <c r="I117" s="503">
        <v>288464</v>
      </c>
      <c r="J117" s="503">
        <v>273680</v>
      </c>
      <c r="K117" s="504">
        <v>287760</v>
      </c>
      <c r="L117" s="504">
        <f t="shared" ref="L117:L127" si="34">+I117+300000</f>
        <v>588464</v>
      </c>
      <c r="M117" s="499" t="s">
        <v>1647</v>
      </c>
    </row>
    <row r="118" spans="2:13">
      <c r="B118" s="501" t="s">
        <v>780</v>
      </c>
      <c r="C118" s="502">
        <v>136200</v>
      </c>
      <c r="D118" s="503">
        <v>154000</v>
      </c>
      <c r="E118" s="503">
        <v>154000</v>
      </c>
      <c r="F118" s="503">
        <v>246400</v>
      </c>
      <c r="G118" s="503">
        <v>250800</v>
      </c>
      <c r="H118" s="503">
        <v>246400</v>
      </c>
      <c r="I118" s="503">
        <v>265800</v>
      </c>
      <c r="J118" s="503">
        <v>205000</v>
      </c>
      <c r="K118" s="504">
        <v>228800</v>
      </c>
      <c r="L118" s="504">
        <f t="shared" si="34"/>
        <v>565800</v>
      </c>
      <c r="M118" s="499" t="s">
        <v>1647</v>
      </c>
    </row>
    <row r="119" spans="2:13">
      <c r="B119" s="686" t="s">
        <v>783</v>
      </c>
      <c r="C119" s="908">
        <v>162800</v>
      </c>
      <c r="D119" s="908">
        <v>198000</v>
      </c>
      <c r="E119" s="908">
        <v>198000</v>
      </c>
      <c r="F119" s="908">
        <v>290400</v>
      </c>
      <c r="G119" s="908">
        <v>294800</v>
      </c>
      <c r="H119" s="908">
        <v>290400</v>
      </c>
      <c r="I119" s="908">
        <v>294800</v>
      </c>
      <c r="J119" s="908">
        <v>264000</v>
      </c>
      <c r="K119" s="908">
        <v>272800</v>
      </c>
      <c r="L119" s="908">
        <f t="shared" si="34"/>
        <v>594800</v>
      </c>
      <c r="M119" s="499" t="s">
        <v>1649</v>
      </c>
    </row>
    <row r="120" spans="2:13">
      <c r="B120" s="506" t="s">
        <v>786</v>
      </c>
      <c r="C120" s="507">
        <v>134000</v>
      </c>
      <c r="D120" s="508">
        <v>151800</v>
      </c>
      <c r="E120" s="508">
        <v>151800</v>
      </c>
      <c r="F120" s="508">
        <v>277200</v>
      </c>
      <c r="G120" s="508">
        <v>281600</v>
      </c>
      <c r="H120" s="508">
        <v>244200</v>
      </c>
      <c r="I120" s="508">
        <v>281600</v>
      </c>
      <c r="J120" s="508">
        <v>202800</v>
      </c>
      <c r="K120" s="509">
        <v>226600</v>
      </c>
      <c r="L120" s="509">
        <f t="shared" si="34"/>
        <v>581600</v>
      </c>
      <c r="M120" s="499" t="s">
        <v>1647</v>
      </c>
    </row>
    <row r="121" spans="2:13">
      <c r="B121" s="506" t="s">
        <v>2677</v>
      </c>
      <c r="C121" s="507">
        <f>+C129*1.1</f>
        <v>176000</v>
      </c>
      <c r="D121" s="507">
        <f t="shared" ref="D121:L121" si="35">+D129*1.1</f>
        <v>208999.99999999997</v>
      </c>
      <c r="E121" s="507">
        <f t="shared" si="35"/>
        <v>214499.99999999997</v>
      </c>
      <c r="F121" s="507">
        <f t="shared" si="35"/>
        <v>291500</v>
      </c>
      <c r="G121" s="507">
        <f t="shared" si="35"/>
        <v>302500</v>
      </c>
      <c r="H121" s="507">
        <f t="shared" si="35"/>
        <v>291500</v>
      </c>
      <c r="I121" s="507">
        <f t="shared" si="35"/>
        <v>302500</v>
      </c>
      <c r="J121" s="507">
        <f t="shared" si="35"/>
        <v>291500</v>
      </c>
      <c r="K121" s="507">
        <f t="shared" si="35"/>
        <v>302500</v>
      </c>
      <c r="L121" s="507">
        <f t="shared" si="35"/>
        <v>632500</v>
      </c>
      <c r="M121" s="499" t="s">
        <v>2678</v>
      </c>
    </row>
    <row r="122" spans="2:13">
      <c r="B122" s="686" t="s">
        <v>789</v>
      </c>
      <c r="C122" s="908">
        <v>138400</v>
      </c>
      <c r="D122" s="908">
        <v>156200</v>
      </c>
      <c r="E122" s="908">
        <v>156200</v>
      </c>
      <c r="F122" s="908">
        <v>248600</v>
      </c>
      <c r="G122" s="908">
        <v>253000</v>
      </c>
      <c r="H122" s="908">
        <v>248600</v>
      </c>
      <c r="I122" s="908">
        <v>268000</v>
      </c>
      <c r="J122" s="908">
        <v>207200</v>
      </c>
      <c r="K122" s="908">
        <v>231000</v>
      </c>
      <c r="L122" s="908">
        <f t="shared" si="34"/>
        <v>568000</v>
      </c>
      <c r="M122" s="499" t="s">
        <v>1649</v>
      </c>
    </row>
    <row r="123" spans="2:13">
      <c r="B123" s="686" t="s">
        <v>792</v>
      </c>
      <c r="C123" s="908">
        <v>277200</v>
      </c>
      <c r="D123" s="908">
        <v>253000</v>
      </c>
      <c r="E123" s="908">
        <v>253000</v>
      </c>
      <c r="F123" s="908">
        <v>290400</v>
      </c>
      <c r="G123" s="908">
        <v>295240</v>
      </c>
      <c r="H123" s="908">
        <v>290400</v>
      </c>
      <c r="I123" s="908">
        <v>295240</v>
      </c>
      <c r="J123" s="908">
        <v>286000</v>
      </c>
      <c r="K123" s="908">
        <v>294800</v>
      </c>
      <c r="L123" s="908">
        <f t="shared" si="34"/>
        <v>595240</v>
      </c>
      <c r="M123" s="499" t="s">
        <v>1649</v>
      </c>
    </row>
    <row r="124" spans="2:13">
      <c r="B124" s="506" t="s">
        <v>794</v>
      </c>
      <c r="C124" s="507">
        <v>330000</v>
      </c>
      <c r="D124" s="508">
        <v>275000</v>
      </c>
      <c r="E124" s="508">
        <v>275000</v>
      </c>
      <c r="F124" s="508">
        <v>330000</v>
      </c>
      <c r="G124" s="508">
        <v>330000</v>
      </c>
      <c r="H124" s="508">
        <v>330000</v>
      </c>
      <c r="I124" s="508">
        <v>330000</v>
      </c>
      <c r="J124" s="508">
        <v>330000</v>
      </c>
      <c r="K124" s="509">
        <v>330000</v>
      </c>
      <c r="L124" s="509">
        <f t="shared" si="34"/>
        <v>630000</v>
      </c>
      <c r="M124" s="499" t="s">
        <v>1647</v>
      </c>
    </row>
    <row r="125" spans="2:13">
      <c r="B125" s="506" t="s">
        <v>796</v>
      </c>
      <c r="C125" s="507">
        <v>150000</v>
      </c>
      <c r="D125" s="508">
        <v>165000</v>
      </c>
      <c r="E125" s="508">
        <v>165000</v>
      </c>
      <c r="F125" s="508">
        <v>275000</v>
      </c>
      <c r="G125" s="508">
        <v>275000</v>
      </c>
      <c r="H125" s="508">
        <v>275000</v>
      </c>
      <c r="I125" s="508">
        <v>300000</v>
      </c>
      <c r="J125" s="508">
        <v>250000</v>
      </c>
      <c r="K125" s="509">
        <v>275000</v>
      </c>
      <c r="L125" s="509">
        <f t="shared" si="34"/>
        <v>600000</v>
      </c>
      <c r="M125" s="499" t="s">
        <v>1647</v>
      </c>
    </row>
    <row r="126" spans="2:13">
      <c r="B126" s="506" t="s">
        <v>798</v>
      </c>
      <c r="C126" s="507">
        <v>1000000</v>
      </c>
      <c r="D126" s="508">
        <v>1000000</v>
      </c>
      <c r="E126" s="508">
        <v>1000000</v>
      </c>
      <c r="F126" s="508">
        <v>1000000</v>
      </c>
      <c r="G126" s="508">
        <v>1000000</v>
      </c>
      <c r="H126" s="508">
        <v>1000000</v>
      </c>
      <c r="I126" s="508">
        <v>1000000</v>
      </c>
      <c r="J126" s="508">
        <v>1000000</v>
      </c>
      <c r="K126" s="509">
        <v>1000000</v>
      </c>
      <c r="L126" s="509">
        <f t="shared" si="34"/>
        <v>1300000</v>
      </c>
      <c r="M126" s="499" t="s">
        <v>1647</v>
      </c>
    </row>
    <row r="127" spans="2:13" ht="17.25" thickBot="1">
      <c r="B127" s="512" t="s">
        <v>801</v>
      </c>
      <c r="C127" s="513">
        <v>150000</v>
      </c>
      <c r="D127" s="514">
        <v>165000</v>
      </c>
      <c r="E127" s="514">
        <v>165000</v>
      </c>
      <c r="F127" s="514">
        <v>275000</v>
      </c>
      <c r="G127" s="514">
        <v>275000</v>
      </c>
      <c r="H127" s="514">
        <v>275000</v>
      </c>
      <c r="I127" s="514">
        <v>300000</v>
      </c>
      <c r="J127" s="514">
        <v>250000</v>
      </c>
      <c r="K127" s="515">
        <v>275000</v>
      </c>
      <c r="L127" s="515">
        <f t="shared" si="34"/>
        <v>600000</v>
      </c>
      <c r="M127" s="499" t="s">
        <v>1647</v>
      </c>
    </row>
    <row r="128" spans="2:13">
      <c r="M128" s="499"/>
    </row>
    <row r="129" spans="2:13">
      <c r="B129" s="506" t="s">
        <v>2677</v>
      </c>
      <c r="C129" s="507">
        <v>160000</v>
      </c>
      <c r="D129" s="508">
        <v>189999.99999999997</v>
      </c>
      <c r="E129" s="508">
        <v>194999.99999999997</v>
      </c>
      <c r="F129" s="508">
        <v>265000</v>
      </c>
      <c r="G129" s="508">
        <v>275000</v>
      </c>
      <c r="H129" s="508">
        <v>265000</v>
      </c>
      <c r="I129" s="508">
        <v>275000</v>
      </c>
      <c r="J129" s="508">
        <v>265000</v>
      </c>
      <c r="K129" s="509">
        <v>275000</v>
      </c>
      <c r="L129" s="509">
        <f t="shared" ref="L129" si="36">+I129+300000</f>
        <v>575000</v>
      </c>
      <c r="M129" s="499"/>
    </row>
    <row r="130" spans="2:13">
      <c r="M130" s="499"/>
    </row>
    <row r="131" spans="2:13">
      <c r="M131" s="499"/>
    </row>
    <row r="132" spans="2:13">
      <c r="M132" s="499"/>
    </row>
    <row r="133" spans="2:13">
      <c r="M133" s="499"/>
    </row>
    <row r="134" spans="2:13">
      <c r="M134" s="499"/>
    </row>
    <row r="135" spans="2:13">
      <c r="M135" s="499"/>
    </row>
    <row r="136" spans="2:13">
      <c r="M136" s="499"/>
    </row>
    <row r="137" spans="2:13">
      <c r="M137" s="499"/>
    </row>
    <row r="138" spans="2:13">
      <c r="M138" s="499"/>
    </row>
    <row r="139" spans="2:13">
      <c r="M139" s="499"/>
    </row>
    <row r="140" spans="2:13">
      <c r="M140" s="499"/>
    </row>
    <row r="141" spans="2:13">
      <c r="M141" s="499"/>
    </row>
    <row r="142" spans="2:13">
      <c r="M142" s="499"/>
    </row>
    <row r="143" spans="2:13">
      <c r="M143" s="499"/>
    </row>
    <row r="144" spans="2:13">
      <c r="M144" s="499"/>
    </row>
    <row r="145" spans="13:13">
      <c r="M145" s="499"/>
    </row>
    <row r="146" spans="13:13">
      <c r="M146" s="499"/>
    </row>
    <row r="147" spans="13:13">
      <c r="M147" s="499"/>
    </row>
    <row r="148" spans="13:13">
      <c r="M148" s="499"/>
    </row>
    <row r="149" spans="13:13">
      <c r="M149" s="499"/>
    </row>
    <row r="150" spans="13:13">
      <c r="M150" s="499"/>
    </row>
    <row r="151" spans="13:13">
      <c r="M151" s="499"/>
    </row>
  </sheetData>
  <mergeCells count="33">
    <mergeCell ref="T15:U15"/>
    <mergeCell ref="P16:R16"/>
    <mergeCell ref="P18:AG18"/>
    <mergeCell ref="P19:P20"/>
    <mergeCell ref="Q19:V19"/>
    <mergeCell ref="W19:AB19"/>
    <mergeCell ref="AC19:AE19"/>
    <mergeCell ref="T12:U12"/>
    <mergeCell ref="P13:R13"/>
    <mergeCell ref="T13:U13"/>
    <mergeCell ref="P14:R14"/>
    <mergeCell ref="T14:U14"/>
    <mergeCell ref="T11:U11"/>
    <mergeCell ref="P2:U2"/>
    <mergeCell ref="P3:R3"/>
    <mergeCell ref="T3:U3"/>
    <mergeCell ref="P4:R4"/>
    <mergeCell ref="T4:U4"/>
    <mergeCell ref="P5:R5"/>
    <mergeCell ref="T5:U5"/>
    <mergeCell ref="T6:U6"/>
    <mergeCell ref="T7:U7"/>
    <mergeCell ref="T8:U8"/>
    <mergeCell ref="T9:U9"/>
    <mergeCell ref="T10:U10"/>
    <mergeCell ref="R41:R42"/>
    <mergeCell ref="R43:R46"/>
    <mergeCell ref="R50:R51"/>
    <mergeCell ref="R52:R55"/>
    <mergeCell ref="P11:R11"/>
    <mergeCell ref="P12:R12"/>
    <mergeCell ref="P21:P34"/>
    <mergeCell ref="P15:R15"/>
  </mergeCells>
  <phoneticPr fontId="2" type="noConversion"/>
  <pageMargins left="0.7" right="0.7" top="0.75" bottom="0.75" header="0.3" footer="0.3"/>
  <pageSetup paperSize="9"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C00000"/>
    <pageSetUpPr fitToPage="1"/>
  </sheetPr>
  <dimension ref="A1:AA81"/>
  <sheetViews>
    <sheetView showGridLines="0" view="pageBreakPreview" zoomScale="80" zoomScaleNormal="80" zoomScaleSheetLayoutView="80" workbookViewId="0">
      <selection activeCell="D34" sqref="D34"/>
    </sheetView>
  </sheetViews>
  <sheetFormatPr defaultColWidth="2" defaultRowHeight="15" customHeight="1"/>
  <cols>
    <col min="1" max="1" width="2" style="634" customWidth="1"/>
    <col min="2" max="2" width="1.875" style="634" customWidth="1"/>
    <col min="3" max="3" width="20.625" style="634" customWidth="1"/>
    <col min="4" max="5" width="8.625" style="634" customWidth="1"/>
    <col min="6" max="7" width="10.625" style="634" customWidth="1"/>
    <col min="8" max="12" width="8.625" style="634" customWidth="1"/>
    <col min="13" max="13" width="14" style="634" bestFit="1" customWidth="1"/>
    <col min="14" max="14" width="2.125" style="634" customWidth="1"/>
    <col min="15" max="27" width="8.625" style="635" customWidth="1"/>
    <col min="28" max="94" width="8.625" style="634" customWidth="1"/>
    <col min="95" max="16384" width="2" style="634"/>
  </cols>
  <sheetData>
    <row r="1" spans="2:14" ht="10.5" customHeight="1"/>
    <row r="2" spans="2:14" ht="9" customHeight="1"/>
    <row r="3" spans="2:14" ht="20.25" customHeight="1">
      <c r="B3" s="636"/>
      <c r="C3" s="2067" t="s">
        <v>3056</v>
      </c>
      <c r="D3" s="2067"/>
      <c r="E3" s="2067"/>
      <c r="F3" s="2067"/>
      <c r="G3" s="2067"/>
      <c r="H3" s="2067"/>
      <c r="I3" s="2067"/>
      <c r="J3" s="2067"/>
      <c r="K3" s="2067"/>
      <c r="L3" s="2067"/>
      <c r="M3" s="2067"/>
      <c r="N3" s="637"/>
    </row>
    <row r="4" spans="2:14" ht="15" customHeight="1" thickBot="1">
      <c r="B4" s="638"/>
      <c r="C4" s="2068"/>
      <c r="D4" s="2068"/>
      <c r="E4" s="2068"/>
      <c r="F4" s="2068"/>
      <c r="G4" s="2068"/>
      <c r="H4" s="2068"/>
      <c r="I4" s="2068"/>
      <c r="J4" s="2068"/>
      <c r="K4" s="2068"/>
      <c r="L4" s="2068"/>
      <c r="M4" s="2068"/>
      <c r="N4" s="639"/>
    </row>
    <row r="5" spans="2:14" ht="15" customHeight="1" thickBot="1">
      <c r="B5" s="638"/>
      <c r="C5" s="2078" t="s">
        <v>1678</v>
      </c>
      <c r="D5" s="635"/>
      <c r="E5" s="635"/>
      <c r="F5" s="635"/>
      <c r="G5" s="635"/>
      <c r="H5" s="635"/>
      <c r="I5" s="635"/>
      <c r="J5" s="635"/>
      <c r="K5" s="635"/>
      <c r="L5" s="635"/>
      <c r="M5" s="635"/>
      <c r="N5" s="639"/>
    </row>
    <row r="6" spans="2:14" ht="15" customHeight="1" thickBot="1">
      <c r="B6" s="638"/>
      <c r="C6" s="2079"/>
      <c r="D6" s="635"/>
      <c r="E6" s="635"/>
      <c r="F6" s="635"/>
      <c r="G6" s="635"/>
      <c r="H6" s="635"/>
      <c r="I6" s="635"/>
      <c r="J6" s="635"/>
      <c r="K6" s="635"/>
      <c r="L6" s="2069" t="str">
        <f>+IF(운용리스_단일!AS6="현대특판","특판출고","지점/대리점출고")</f>
        <v>지점/대리점출고</v>
      </c>
      <c r="M6" s="2070"/>
      <c r="N6" s="639"/>
    </row>
    <row r="7" spans="2:14" ht="20.100000000000001" customHeight="1">
      <c r="B7" s="638"/>
      <c r="C7" s="635" t="s">
        <v>1023</v>
      </c>
      <c r="D7" s="635"/>
      <c r="E7" s="635"/>
      <c r="F7" s="635"/>
      <c r="G7" s="635"/>
      <c r="H7" s="635"/>
      <c r="I7" s="635"/>
      <c r="J7" s="635"/>
      <c r="K7" s="635"/>
      <c r="L7" s="635"/>
      <c r="M7" s="635"/>
      <c r="N7" s="639"/>
    </row>
    <row r="8" spans="2:14" ht="35.25" customHeight="1">
      <c r="B8" s="638"/>
      <c r="C8" s="1232" t="s">
        <v>1024</v>
      </c>
      <c r="D8" s="2071" t="str">
        <f>+운용리스_단일!AS4</f>
        <v>VVIP 고객님</v>
      </c>
      <c r="E8" s="2072"/>
      <c r="F8" s="2072"/>
      <c r="G8" s="2072"/>
      <c r="H8" s="2072"/>
      <c r="I8" s="2073"/>
      <c r="J8" s="2074" t="s">
        <v>1025</v>
      </c>
      <c r="K8" s="2075"/>
      <c r="L8" s="2076"/>
      <c r="M8" s="2077"/>
      <c r="N8" s="639"/>
    </row>
    <row r="9" spans="2:14" ht="35.25" customHeight="1">
      <c r="B9" s="638"/>
      <c r="C9" s="1233" t="s">
        <v>1026</v>
      </c>
      <c r="D9" s="2085" t="str">
        <f>+RIGHT(D8,3)</f>
        <v>고객님</v>
      </c>
      <c r="E9" s="2086"/>
      <c r="F9" s="2086"/>
      <c r="G9" s="2086"/>
      <c r="H9" s="2086"/>
      <c r="I9" s="2087"/>
      <c r="J9" s="2074" t="s">
        <v>1027</v>
      </c>
      <c r="K9" s="2075"/>
      <c r="L9" s="2088"/>
      <c r="M9" s="2089"/>
      <c r="N9" s="639"/>
    </row>
    <row r="10" spans="2:14" ht="20.100000000000001" customHeight="1">
      <c r="B10" s="638"/>
      <c r="C10" s="640"/>
      <c r="D10" s="641"/>
      <c r="E10" s="641"/>
      <c r="F10" s="641"/>
      <c r="G10" s="641"/>
      <c r="H10" s="641"/>
      <c r="I10" s="641"/>
      <c r="J10" s="2098" t="s">
        <v>1028</v>
      </c>
      <c r="K10" s="2098"/>
      <c r="L10" s="2099">
        <f>+운용리스_단일!BF48</f>
        <v>0</v>
      </c>
      <c r="M10" s="2099"/>
      <c r="N10" s="639"/>
    </row>
    <row r="11" spans="2:14" ht="20.100000000000001" customHeight="1">
      <c r="B11" s="638"/>
      <c r="C11" s="642" t="s">
        <v>1029</v>
      </c>
      <c r="D11" s="635"/>
      <c r="E11" s="635"/>
      <c r="F11" s="635"/>
      <c r="G11" s="635"/>
      <c r="H11" s="635"/>
      <c r="I11" s="635"/>
      <c r="J11" s="635"/>
      <c r="K11" s="635"/>
      <c r="L11" s="635"/>
      <c r="M11" s="635"/>
      <c r="N11" s="639"/>
    </row>
    <row r="12" spans="2:14" ht="24.95" customHeight="1">
      <c r="B12" s="643"/>
      <c r="C12" s="1205" t="s">
        <v>1030</v>
      </c>
      <c r="D12" s="2085" t="str">
        <f>+운용리스_단일!AS7</f>
        <v>GV80 3.5T (가솔린)_Coupe</v>
      </c>
      <c r="E12" s="2086"/>
      <c r="F12" s="2086"/>
      <c r="G12" s="2086"/>
      <c r="H12" s="2086"/>
      <c r="I12" s="2086"/>
      <c r="J12" s="2087"/>
      <c r="K12" s="1206" t="s">
        <v>1031</v>
      </c>
      <c r="L12" s="2071" t="str">
        <f>VLOOKUP(운용리스_단일!$AS$7,차량정보!$D$842:$CL$1094,24,0)</f>
        <v>가솔린</v>
      </c>
      <c r="M12" s="2073"/>
      <c r="N12" s="639"/>
    </row>
    <row r="13" spans="2:14" ht="5.0999999999999996" customHeight="1">
      <c r="B13" s="644"/>
      <c r="C13" s="645"/>
      <c r="D13" s="646"/>
      <c r="E13" s="646"/>
      <c r="F13" s="646"/>
      <c r="G13" s="646"/>
      <c r="H13" s="646"/>
      <c r="I13" s="646"/>
      <c r="J13" s="646"/>
      <c r="K13" s="647"/>
      <c r="L13" s="645"/>
      <c r="M13" s="645"/>
      <c r="N13" s="648"/>
    </row>
    <row r="14" spans="2:14" ht="24.95" customHeight="1">
      <c r="B14" s="644"/>
      <c r="C14" s="1209" t="s">
        <v>1032</v>
      </c>
      <c r="D14" s="2100" t="s">
        <v>1033</v>
      </c>
      <c r="E14" s="2101"/>
      <c r="F14" s="2101"/>
      <c r="G14" s="2101"/>
      <c r="H14" s="2101"/>
      <c r="I14" s="2101"/>
      <c r="J14" s="2102"/>
      <c r="K14" s="1207" t="s">
        <v>1034</v>
      </c>
      <c r="L14" s="2060">
        <f>+운용리스_단일!BO7</f>
        <v>0</v>
      </c>
      <c r="M14" s="2060"/>
      <c r="N14" s="648"/>
    </row>
    <row r="15" spans="2:14" ht="24.95" customHeight="1">
      <c r="B15" s="644"/>
      <c r="C15" s="2048" t="s">
        <v>1035</v>
      </c>
      <c r="D15" s="2051" t="str">
        <f>+운용리스_단일!AS8</f>
        <v>-</v>
      </c>
      <c r="E15" s="2052"/>
      <c r="F15" s="2052"/>
      <c r="G15" s="2052"/>
      <c r="H15" s="2052"/>
      <c r="I15" s="2052"/>
      <c r="J15" s="2053"/>
      <c r="K15" s="1207" t="s">
        <v>1036</v>
      </c>
      <c r="L15" s="2060">
        <f>+운용리스_단일!BO8</f>
        <v>0</v>
      </c>
      <c r="M15" s="2060"/>
      <c r="N15" s="648"/>
    </row>
    <row r="16" spans="2:14" ht="24.95" customHeight="1">
      <c r="B16" s="644"/>
      <c r="C16" s="2049"/>
      <c r="D16" s="2054"/>
      <c r="E16" s="2055"/>
      <c r="F16" s="2055"/>
      <c r="G16" s="2055"/>
      <c r="H16" s="2055"/>
      <c r="I16" s="2055"/>
      <c r="J16" s="2056"/>
      <c r="K16" s="2061" t="s">
        <v>1037</v>
      </c>
      <c r="L16" s="2063">
        <f>+운용리스_단일!K22</f>
        <v>0</v>
      </c>
      <c r="M16" s="2064"/>
      <c r="N16" s="648"/>
    </row>
    <row r="17" spans="2:14" ht="24.95" customHeight="1">
      <c r="B17" s="644"/>
      <c r="C17" s="2050"/>
      <c r="D17" s="2057"/>
      <c r="E17" s="2058"/>
      <c r="F17" s="2058"/>
      <c r="G17" s="2058"/>
      <c r="H17" s="2058"/>
      <c r="I17" s="2058"/>
      <c r="J17" s="2059"/>
      <c r="K17" s="2062"/>
      <c r="L17" s="2065"/>
      <c r="M17" s="2066"/>
      <c r="N17" s="648"/>
    </row>
    <row r="18" spans="2:14" ht="5.0999999999999996" customHeight="1" thickBot="1">
      <c r="B18" s="644"/>
      <c r="C18" s="647"/>
      <c r="D18" s="645"/>
      <c r="E18" s="645"/>
      <c r="F18" s="645"/>
      <c r="G18" s="645"/>
      <c r="H18" s="645"/>
      <c r="I18" s="645"/>
      <c r="J18" s="645"/>
      <c r="K18" s="645"/>
      <c r="L18" s="645"/>
      <c r="M18" s="645"/>
      <c r="N18" s="648"/>
    </row>
    <row r="19" spans="2:14" ht="24.95" customHeight="1" thickBot="1">
      <c r="B19" s="644"/>
      <c r="C19" s="1209" t="s">
        <v>1038</v>
      </c>
      <c r="D19" s="2090">
        <f>+운용리스_단일!AS11</f>
        <v>0</v>
      </c>
      <c r="E19" s="2091"/>
      <c r="F19" s="2092"/>
      <c r="G19" s="1217" t="s">
        <v>1039</v>
      </c>
      <c r="H19" s="2093">
        <f>+운용리스_단일!BF12</f>
        <v>0</v>
      </c>
      <c r="I19" s="2094"/>
      <c r="J19" s="1211" t="s">
        <v>1040</v>
      </c>
      <c r="K19" s="2095">
        <f>+D19+H19-운용리스_단일!BF13+운용리스_단일!CH5</f>
        <v>0</v>
      </c>
      <c r="L19" s="2096"/>
      <c r="M19" s="2097"/>
      <c r="N19" s="648"/>
    </row>
    <row r="20" spans="2:14" ht="20.100000000000001" customHeight="1" thickBot="1">
      <c r="B20" s="644"/>
      <c r="C20" s="650"/>
      <c r="D20" s="651"/>
      <c r="E20" s="652"/>
      <c r="F20" s="652"/>
      <c r="G20" s="653"/>
      <c r="H20" s="2080" t="s">
        <v>3239</v>
      </c>
      <c r="I20" s="2081"/>
      <c r="J20" s="2082">
        <f>+운용리스_단일!$K$24*120%</f>
        <v>0</v>
      </c>
      <c r="K20" s="2083"/>
      <c r="L20" s="2083"/>
      <c r="M20" s="2084"/>
      <c r="N20" s="648"/>
    </row>
    <row r="21" spans="2:14" ht="24.95" customHeight="1">
      <c r="B21" s="644"/>
      <c r="C21" s="655" t="s">
        <v>1041</v>
      </c>
      <c r="D21" s="656"/>
      <c r="E21" s="656"/>
      <c r="F21" s="656"/>
      <c r="G21" s="656"/>
      <c r="H21" s="656"/>
      <c r="I21" s="656"/>
      <c r="J21" s="656"/>
      <c r="K21" s="656"/>
      <c r="L21" s="656"/>
      <c r="M21" s="656"/>
      <c r="N21" s="648"/>
    </row>
    <row r="22" spans="2:14" ht="24.95" customHeight="1">
      <c r="B22" s="644"/>
      <c r="C22" s="1209" t="s">
        <v>1042</v>
      </c>
      <c r="D22" s="2039" t="str">
        <f>+운용리스_단일!AA17&amp;"개월"</f>
        <v>60개월</v>
      </c>
      <c r="E22" s="2039"/>
      <c r="F22" s="2040" t="s">
        <v>1043</v>
      </c>
      <c r="G22" s="2040"/>
      <c r="H22" s="2041" t="e">
        <f ca="1">+운용리스_단일!AA27</f>
        <v>#DIV/0!</v>
      </c>
      <c r="I22" s="2041"/>
      <c r="J22" s="2040" t="s">
        <v>1044</v>
      </c>
      <c r="K22" s="2040"/>
      <c r="L22" s="2042" t="s">
        <v>2488</v>
      </c>
      <c r="M22" s="2042"/>
      <c r="N22" s="648"/>
    </row>
    <row r="23" spans="2:14" ht="24.95" customHeight="1" thickBot="1">
      <c r="B23" s="644"/>
      <c r="C23" s="1209" t="s">
        <v>1045</v>
      </c>
      <c r="D23" s="2043" t="e">
        <f>+운용리스_단일!AA19</f>
        <v>#DIV/0!</v>
      </c>
      <c r="E23" s="2043"/>
      <c r="F23" s="2040" t="s">
        <v>1046</v>
      </c>
      <c r="G23" s="2040"/>
      <c r="H23" s="2044" t="e">
        <f>+운용리스_단일!AA23</f>
        <v>#DIV/0!</v>
      </c>
      <c r="I23" s="2045"/>
      <c r="J23" s="2046" t="s">
        <v>1047</v>
      </c>
      <c r="K23" s="2046"/>
      <c r="L23" s="2047">
        <f>+운용리스_단일!AA18</f>
        <v>20000</v>
      </c>
      <c r="M23" s="2047"/>
      <c r="N23" s="648"/>
    </row>
    <row r="24" spans="2:14" ht="24.95" customHeight="1" thickBot="1">
      <c r="B24" s="644"/>
      <c r="C24" s="1209" t="s">
        <v>1048</v>
      </c>
      <c r="D24" s="2029" t="e">
        <f>+운용리스_단일!AA21</f>
        <v>#DIV/0!</v>
      </c>
      <c r="E24" s="2029"/>
      <c r="F24" s="2030" t="s">
        <v>1049</v>
      </c>
      <c r="G24" s="2030"/>
      <c r="H24" s="2031">
        <f>+운용리스_단일!AD23</f>
        <v>0</v>
      </c>
      <c r="I24" s="2032"/>
      <c r="J24" s="2033" t="s">
        <v>1050</v>
      </c>
      <c r="K24" s="2034"/>
      <c r="L24" s="2035" t="e">
        <f>+계산_운용리스_단일!N20</f>
        <v>#DIV/0!</v>
      </c>
      <c r="M24" s="2036"/>
      <c r="N24" s="648"/>
    </row>
    <row r="25" spans="2:14" ht="20.100000000000001" customHeight="1">
      <c r="B25" s="644"/>
      <c r="C25" s="650"/>
      <c r="D25" s="652"/>
      <c r="E25" s="652"/>
      <c r="F25" s="652"/>
      <c r="G25" s="653"/>
      <c r="H25" s="652"/>
      <c r="I25" s="652"/>
      <c r="J25" s="654"/>
      <c r="K25" s="652"/>
      <c r="L25" s="652"/>
      <c r="M25" s="652"/>
      <c r="N25" s="648"/>
    </row>
    <row r="26" spans="2:14" ht="24.95" hidden="1" customHeight="1">
      <c r="B26" s="644"/>
      <c r="C26" s="655" t="s">
        <v>1051</v>
      </c>
      <c r="D26" s="656"/>
      <c r="E26" s="656"/>
      <c r="F26" s="656"/>
      <c r="G26" s="656"/>
      <c r="H26" s="656"/>
      <c r="I26" s="656"/>
      <c r="J26" s="656"/>
      <c r="K26" s="656"/>
      <c r="L26" s="656"/>
      <c r="M26" s="656"/>
      <c r="N26" s="648"/>
    </row>
    <row r="27" spans="2:14" ht="24.95" hidden="1" customHeight="1">
      <c r="B27" s="644"/>
      <c r="C27" s="649" t="s">
        <v>1052</v>
      </c>
      <c r="D27" s="2037" t="s">
        <v>1139</v>
      </c>
      <c r="E27" s="2037"/>
      <c r="F27" s="2038" t="s">
        <v>1053</v>
      </c>
      <c r="G27" s="2038"/>
      <c r="H27" s="2039" t="s">
        <v>1141</v>
      </c>
      <c r="I27" s="2039"/>
      <c r="J27" s="2038" t="s">
        <v>1054</v>
      </c>
      <c r="K27" s="2038"/>
      <c r="L27" s="2037" t="s">
        <v>1142</v>
      </c>
      <c r="M27" s="2037"/>
      <c r="N27" s="648"/>
    </row>
    <row r="28" spans="2:14" ht="20.100000000000001" hidden="1" customHeight="1">
      <c r="B28" s="644"/>
      <c r="C28" s="650"/>
      <c r="D28" s="652"/>
      <c r="E28" s="652"/>
      <c r="F28" s="652"/>
      <c r="G28" s="653"/>
      <c r="H28" s="652"/>
      <c r="I28" s="652"/>
      <c r="J28" s="654"/>
      <c r="K28" s="652"/>
      <c r="L28" s="652"/>
      <c r="M28" s="652"/>
      <c r="N28" s="648"/>
    </row>
    <row r="29" spans="2:14" ht="24.95" hidden="1" customHeight="1">
      <c r="B29" s="644"/>
      <c r="C29" s="655" t="s">
        <v>1055</v>
      </c>
      <c r="D29" s="656"/>
      <c r="E29" s="656"/>
      <c r="F29" s="656"/>
      <c r="G29" s="656"/>
      <c r="H29" s="656"/>
      <c r="I29" s="656"/>
      <c r="J29" s="656"/>
      <c r="K29" s="656"/>
      <c r="L29" s="656"/>
      <c r="M29" s="656"/>
      <c r="N29" s="648"/>
    </row>
    <row r="30" spans="2:14" ht="24.95" hidden="1" customHeight="1">
      <c r="B30" s="644"/>
      <c r="C30" s="649" t="s">
        <v>1056</v>
      </c>
      <c r="D30" s="2023" t="s">
        <v>1140</v>
      </c>
      <c r="E30" s="2024"/>
      <c r="F30" s="2024"/>
      <c r="G30" s="2024"/>
      <c r="H30" s="2024"/>
      <c r="I30" s="2024"/>
      <c r="J30" s="2024"/>
      <c r="K30" s="2024"/>
      <c r="L30" s="2024"/>
      <c r="M30" s="2025"/>
      <c r="N30" s="648"/>
    </row>
    <row r="31" spans="2:14" ht="20.100000000000001" customHeight="1">
      <c r="B31" s="644"/>
      <c r="C31" s="650"/>
      <c r="D31" s="652"/>
      <c r="E31" s="652"/>
      <c r="F31" s="652"/>
      <c r="G31" s="653"/>
      <c r="H31" s="652"/>
      <c r="I31" s="652"/>
      <c r="J31" s="654"/>
      <c r="K31" s="652"/>
      <c r="L31" s="652"/>
      <c r="M31" s="652"/>
      <c r="N31" s="648"/>
    </row>
    <row r="32" spans="2:14" ht="20.100000000000001" customHeight="1">
      <c r="B32" s="644"/>
      <c r="C32" s="2028" t="str">
        <f>"■ 용품신청"&amp;"_"&amp;J32&amp;" 노란색만 수정 "</f>
        <v xml:space="preserve">■ 용품신청_유림 노란색만 수정 </v>
      </c>
      <c r="D32" s="2028"/>
      <c r="E32" s="2028"/>
      <c r="F32" s="2028"/>
      <c r="G32" s="2028"/>
      <c r="H32" s="2028"/>
      <c r="I32" s="2028"/>
      <c r="J32" s="712" t="str">
        <f>IF(OR(운용리스_단일!DO21="서산",운용리스_단일!DO21="화성",운용리스_단일!DO21="광주"),"선보","유림")</f>
        <v>유림</v>
      </c>
      <c r="K32" s="656"/>
      <c r="L32" s="656"/>
      <c r="M32" s="656"/>
      <c r="N32" s="648"/>
    </row>
    <row r="33" spans="1:17" ht="24.95" customHeight="1">
      <c r="B33" s="644"/>
      <c r="C33" s="1216" t="s">
        <v>1057</v>
      </c>
      <c r="D33" s="2026" t="s">
        <v>1058</v>
      </c>
      <c r="E33" s="2026"/>
      <c r="F33" s="2026" t="s">
        <v>1059</v>
      </c>
      <c r="G33" s="2026"/>
      <c r="H33" s="2026" t="s">
        <v>1060</v>
      </c>
      <c r="I33" s="2026"/>
      <c r="J33" s="2027" t="s">
        <v>1061</v>
      </c>
      <c r="K33" s="2027"/>
      <c r="L33" s="2027" t="s">
        <v>1062</v>
      </c>
      <c r="M33" s="2027"/>
      <c r="N33" s="648"/>
    </row>
    <row r="34" spans="1:17" ht="24.95" customHeight="1">
      <c r="B34" s="644"/>
      <c r="C34" s="1209" t="s">
        <v>1063</v>
      </c>
      <c r="D34" s="854" t="s">
        <v>1546</v>
      </c>
      <c r="E34" s="852" t="s">
        <v>1546</v>
      </c>
      <c r="F34" s="854" t="s">
        <v>1546</v>
      </c>
      <c r="G34" s="853" t="s">
        <v>1546</v>
      </c>
      <c r="H34" s="1997" t="s">
        <v>1677</v>
      </c>
      <c r="I34" s="1998"/>
      <c r="J34" s="1999" t="s">
        <v>1064</v>
      </c>
      <c r="K34" s="2000"/>
      <c r="L34" s="2001"/>
      <c r="M34" s="2001"/>
      <c r="N34" s="648"/>
    </row>
    <row r="35" spans="1:17" ht="24.95" customHeight="1">
      <c r="B35" s="644"/>
      <c r="C35" s="1209" t="s">
        <v>1065</v>
      </c>
      <c r="D35" s="2002">
        <f>+VLOOKUP($E$34,'실행(발주)요청서'!$Q$20:$R$24,2,0)</f>
        <v>0</v>
      </c>
      <c r="E35" s="2003"/>
      <c r="F35" s="2002">
        <f>+VLOOKUP($G$34,'실행(발주)요청서'!$Q$14:$R$17,2,0)</f>
        <v>0</v>
      </c>
      <c r="G35" s="2003"/>
      <c r="H35" s="2002">
        <f>+VLOOKUP($H$34,'실행(발주)요청서'!$Q$7:$R$12,2,0)</f>
        <v>0</v>
      </c>
      <c r="I35" s="2003"/>
      <c r="J35" s="2004"/>
      <c r="K35" s="2005"/>
      <c r="L35" s="2006">
        <f>SUM(D35:K35)</f>
        <v>0</v>
      </c>
      <c r="M35" s="2007"/>
      <c r="N35" s="648"/>
    </row>
    <row r="36" spans="1:17" ht="20.100000000000001" customHeight="1">
      <c r="B36" s="644"/>
      <c r="C36" s="656"/>
      <c r="D36" s="656"/>
      <c r="E36" s="656"/>
      <c r="F36" s="656"/>
      <c r="G36" s="656"/>
      <c r="H36" s="656"/>
      <c r="I36" s="656"/>
      <c r="J36" s="656"/>
      <c r="K36" s="656"/>
      <c r="L36" s="656"/>
      <c r="M36" s="656"/>
      <c r="N36" s="648"/>
    </row>
    <row r="37" spans="1:17" ht="20.100000000000001" customHeight="1">
      <c r="B37" s="644"/>
      <c r="C37" s="655" t="s">
        <v>1066</v>
      </c>
      <c r="D37" s="656"/>
      <c r="E37" s="656"/>
      <c r="F37" s="656"/>
      <c r="G37" s="656"/>
      <c r="H37" s="656"/>
      <c r="I37" s="656"/>
      <c r="J37" s="656"/>
      <c r="K37" s="656"/>
      <c r="L37" s="656"/>
      <c r="M37" s="656"/>
      <c r="N37" s="648"/>
    </row>
    <row r="38" spans="1:17" ht="24.95" customHeight="1">
      <c r="B38" s="644"/>
      <c r="C38" s="1209" t="s">
        <v>1067</v>
      </c>
      <c r="D38" s="2008" t="str">
        <f>IF(OR(운용리스_단일!DO21="서산",운용리스_단일!DO21="화성",운용리스_단일!DO21="광주"),"선보",IF(운용리스_단일!CN22="딜러/Agent","직접등록","유림"))</f>
        <v>직접등록</v>
      </c>
      <c r="E38" s="2009"/>
      <c r="F38" s="2010"/>
      <c r="G38" s="2010"/>
      <c r="H38" s="2010"/>
      <c r="I38" s="2010"/>
      <c r="J38" s="2010"/>
      <c r="K38" s="2010"/>
      <c r="L38" s="2010"/>
      <c r="M38" s="2011"/>
      <c r="N38" s="648"/>
    </row>
    <row r="39" spans="1:17" ht="24.95" customHeight="1">
      <c r="B39" s="644"/>
      <c r="C39" s="1209" t="s">
        <v>1068</v>
      </c>
      <c r="D39" s="2020"/>
      <c r="E39" s="2021"/>
      <c r="F39" s="2021"/>
      <c r="G39" s="2021"/>
      <c r="H39" s="2021"/>
      <c r="I39" s="2021"/>
      <c r="J39" s="2021"/>
      <c r="K39" s="2021"/>
      <c r="L39" s="2021"/>
      <c r="M39" s="2022"/>
      <c r="N39" s="648"/>
    </row>
    <row r="40" spans="1:17" ht="24.95" customHeight="1">
      <c r="B40" s="644"/>
      <c r="C40" s="1209" t="s">
        <v>1069</v>
      </c>
      <c r="D40" s="2012"/>
      <c r="E40" s="2013"/>
      <c r="F40" s="1216" t="s">
        <v>1070</v>
      </c>
      <c r="G40" s="2014"/>
      <c r="H40" s="2015"/>
      <c r="I40" s="2016"/>
      <c r="J40" s="1216" t="s">
        <v>1071</v>
      </c>
      <c r="K40" s="2017"/>
      <c r="L40" s="2018"/>
      <c r="M40" s="2019"/>
      <c r="N40" s="648"/>
      <c r="Q40" s="657" t="s">
        <v>1072</v>
      </c>
    </row>
    <row r="41" spans="1:17" ht="20.100000000000001" customHeight="1">
      <c r="B41" s="644"/>
      <c r="C41" s="656"/>
      <c r="D41" s="656"/>
      <c r="E41" s="656"/>
      <c r="F41" s="658"/>
      <c r="G41" s="1973"/>
      <c r="H41" s="1973"/>
      <c r="I41" s="1973"/>
      <c r="J41" s="658"/>
      <c r="K41" s="1973"/>
      <c r="L41" s="1973"/>
      <c r="M41" s="1973"/>
      <c r="N41" s="648"/>
      <c r="Q41" s="657" t="s">
        <v>1073</v>
      </c>
    </row>
    <row r="42" spans="1:17" ht="20.100000000000001" customHeight="1">
      <c r="B42" s="644"/>
      <c r="C42" s="655" t="s">
        <v>1074</v>
      </c>
      <c r="D42" s="656"/>
      <c r="E42" s="656"/>
      <c r="F42" s="656"/>
      <c r="G42" s="656"/>
      <c r="H42" s="656"/>
      <c r="I42" s="656"/>
      <c r="J42" s="656"/>
      <c r="K42" s="656"/>
      <c r="L42" s="656"/>
      <c r="M42" s="656"/>
      <c r="N42" s="648"/>
      <c r="Q42" s="657" t="s">
        <v>1075</v>
      </c>
    </row>
    <row r="43" spans="1:17" ht="24.95" customHeight="1">
      <c r="B43" s="644"/>
      <c r="C43" s="1209" t="s">
        <v>1076</v>
      </c>
      <c r="D43" s="1974" t="s">
        <v>1077</v>
      </c>
      <c r="E43" s="1975"/>
      <c r="F43" s="1976"/>
      <c r="G43" s="1974" t="s">
        <v>1078</v>
      </c>
      <c r="H43" s="1975"/>
      <c r="I43" s="1976"/>
      <c r="J43" s="1974" t="s">
        <v>1079</v>
      </c>
      <c r="K43" s="1975"/>
      <c r="L43" s="1976"/>
      <c r="M43" s="659" t="s">
        <v>1080</v>
      </c>
      <c r="N43" s="648"/>
      <c r="Q43" s="657" t="s">
        <v>1081</v>
      </c>
    </row>
    <row r="44" spans="1:17" ht="24.95" customHeight="1">
      <c r="B44" s="644"/>
      <c r="C44" s="1209" t="s">
        <v>1082</v>
      </c>
      <c r="D44" s="1977"/>
      <c r="E44" s="1978"/>
      <c r="F44" s="1979"/>
      <c r="G44" s="1977"/>
      <c r="H44" s="1978"/>
      <c r="I44" s="1979"/>
      <c r="J44" s="1980">
        <f>+운용리스_단일!BF49</f>
        <v>0</v>
      </c>
      <c r="K44" s="1981"/>
      <c r="L44" s="1982"/>
      <c r="M44" s="660">
        <f>+운용리스_단일!BF50</f>
        <v>0</v>
      </c>
      <c r="N44" s="648"/>
      <c r="Q44" s="657" t="s">
        <v>1083</v>
      </c>
    </row>
    <row r="45" spans="1:17" ht="24.95" customHeight="1">
      <c r="B45" s="644"/>
      <c r="C45" s="1213" t="s">
        <v>1084</v>
      </c>
      <c r="D45" s="1985"/>
      <c r="E45" s="1986"/>
      <c r="F45" s="1987"/>
      <c r="G45" s="1988"/>
      <c r="H45" s="1989"/>
      <c r="I45" s="1990"/>
      <c r="J45" s="1988">
        <f>+'AG 입력시트'!S13</f>
        <v>0</v>
      </c>
      <c r="K45" s="1989"/>
      <c r="L45" s="1990"/>
      <c r="M45" s="661" t="s">
        <v>1085</v>
      </c>
      <c r="N45" s="648"/>
      <c r="Q45" s="657" t="s">
        <v>1086</v>
      </c>
    </row>
    <row r="46" spans="1:17" ht="20.100000000000001" customHeight="1">
      <c r="A46" s="662"/>
      <c r="B46" s="644"/>
      <c r="C46" s="663"/>
      <c r="D46" s="664"/>
      <c r="E46" s="664"/>
      <c r="F46" s="664"/>
      <c r="G46" s="1991" t="s">
        <v>1087</v>
      </c>
      <c r="H46" s="1992"/>
      <c r="I46" s="1993"/>
      <c r="J46" s="1994">
        <f>J45+0.6%</f>
        <v>6.0000000000000001E-3</v>
      </c>
      <c r="K46" s="1995"/>
      <c r="L46" s="1996"/>
      <c r="M46" s="645"/>
      <c r="N46" s="648"/>
      <c r="Q46" s="657"/>
    </row>
    <row r="47" spans="1:17" ht="20.100000000000001" customHeight="1">
      <c r="A47" s="662"/>
      <c r="B47" s="644"/>
      <c r="C47" s="655" t="s">
        <v>1088</v>
      </c>
      <c r="D47" s="656"/>
      <c r="E47" s="656"/>
      <c r="F47" s="656"/>
      <c r="G47" s="656"/>
      <c r="H47" s="656"/>
      <c r="I47" s="656"/>
      <c r="J47" s="656"/>
      <c r="K47" s="656"/>
      <c r="L47" s="656"/>
      <c r="M47" s="656"/>
      <c r="N47" s="648"/>
    </row>
    <row r="48" spans="1:17" ht="20.100000000000001" customHeight="1">
      <c r="A48" s="662"/>
      <c r="B48" s="644"/>
      <c r="C48" s="1961" t="s">
        <v>1089</v>
      </c>
      <c r="D48" s="1963" t="str">
        <f>+IF(OR(운용리스_단일!AS6="현대특판",운용리스_단일!AS6="현대"),"현대자동차","기아자동차")</f>
        <v>현대자동차</v>
      </c>
      <c r="E48" s="1964"/>
      <c r="F48" s="1967"/>
      <c r="G48" s="1968"/>
      <c r="H48" s="1968"/>
      <c r="I48" s="1968"/>
      <c r="J48" s="1968"/>
      <c r="K48" s="1968"/>
      <c r="L48" s="1969"/>
      <c r="M48" s="1983" t="str">
        <f>IF(L6="특판출고","계약금없음",VLOOKUP(D12,차량정보!$D$733:$CL$10705,21,0))</f>
        <v>50만원</v>
      </c>
      <c r="N48" s="648"/>
    </row>
    <row r="49" spans="1:14" ht="20.100000000000001" customHeight="1">
      <c r="A49" s="662"/>
      <c r="B49" s="644"/>
      <c r="C49" s="1962"/>
      <c r="D49" s="1965"/>
      <c r="E49" s="1966"/>
      <c r="F49" s="1970"/>
      <c r="G49" s="1971"/>
      <c r="H49" s="1971"/>
      <c r="I49" s="1971"/>
      <c r="J49" s="1971"/>
      <c r="K49" s="1971"/>
      <c r="L49" s="1972"/>
      <c r="M49" s="1984"/>
      <c r="N49" s="648"/>
    </row>
    <row r="50" spans="1:14" ht="15" customHeight="1">
      <c r="A50" s="662"/>
      <c r="B50" s="665"/>
      <c r="C50" s="666"/>
      <c r="D50" s="666"/>
      <c r="E50" s="666"/>
      <c r="F50" s="666"/>
      <c r="G50" s="666"/>
      <c r="H50" s="666"/>
      <c r="I50" s="666"/>
      <c r="J50" s="666"/>
      <c r="K50" s="666"/>
      <c r="L50" s="666"/>
      <c r="M50" s="667">
        <f ca="1">TODAY()</f>
        <v>45646</v>
      </c>
      <c r="N50" s="668"/>
    </row>
    <row r="51" spans="1:14" ht="15" customHeight="1">
      <c r="A51" s="662"/>
    </row>
    <row r="52" spans="1:14" ht="15" customHeight="1">
      <c r="A52" s="662"/>
    </row>
    <row r="53" spans="1:14" ht="15" customHeight="1">
      <c r="A53" s="662"/>
    </row>
    <row r="54" spans="1:14" ht="15" customHeight="1">
      <c r="A54" s="662"/>
    </row>
    <row r="55" spans="1:14" ht="15.95" customHeight="1">
      <c r="A55" s="662"/>
    </row>
    <row r="56" spans="1:14" ht="15.95" customHeight="1">
      <c r="A56" s="662"/>
    </row>
    <row r="57" spans="1:14" ht="15.95" customHeight="1">
      <c r="A57" s="662"/>
    </row>
    <row r="58" spans="1:14" ht="15.95" customHeight="1">
      <c r="A58" s="662"/>
    </row>
    <row r="59" spans="1:14" ht="15.95" customHeight="1">
      <c r="A59" s="662"/>
    </row>
    <row r="60" spans="1:14" ht="15.95" customHeight="1">
      <c r="A60" s="662"/>
    </row>
    <row r="61" spans="1:14" ht="15.95" customHeight="1">
      <c r="A61" s="662"/>
    </row>
    <row r="62" spans="1:14" ht="15.95" customHeight="1">
      <c r="A62" s="662"/>
    </row>
    <row r="63" spans="1:14" ht="15" customHeight="1">
      <c r="A63" s="662"/>
    </row>
    <row r="64" spans="1:14" ht="15" customHeight="1">
      <c r="A64" s="662"/>
    </row>
    <row r="65" spans="1:14" ht="15" customHeight="1">
      <c r="A65" s="662"/>
    </row>
    <row r="66" spans="1:14" ht="15" customHeight="1">
      <c r="A66" s="662"/>
      <c r="N66" s="669"/>
    </row>
    <row r="67" spans="1:14" ht="15" customHeight="1">
      <c r="A67" s="662"/>
    </row>
    <row r="68" spans="1:14" ht="15" customHeight="1">
      <c r="A68" s="662"/>
    </row>
    <row r="69" spans="1:14" ht="15" customHeight="1">
      <c r="A69" s="662"/>
    </row>
    <row r="70" spans="1:14" ht="15" customHeight="1">
      <c r="A70" s="662"/>
    </row>
    <row r="71" spans="1:14" ht="15" customHeight="1">
      <c r="A71" s="662"/>
    </row>
    <row r="72" spans="1:14" ht="15" customHeight="1">
      <c r="A72" s="662"/>
    </row>
    <row r="73" spans="1:14" ht="15" customHeight="1">
      <c r="A73" s="662"/>
    </row>
    <row r="74" spans="1:14" ht="15" customHeight="1">
      <c r="A74" s="662"/>
    </row>
    <row r="75" spans="1:14" ht="15" customHeight="1">
      <c r="A75" s="662"/>
    </row>
    <row r="76" spans="1:14" ht="15" customHeight="1">
      <c r="A76" s="662"/>
    </row>
    <row r="77" spans="1:14" ht="15" customHeight="1">
      <c r="A77" s="662"/>
    </row>
    <row r="78" spans="1:14" ht="15" customHeight="1">
      <c r="A78" s="662"/>
    </row>
    <row r="79" spans="1:14" ht="15" customHeight="1">
      <c r="A79" s="662"/>
    </row>
    <row r="80" spans="1:14" ht="15" customHeight="1">
      <c r="A80" s="662"/>
    </row>
    <row r="81" spans="1:1" ht="15" customHeight="1">
      <c r="A81" s="662"/>
    </row>
  </sheetData>
  <mergeCells count="82">
    <mergeCell ref="H20:I20"/>
    <mergeCell ref="J20:M20"/>
    <mergeCell ref="D9:I9"/>
    <mergeCell ref="J9:K9"/>
    <mergeCell ref="L9:M9"/>
    <mergeCell ref="D19:F19"/>
    <mergeCell ref="H19:I19"/>
    <mergeCell ref="K19:M19"/>
    <mergeCell ref="J10:K10"/>
    <mergeCell ref="L10:M10"/>
    <mergeCell ref="D12:J12"/>
    <mergeCell ref="L12:M12"/>
    <mergeCell ref="D14:J14"/>
    <mergeCell ref="L14:M14"/>
    <mergeCell ref="C3:M4"/>
    <mergeCell ref="L6:M6"/>
    <mergeCell ref="D8:I8"/>
    <mergeCell ref="J8:K8"/>
    <mergeCell ref="L8:M8"/>
    <mergeCell ref="C5:C6"/>
    <mergeCell ref="C15:C17"/>
    <mergeCell ref="D15:J17"/>
    <mergeCell ref="L15:M15"/>
    <mergeCell ref="K16:K17"/>
    <mergeCell ref="L16:M17"/>
    <mergeCell ref="D23:E23"/>
    <mergeCell ref="F23:G23"/>
    <mergeCell ref="H23:I23"/>
    <mergeCell ref="J23:K23"/>
    <mergeCell ref="L23:M23"/>
    <mergeCell ref="D22:E22"/>
    <mergeCell ref="F22:G22"/>
    <mergeCell ref="H22:I22"/>
    <mergeCell ref="J22:K22"/>
    <mergeCell ref="L22:M22"/>
    <mergeCell ref="D27:E27"/>
    <mergeCell ref="F27:G27"/>
    <mergeCell ref="H27:I27"/>
    <mergeCell ref="J27:K27"/>
    <mergeCell ref="L27:M27"/>
    <mergeCell ref="D24:E24"/>
    <mergeCell ref="F24:G24"/>
    <mergeCell ref="H24:I24"/>
    <mergeCell ref="J24:K24"/>
    <mergeCell ref="L24:M24"/>
    <mergeCell ref="D30:M30"/>
    <mergeCell ref="D33:E33"/>
    <mergeCell ref="F33:G33"/>
    <mergeCell ref="H33:I33"/>
    <mergeCell ref="J33:K33"/>
    <mergeCell ref="L33:M33"/>
    <mergeCell ref="C32:I32"/>
    <mergeCell ref="J46:L46"/>
    <mergeCell ref="H34:I34"/>
    <mergeCell ref="J34:K34"/>
    <mergeCell ref="L34:M34"/>
    <mergeCell ref="D35:E35"/>
    <mergeCell ref="F35:G35"/>
    <mergeCell ref="H35:I35"/>
    <mergeCell ref="J35:K35"/>
    <mergeCell ref="L35:M35"/>
    <mergeCell ref="D38:M38"/>
    <mergeCell ref="D40:E40"/>
    <mergeCell ref="G40:I40"/>
    <mergeCell ref="K40:M40"/>
    <mergeCell ref="D39:M39"/>
    <mergeCell ref="C48:C49"/>
    <mergeCell ref="D48:E49"/>
    <mergeCell ref="F48:L49"/>
    <mergeCell ref="G41:I41"/>
    <mergeCell ref="K41:M41"/>
    <mergeCell ref="D43:F43"/>
    <mergeCell ref="G43:I43"/>
    <mergeCell ref="J43:L43"/>
    <mergeCell ref="D44:F44"/>
    <mergeCell ref="G44:I44"/>
    <mergeCell ref="J44:L44"/>
    <mergeCell ref="M48:M49"/>
    <mergeCell ref="D45:F45"/>
    <mergeCell ref="G45:I45"/>
    <mergeCell ref="J45:L45"/>
    <mergeCell ref="G46:I46"/>
  </mergeCells>
  <phoneticPr fontId="2" type="noConversion"/>
  <conditionalFormatting sqref="B50:M50 B3:N5 B14:D15 B16:C17 B13:N13 K12:N12 B12:D12 B11:N11 B9 D9 J9 B18:N19 B30:D30 N30 B31:N31 B24:N29 J23:N23 B23:G23 K16:N17 N14:N15 B7:N8 N6 B6 B10:J10 L9:L10 N9:N10 B47:N47 B46:G46 M46:N46 J46 K14:K15 B36:N38 B34:C35 J34:N35 B41:N45 N39 B39:C40 F40 J40:N40 B49:C49 B48:D48 F48 M48:N48 N49 B33:N33 B32:C32 J32:N32 D6:L6 B21:N22 B20:G20 J20 N20">
    <cfRule type="expression" dxfId="29" priority="19">
      <formula>#REF!="영업소출고"</formula>
    </cfRule>
  </conditionalFormatting>
  <conditionalFormatting sqref="L14">
    <cfRule type="expression" dxfId="28" priority="18">
      <formula>#REF!="영업소출고"</formula>
    </cfRule>
  </conditionalFormatting>
  <conditionalFormatting sqref="L15">
    <cfRule type="expression" dxfId="27" priority="16">
      <formula>#REF!="영업소출고"</formula>
    </cfRule>
  </conditionalFormatting>
  <conditionalFormatting sqref="H35">
    <cfRule type="expression" dxfId="26" priority="13" stopIfTrue="1">
      <formula>$D$38="딜러/Agent"</formula>
    </cfRule>
  </conditionalFormatting>
  <conditionalFormatting sqref="H20">
    <cfRule type="expression" dxfId="25" priority="1">
      <formula>#REF!="영업소출고"</formula>
    </cfRule>
  </conditionalFormatting>
  <dataValidations count="4">
    <dataValidation type="list" allowBlank="1" showInputMessage="1" showErrorMessage="1" sqref="J34:K34" xr:uid="{00000000-0002-0000-0600-000000000000}">
      <formula1>"선루프 썬팅, 필름번호판, 페인트번호판, 썬루프썬팅"</formula1>
    </dataValidation>
    <dataValidation type="list" allowBlank="1" showInputMessage="1" showErrorMessage="1" sqref="L22:M22" xr:uid="{00000000-0002-0000-0600-000001000000}">
      <formula1>"APS, 엠플러스, S&amp;K, DS오토,오토플러스"</formula1>
    </dataValidation>
    <dataValidation type="list" allowBlank="1" showInputMessage="1" showErrorMessage="1" sqref="D34 F34" xr:uid="{00000000-0002-0000-0600-000002000000}">
      <formula1>"미선택, 50%, 35%, 15%, 5%"</formula1>
    </dataValidation>
    <dataValidation type="list" allowBlank="1" showInputMessage="1" showErrorMessage="1" sqref="C5:C6" xr:uid="{00000000-0002-0000-0600-000003000000}">
      <formula1>"현대즉출(016683), 기아즉출(016707), 현대특판(001629), 해당없음"</formula1>
    </dataValidation>
  </dataValidations>
  <printOptions horizontalCentered="1" verticalCentered="1"/>
  <pageMargins left="3.937007874015748E-2" right="3.937007874015748E-2" top="3.937007874015748E-2" bottom="3.937007874015748E-2" header="0.31496062992125984" footer="0.31496062992125984"/>
  <pageSetup paperSize="9" scale="76" orientation="portrait"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600-000004000000}">
          <x14:formula1>
            <xm:f>'실행(발주)요청서'!$Q$20:$Q$23</xm:f>
          </x14:formula1>
          <xm:sqref>E34</xm:sqref>
        </x14:dataValidation>
        <x14:dataValidation type="list" allowBlank="1" showInputMessage="1" showErrorMessage="1" xr:uid="{00000000-0002-0000-0600-000005000000}">
          <x14:formula1>
            <xm:f>'실행(발주)요청서'!$Q$14:$Q$17</xm:f>
          </x14:formula1>
          <xm:sqref>G34</xm:sqref>
        </x14:dataValidation>
        <x14:dataValidation type="list" allowBlank="1" showInputMessage="1" showErrorMessage="1" xr:uid="{00000000-0002-0000-0600-000006000000}">
          <x14:formula1>
            <xm:f>'실행(발주)요청서'!$Q$7:$Q$12</xm:f>
          </x14:formula1>
          <xm:sqref>H34:I34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pageSetUpPr fitToPage="1"/>
  </sheetPr>
  <dimension ref="B1:D21"/>
  <sheetViews>
    <sheetView showGridLines="0" view="pageBreakPreview" zoomScale="115" zoomScaleNormal="100" zoomScaleSheetLayoutView="115" workbookViewId="0">
      <selection activeCell="E14" sqref="E14"/>
    </sheetView>
  </sheetViews>
  <sheetFormatPr defaultRowHeight="16.5"/>
  <cols>
    <col min="1" max="1" width="5.625" customWidth="1"/>
    <col min="2" max="2" width="23.375" bestFit="1" customWidth="1"/>
    <col min="3" max="3" width="44.875" customWidth="1"/>
    <col min="4" max="4" width="10.75" customWidth="1"/>
  </cols>
  <sheetData>
    <row r="1" spans="2:4" ht="17.25" thickBot="1">
      <c r="B1" s="876"/>
      <c r="C1" s="876"/>
      <c r="D1" s="876"/>
    </row>
    <row r="2" spans="2:4" ht="36.75" customHeight="1" thickTop="1">
      <c r="B2" s="877" t="s">
        <v>1604</v>
      </c>
      <c r="C2" s="2105"/>
      <c r="D2" s="2106"/>
    </row>
    <row r="3" spans="2:4" ht="36.75" customHeight="1">
      <c r="B3" s="878" t="s">
        <v>1605</v>
      </c>
      <c r="C3" s="2107" t="s">
        <v>1606</v>
      </c>
      <c r="D3" s="2108"/>
    </row>
    <row r="4" spans="2:4" ht="36.75" customHeight="1">
      <c r="B4" s="879" t="s">
        <v>1607</v>
      </c>
      <c r="C4" s="2109" t="s">
        <v>1608</v>
      </c>
      <c r="D4" s="2108"/>
    </row>
    <row r="5" spans="2:4" ht="36.75" customHeight="1">
      <c r="B5" s="879" t="s">
        <v>1609</v>
      </c>
      <c r="C5" s="2109" t="s">
        <v>1610</v>
      </c>
      <c r="D5" s="2108"/>
    </row>
    <row r="6" spans="2:4" ht="36.75" customHeight="1">
      <c r="B6" s="879" t="s">
        <v>1611</v>
      </c>
      <c r="C6" s="2109"/>
      <c r="D6" s="2108"/>
    </row>
    <row r="7" spans="2:4" ht="32.25" customHeight="1">
      <c r="B7" s="879" t="s">
        <v>7</v>
      </c>
      <c r="C7" s="2110" t="s">
        <v>1612</v>
      </c>
      <c r="D7" s="2111"/>
    </row>
    <row r="8" spans="2:4" ht="32.25" customHeight="1">
      <c r="B8" s="880" t="s">
        <v>338</v>
      </c>
      <c r="C8" s="2110" t="s">
        <v>1613</v>
      </c>
      <c r="D8" s="2111"/>
    </row>
    <row r="9" spans="2:4" ht="32.25" customHeight="1">
      <c r="B9" s="880" t="s">
        <v>1614</v>
      </c>
      <c r="C9" s="2112" t="s">
        <v>1615</v>
      </c>
      <c r="D9" s="2113"/>
    </row>
    <row r="10" spans="2:4" ht="36.75" customHeight="1">
      <c r="B10" s="879" t="s">
        <v>1616</v>
      </c>
      <c r="C10" s="2114"/>
      <c r="D10" s="2115"/>
    </row>
    <row r="11" spans="2:4" ht="36.75" customHeight="1">
      <c r="B11" s="879" t="s">
        <v>1617</v>
      </c>
      <c r="C11" s="2114" t="s">
        <v>142</v>
      </c>
      <c r="D11" s="2115"/>
    </row>
    <row r="12" spans="2:4" ht="36.75" customHeight="1">
      <c r="B12" s="879" t="s">
        <v>1618</v>
      </c>
      <c r="C12" s="2116" t="s">
        <v>1610</v>
      </c>
      <c r="D12" s="2117"/>
    </row>
    <row r="13" spans="2:4" ht="36.75" customHeight="1" thickBot="1">
      <c r="B13" s="881" t="s">
        <v>1619</v>
      </c>
      <c r="C13" s="2103" t="s">
        <v>1620</v>
      </c>
      <c r="D13" s="2104"/>
    </row>
    <row r="14" spans="2:4" ht="10.5" customHeight="1" thickTop="1">
      <c r="B14" s="2118"/>
      <c r="C14" s="2118"/>
      <c r="D14" s="2118"/>
    </row>
    <row r="15" spans="2:4" ht="36.75" customHeight="1">
      <c r="B15" s="879" t="s">
        <v>1621</v>
      </c>
      <c r="C15" s="882" t="s">
        <v>1622</v>
      </c>
      <c r="D15" s="883" t="s">
        <v>1623</v>
      </c>
    </row>
    <row r="16" spans="2:4" ht="36.75" customHeight="1">
      <c r="B16" s="879" t="s">
        <v>1624</v>
      </c>
      <c r="C16" s="884"/>
      <c r="D16" s="883" t="s">
        <v>1623</v>
      </c>
    </row>
    <row r="17" spans="2:4" ht="77.25" customHeight="1">
      <c r="B17" s="880" t="s">
        <v>1625</v>
      </c>
      <c r="C17" s="2119"/>
      <c r="D17" s="2108"/>
    </row>
    <row r="18" spans="2:4" ht="36.75" customHeight="1">
      <c r="B18" s="879" t="s">
        <v>1626</v>
      </c>
      <c r="C18" s="2107" t="s">
        <v>1627</v>
      </c>
      <c r="D18" s="2120"/>
    </row>
    <row r="19" spans="2:4" ht="36.75" customHeight="1">
      <c r="B19" s="880" t="s">
        <v>1628</v>
      </c>
      <c r="C19" s="2107"/>
      <c r="D19" s="2120"/>
    </row>
    <row r="20" spans="2:4" ht="36.75" customHeight="1" thickBot="1">
      <c r="B20" s="885" t="s">
        <v>1629</v>
      </c>
      <c r="C20" s="2121" t="s">
        <v>1630</v>
      </c>
      <c r="D20" s="2122"/>
    </row>
    <row r="21" spans="2:4" ht="17.25" thickTop="1"/>
  </sheetData>
  <mergeCells count="17">
    <mergeCell ref="B14:D14"/>
    <mergeCell ref="C17:D17"/>
    <mergeCell ref="C18:D18"/>
    <mergeCell ref="C19:D19"/>
    <mergeCell ref="C20:D20"/>
    <mergeCell ref="C13:D13"/>
    <mergeCell ref="C2:D2"/>
    <mergeCell ref="C3:D3"/>
    <mergeCell ref="C4:D4"/>
    <mergeCell ref="C5:D5"/>
    <mergeCell ref="C6:D6"/>
    <mergeCell ref="C7:D7"/>
    <mergeCell ref="C8:D8"/>
    <mergeCell ref="C9:D9"/>
    <mergeCell ref="C10:D10"/>
    <mergeCell ref="C11:D11"/>
    <mergeCell ref="C12:D12"/>
  </mergeCells>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Check Box 1">
              <controlPr defaultSize="0" autoFill="0" autoLine="0" autoPict="0">
                <anchor moveWithCells="1">
                  <from>
                    <xdr:col>2</xdr:col>
                    <xdr:colOff>962025</xdr:colOff>
                    <xdr:row>3</xdr:row>
                    <xdr:rowOff>104775</xdr:rowOff>
                  </from>
                  <to>
                    <xdr:col>2</xdr:col>
                    <xdr:colOff>1266825</xdr:colOff>
                    <xdr:row>3</xdr:row>
                    <xdr:rowOff>352425</xdr:rowOff>
                  </to>
                </anchor>
              </controlPr>
            </control>
          </mc:Choice>
        </mc:AlternateContent>
        <mc:AlternateContent xmlns:mc="http://schemas.openxmlformats.org/markup-compatibility/2006">
          <mc:Choice Requires="x14">
            <control shapeId="62466" r:id="rId5" name="Check Box 2">
              <controlPr defaultSize="0" autoFill="0" autoLine="0" autoPict="0">
                <anchor moveWithCells="1">
                  <from>
                    <xdr:col>2</xdr:col>
                    <xdr:colOff>1981200</xdr:colOff>
                    <xdr:row>3</xdr:row>
                    <xdr:rowOff>95250</xdr:rowOff>
                  </from>
                  <to>
                    <xdr:col>2</xdr:col>
                    <xdr:colOff>2286000</xdr:colOff>
                    <xdr:row>3</xdr:row>
                    <xdr:rowOff>342900</xdr:rowOff>
                  </to>
                </anchor>
              </controlPr>
            </control>
          </mc:Choice>
        </mc:AlternateContent>
        <mc:AlternateContent xmlns:mc="http://schemas.openxmlformats.org/markup-compatibility/2006">
          <mc:Choice Requires="x14">
            <control shapeId="62467" r:id="rId6" name="Check Box 3">
              <controlPr defaultSize="0" autoFill="0" autoLine="0" autoPict="0">
                <anchor moveWithCells="1">
                  <from>
                    <xdr:col>2</xdr:col>
                    <xdr:colOff>1000125</xdr:colOff>
                    <xdr:row>6</xdr:row>
                    <xdr:rowOff>9525</xdr:rowOff>
                  </from>
                  <to>
                    <xdr:col>2</xdr:col>
                    <xdr:colOff>1381125</xdr:colOff>
                    <xdr:row>6</xdr:row>
                    <xdr:rowOff>390525</xdr:rowOff>
                  </to>
                </anchor>
              </controlPr>
            </control>
          </mc:Choice>
        </mc:AlternateContent>
        <mc:AlternateContent xmlns:mc="http://schemas.openxmlformats.org/markup-compatibility/2006">
          <mc:Choice Requires="x14">
            <control shapeId="62468" r:id="rId7" name="Check Box 4">
              <controlPr defaultSize="0" autoFill="0" autoLine="0" autoPict="0">
                <anchor moveWithCells="1">
                  <from>
                    <xdr:col>2</xdr:col>
                    <xdr:colOff>2333625</xdr:colOff>
                    <xdr:row>6</xdr:row>
                    <xdr:rowOff>0</xdr:rowOff>
                  </from>
                  <to>
                    <xdr:col>2</xdr:col>
                    <xdr:colOff>2638425</xdr:colOff>
                    <xdr:row>6</xdr:row>
                    <xdr:rowOff>381000</xdr:rowOff>
                  </to>
                </anchor>
              </controlPr>
            </control>
          </mc:Choice>
        </mc:AlternateContent>
        <mc:AlternateContent xmlns:mc="http://schemas.openxmlformats.org/markup-compatibility/2006">
          <mc:Choice Requires="x14">
            <control shapeId="62469" r:id="rId8" name="Check Box 5">
              <controlPr defaultSize="0" autoFill="0" autoLine="0" autoPict="0">
                <anchor moveWithCells="1">
                  <from>
                    <xdr:col>2</xdr:col>
                    <xdr:colOff>1000125</xdr:colOff>
                    <xdr:row>7</xdr:row>
                    <xdr:rowOff>47625</xdr:rowOff>
                  </from>
                  <to>
                    <xdr:col>2</xdr:col>
                    <xdr:colOff>1304925</xdr:colOff>
                    <xdr:row>7</xdr:row>
                    <xdr:rowOff>371475</xdr:rowOff>
                  </to>
                </anchor>
              </controlPr>
            </control>
          </mc:Choice>
        </mc:AlternateContent>
        <mc:AlternateContent xmlns:mc="http://schemas.openxmlformats.org/markup-compatibility/2006">
          <mc:Choice Requires="x14">
            <control shapeId="62470" r:id="rId9" name="Check Box 6">
              <controlPr defaultSize="0" autoFill="0" autoLine="0" autoPict="0">
                <anchor moveWithCells="1">
                  <from>
                    <xdr:col>2</xdr:col>
                    <xdr:colOff>2324100</xdr:colOff>
                    <xdr:row>7</xdr:row>
                    <xdr:rowOff>47625</xdr:rowOff>
                  </from>
                  <to>
                    <xdr:col>2</xdr:col>
                    <xdr:colOff>2628900</xdr:colOff>
                    <xdr:row>7</xdr:row>
                    <xdr:rowOff>400050</xdr:rowOff>
                  </to>
                </anchor>
              </controlPr>
            </control>
          </mc:Choice>
        </mc:AlternateContent>
        <mc:AlternateContent xmlns:mc="http://schemas.openxmlformats.org/markup-compatibility/2006">
          <mc:Choice Requires="x14">
            <control shapeId="62471" r:id="rId10" name="Check Box 7">
              <controlPr defaultSize="0" autoFill="0" autoLine="0" autoPict="0">
                <anchor moveWithCells="1">
                  <from>
                    <xdr:col>2</xdr:col>
                    <xdr:colOff>38100</xdr:colOff>
                    <xdr:row>8</xdr:row>
                    <xdr:rowOff>38100</xdr:rowOff>
                  </from>
                  <to>
                    <xdr:col>2</xdr:col>
                    <xdr:colOff>342900</xdr:colOff>
                    <xdr:row>8</xdr:row>
                    <xdr:rowOff>361950</xdr:rowOff>
                  </to>
                </anchor>
              </controlPr>
            </control>
          </mc:Choice>
        </mc:AlternateContent>
        <mc:AlternateContent xmlns:mc="http://schemas.openxmlformats.org/markup-compatibility/2006">
          <mc:Choice Requires="x14">
            <control shapeId="62472" r:id="rId11" name="Check Box 8">
              <controlPr defaultSize="0" autoFill="0" autoLine="0" autoPict="0">
                <anchor moveWithCells="1">
                  <from>
                    <xdr:col>2</xdr:col>
                    <xdr:colOff>1171575</xdr:colOff>
                    <xdr:row>8</xdr:row>
                    <xdr:rowOff>28575</xdr:rowOff>
                  </from>
                  <to>
                    <xdr:col>2</xdr:col>
                    <xdr:colOff>1476375</xdr:colOff>
                    <xdr:row>8</xdr:row>
                    <xdr:rowOff>352425</xdr:rowOff>
                  </to>
                </anchor>
              </controlPr>
            </control>
          </mc:Choice>
        </mc:AlternateContent>
        <mc:AlternateContent xmlns:mc="http://schemas.openxmlformats.org/markup-compatibility/2006">
          <mc:Choice Requires="x14">
            <control shapeId="62473" r:id="rId12" name="Check Box 9">
              <controlPr defaultSize="0" autoFill="0" autoLine="0" autoPict="0">
                <anchor moveWithCells="1">
                  <from>
                    <xdr:col>2</xdr:col>
                    <xdr:colOff>2343150</xdr:colOff>
                    <xdr:row>8</xdr:row>
                    <xdr:rowOff>38100</xdr:rowOff>
                  </from>
                  <to>
                    <xdr:col>2</xdr:col>
                    <xdr:colOff>2647950</xdr:colOff>
                    <xdr:row>8</xdr:row>
                    <xdr:rowOff>361950</xdr:rowOff>
                  </to>
                </anchor>
              </controlPr>
            </control>
          </mc:Choice>
        </mc:AlternateContent>
        <mc:AlternateContent xmlns:mc="http://schemas.openxmlformats.org/markup-compatibility/2006">
          <mc:Choice Requires="x14">
            <control shapeId="62474" r:id="rId13" name="Check Box 10">
              <controlPr defaultSize="0" autoFill="0" autoLine="0" autoPict="0">
                <anchor moveWithCells="1">
                  <from>
                    <xdr:col>2</xdr:col>
                    <xdr:colOff>1476375</xdr:colOff>
                    <xdr:row>19</xdr:row>
                    <xdr:rowOff>9525</xdr:rowOff>
                  </from>
                  <to>
                    <xdr:col>2</xdr:col>
                    <xdr:colOff>1781175</xdr:colOff>
                    <xdr:row>19</xdr:row>
                    <xdr:rowOff>438150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theme="4" tint="-0.249977111117893"/>
    <pageSetUpPr fitToPage="1"/>
  </sheetPr>
  <dimension ref="A1:AO75"/>
  <sheetViews>
    <sheetView showGridLines="0" view="pageBreakPreview" zoomScale="80" zoomScaleNormal="80" zoomScaleSheetLayoutView="80" workbookViewId="0">
      <selection activeCell="E14" sqref="E14"/>
    </sheetView>
  </sheetViews>
  <sheetFormatPr defaultColWidth="2" defaultRowHeight="15" customHeight="1"/>
  <cols>
    <col min="1" max="1" width="2" style="634" customWidth="1"/>
    <col min="2" max="2" width="1.875" style="634" customWidth="1"/>
    <col min="3" max="3" width="20.625" style="634" customWidth="1"/>
    <col min="4" max="4" width="8.625" style="634" customWidth="1"/>
    <col min="5" max="5" width="9.875" style="634" customWidth="1"/>
    <col min="6" max="6" width="10.625" style="634" customWidth="1"/>
    <col min="7" max="7" width="12.25" style="634" customWidth="1"/>
    <col min="8" max="12" width="8.625" style="634" customWidth="1"/>
    <col min="13" max="13" width="14" style="634" bestFit="1" customWidth="1"/>
    <col min="14" max="14" width="2.125" style="634" customWidth="1"/>
    <col min="15" max="15" width="8.625" style="635" customWidth="1"/>
    <col min="16" max="16" width="10.5" style="635" bestFit="1" customWidth="1"/>
    <col min="17" max="17" width="17.625" style="635" bestFit="1" customWidth="1"/>
    <col min="18" max="18" width="9.375" style="635" bestFit="1" customWidth="1"/>
    <col min="19" max="19" width="13.875" style="635" bestFit="1" customWidth="1"/>
    <col min="20" max="20" width="9.375" style="635" bestFit="1" customWidth="1"/>
    <col min="21" max="21" width="17.625" style="635" bestFit="1" customWidth="1"/>
    <col min="22" max="22" width="9.375" style="635" bestFit="1" customWidth="1"/>
    <col min="23" max="27" width="8.625" style="635" customWidth="1"/>
    <col min="28" max="94" width="8.625" style="634" customWidth="1"/>
    <col min="95" max="16384" width="2" style="634"/>
  </cols>
  <sheetData>
    <row r="1" spans="2:41" ht="10.5" customHeight="1"/>
    <row r="2" spans="2:41" ht="9" customHeight="1"/>
    <row r="3" spans="2:41" ht="20.25" customHeight="1">
      <c r="B3" s="636"/>
      <c r="C3" s="2067" t="s">
        <v>1518</v>
      </c>
      <c r="D3" s="2067"/>
      <c r="E3" s="2067"/>
      <c r="F3" s="2067"/>
      <c r="G3" s="2067"/>
      <c r="H3" s="2067"/>
      <c r="I3" s="2067"/>
      <c r="J3" s="2067"/>
      <c r="K3" s="2067"/>
      <c r="L3" s="2067"/>
      <c r="M3" s="2067"/>
      <c r="N3" s="637"/>
      <c r="P3" s="849" t="s">
        <v>1531</v>
      </c>
      <c r="Q3" s="849" t="s">
        <v>1521</v>
      </c>
      <c r="R3" s="849"/>
      <c r="S3" s="849"/>
      <c r="T3" s="849"/>
      <c r="U3" s="849"/>
      <c r="V3" s="849"/>
    </row>
    <row r="4" spans="2:41" ht="15" customHeight="1" thickBot="1">
      <c r="B4" s="638"/>
      <c r="C4" s="2068"/>
      <c r="D4" s="2068"/>
      <c r="E4" s="2068"/>
      <c r="F4" s="2068"/>
      <c r="G4" s="2068"/>
      <c r="H4" s="2068"/>
      <c r="I4" s="2068"/>
      <c r="J4" s="2068"/>
      <c r="K4" s="2068"/>
      <c r="L4" s="2068"/>
      <c r="M4" s="2068"/>
      <c r="N4" s="639"/>
      <c r="P4" s="849" t="s">
        <v>1532</v>
      </c>
      <c r="Q4" s="849" t="s">
        <v>1533</v>
      </c>
      <c r="R4" s="849"/>
      <c r="S4" s="849"/>
      <c r="T4" s="849"/>
      <c r="U4" s="849"/>
      <c r="V4" s="849"/>
    </row>
    <row r="5" spans="2:41" ht="15" customHeight="1" thickBot="1">
      <c r="B5" s="638"/>
      <c r="C5" s="670"/>
      <c r="D5" s="2202" t="s">
        <v>1090</v>
      </c>
      <c r="E5" s="2202"/>
      <c r="F5" s="635"/>
      <c r="G5" s="635"/>
      <c r="H5" s="635"/>
      <c r="I5" s="635"/>
      <c r="J5" s="635"/>
      <c r="K5" s="635"/>
      <c r="L5" s="635"/>
      <c r="M5" s="635"/>
      <c r="N5" s="639"/>
      <c r="P5" s="849"/>
      <c r="Q5" s="849"/>
      <c r="R5" s="849"/>
      <c r="S5" s="849"/>
      <c r="T5" s="849"/>
      <c r="U5" s="849"/>
      <c r="V5" s="849"/>
      <c r="AO5" s="634">
        <f>+IF(AND(F29="쿠폰",J26="유림로지스"),"쿠폰",IF(AND(F29=110000,J26="유림로지스"),"쿨맥스",IF(AND(F29=154000,J26="유림로지스"),"버텍스 300",IF(AND(F29="쿠폰",J26="선보"),"쿠폰",IF(AND(F29=110000,,J26="선보"),"루마(GG)",IF(AND(F29=165000,J26="선보"),"루마(SUPER)",IF(AND(F29=220000,J26="선보"),"루마 버텍스 500",F29)))))))</f>
        <v>0</v>
      </c>
    </row>
    <row r="6" spans="2:41" ht="15" customHeight="1" thickBot="1">
      <c r="B6" s="638"/>
      <c r="C6" s="635"/>
      <c r="D6" s="635"/>
      <c r="E6" s="635"/>
      <c r="F6" s="635"/>
      <c r="G6" s="635"/>
      <c r="H6" s="635"/>
      <c r="I6" s="635"/>
      <c r="J6" s="635"/>
      <c r="K6" s="635"/>
      <c r="L6" s="2069" t="str">
        <f>+IF(운용리스_단일!AS6="현대특판","특판출고","지점/대리점출고")</f>
        <v>지점/대리점출고</v>
      </c>
      <c r="M6" s="2070"/>
      <c r="N6" s="639"/>
      <c r="P6" s="849"/>
      <c r="Q6" s="849"/>
      <c r="R6" s="849"/>
      <c r="S6" s="850" t="s">
        <v>1534</v>
      </c>
      <c r="T6" s="850" t="s">
        <v>1535</v>
      </c>
      <c r="U6" s="850" t="s">
        <v>1536</v>
      </c>
      <c r="V6" s="850" t="s">
        <v>1522</v>
      </c>
      <c r="AO6" s="634">
        <f>IF(AND(H29=170000,J26="유림로지스"),"지넷시스템 M3",IF(AND(H29=210000,J26="유림로지스"),"아이나비(A500)",IF(AND(H29=165000,J26="선보"),"아이로드 (NX7)",IF(AND(H29=240000,J26="선보"),"아이나비(A500)",IF(AND(H29=220000,J26="선보"),"아이로드 (NX10)/ 파인드라이브 GX3",IF(AND(H29=363000,J26="선보"),"아이나비 QXD5000",H29))))))</f>
        <v>0</v>
      </c>
    </row>
    <row r="7" spans="2:41" ht="20.100000000000001" customHeight="1" thickBot="1">
      <c r="B7" s="638"/>
      <c r="C7" s="635" t="s">
        <v>1091</v>
      </c>
      <c r="D7" s="635"/>
      <c r="E7" s="635"/>
      <c r="F7" s="635"/>
      <c r="G7" s="635"/>
      <c r="H7" s="635"/>
      <c r="I7" s="635"/>
      <c r="J7" s="635"/>
      <c r="K7" s="635"/>
      <c r="L7" s="635"/>
      <c r="M7" s="635"/>
      <c r="N7" s="639"/>
      <c r="P7" s="849" t="s">
        <v>1537</v>
      </c>
      <c r="Q7" s="849" t="str">
        <f t="shared" ref="Q7:R12" si="0">IF($J$26="유림로지스",S7,U7)</f>
        <v>용품미선택</v>
      </c>
      <c r="R7" s="851">
        <f t="shared" si="0"/>
        <v>0</v>
      </c>
      <c r="S7" s="849" t="s">
        <v>1538</v>
      </c>
      <c r="T7" s="851">
        <v>0</v>
      </c>
      <c r="U7" s="849" t="s">
        <v>1523</v>
      </c>
      <c r="V7" s="851">
        <v>0</v>
      </c>
    </row>
    <row r="8" spans="2:41" ht="35.25" customHeight="1" thickBot="1">
      <c r="B8" s="638"/>
      <c r="C8" s="1203" t="s">
        <v>1092</v>
      </c>
      <c r="D8" s="2203"/>
      <c r="E8" s="2204"/>
      <c r="F8" s="2204"/>
      <c r="G8" s="2204"/>
      <c r="H8" s="2204"/>
      <c r="I8" s="2205"/>
      <c r="J8" s="2206" t="s">
        <v>1093</v>
      </c>
      <c r="K8" s="2206"/>
      <c r="L8" s="2207"/>
      <c r="M8" s="2208"/>
      <c r="N8" s="639"/>
      <c r="P8" s="849"/>
      <c r="Q8" s="849" t="str">
        <f t="shared" si="0"/>
        <v>파인드라이브 GX3</v>
      </c>
      <c r="R8" s="851">
        <f t="shared" si="0"/>
        <v>220000</v>
      </c>
      <c r="S8" s="849" t="s">
        <v>2542</v>
      </c>
      <c r="T8" s="851">
        <v>210000</v>
      </c>
      <c r="U8" s="849" t="s">
        <v>1524</v>
      </c>
      <c r="V8" s="851">
        <v>220000</v>
      </c>
    </row>
    <row r="9" spans="2:41" ht="35.25" customHeight="1" thickBot="1">
      <c r="B9" s="638"/>
      <c r="C9" s="1204" t="s">
        <v>1026</v>
      </c>
      <c r="D9" s="2203"/>
      <c r="E9" s="2204"/>
      <c r="F9" s="2204"/>
      <c r="G9" s="2204"/>
      <c r="H9" s="2204"/>
      <c r="I9" s="2205"/>
      <c r="J9" s="2206" t="s">
        <v>1094</v>
      </c>
      <c r="K9" s="2206"/>
      <c r="L9" s="2209"/>
      <c r="M9" s="2210"/>
      <c r="N9" s="639"/>
      <c r="P9" s="849"/>
      <c r="Q9" s="849" t="str">
        <f t="shared" si="0"/>
        <v>아이나비 A700</v>
      </c>
      <c r="R9" s="851">
        <f t="shared" si="0"/>
        <v>210000</v>
      </c>
      <c r="S9" s="849" t="s">
        <v>1240</v>
      </c>
      <c r="T9" s="851">
        <v>170000</v>
      </c>
      <c r="U9" s="849" t="s">
        <v>2544</v>
      </c>
      <c r="V9" s="851">
        <v>210000</v>
      </c>
    </row>
    <row r="10" spans="2:41" ht="20.100000000000001" customHeight="1" thickBot="1">
      <c r="B10" s="638"/>
      <c r="C10" s="640"/>
      <c r="D10" s="641"/>
      <c r="E10" s="641"/>
      <c r="F10" s="641"/>
      <c r="G10" s="641"/>
      <c r="H10" s="641"/>
      <c r="I10" s="641"/>
      <c r="J10" s="2098" t="s">
        <v>1095</v>
      </c>
      <c r="K10" s="2211"/>
      <c r="L10" s="2212"/>
      <c r="M10" s="2213"/>
      <c r="N10" s="639"/>
      <c r="P10" s="849"/>
      <c r="Q10" s="849" t="str">
        <f t="shared" si="0"/>
        <v>딥플라이 DF7</v>
      </c>
      <c r="R10" s="851">
        <f t="shared" si="0"/>
        <v>165000</v>
      </c>
      <c r="S10" s="850" t="s">
        <v>2543</v>
      </c>
      <c r="T10" s="851">
        <v>380000</v>
      </c>
      <c r="U10" s="849" t="s">
        <v>2683</v>
      </c>
      <c r="V10" s="851">
        <v>165000</v>
      </c>
    </row>
    <row r="11" spans="2:41" ht="20.100000000000001" customHeight="1">
      <c r="B11" s="638"/>
      <c r="C11" s="642" t="s">
        <v>1096</v>
      </c>
      <c r="D11" s="635"/>
      <c r="E11" s="635"/>
      <c r="F11" s="635"/>
      <c r="G11" s="635"/>
      <c r="H11" s="635"/>
      <c r="I11" s="635"/>
      <c r="J11" s="635"/>
      <c r="K11" s="635"/>
      <c r="L11" s="635"/>
      <c r="M11" s="635"/>
      <c r="N11" s="639"/>
      <c r="P11" s="849"/>
      <c r="Q11" s="849" t="str">
        <f t="shared" si="0"/>
        <v>딥플라이 DF9</v>
      </c>
      <c r="R11" s="851">
        <f t="shared" si="0"/>
        <v>220000</v>
      </c>
      <c r="S11" s="850" t="s">
        <v>1540</v>
      </c>
      <c r="T11" s="851" t="s">
        <v>1539</v>
      </c>
      <c r="U11" s="849" t="s">
        <v>2684</v>
      </c>
      <c r="V11" s="851">
        <v>220000</v>
      </c>
    </row>
    <row r="12" spans="2:41" ht="24.95" customHeight="1">
      <c r="B12" s="643"/>
      <c r="C12" s="1205" t="s">
        <v>1097</v>
      </c>
      <c r="D12" s="2197" t="str">
        <f>+운용리스_단일!AS7</f>
        <v>GV80 3.5T (가솔린)_Coupe</v>
      </c>
      <c r="E12" s="2198"/>
      <c r="F12" s="2198"/>
      <c r="G12" s="2198"/>
      <c r="H12" s="2198"/>
      <c r="I12" s="2198"/>
      <c r="J12" s="2199"/>
      <c r="K12" s="1206" t="s">
        <v>1031</v>
      </c>
      <c r="L12" s="2200" t="str">
        <f>+VLOOKUP(D12,차량정보!$D$95:$CL$1809,24,0)</f>
        <v>가솔린</v>
      </c>
      <c r="M12" s="2201"/>
      <c r="N12" s="639"/>
      <c r="P12" s="849"/>
      <c r="Q12" s="849" t="str">
        <f t="shared" si="0"/>
        <v>아이나비 QXD7000</v>
      </c>
      <c r="R12" s="851">
        <f t="shared" si="0"/>
        <v>363000</v>
      </c>
      <c r="S12" s="850" t="s">
        <v>1539</v>
      </c>
      <c r="T12" s="851" t="s">
        <v>1539</v>
      </c>
      <c r="U12" s="849" t="s">
        <v>2567</v>
      </c>
      <c r="V12" s="851">
        <v>363000</v>
      </c>
    </row>
    <row r="13" spans="2:41" ht="5.0999999999999996" customHeight="1" thickBot="1">
      <c r="B13" s="644"/>
      <c r="C13" s="645"/>
      <c r="D13" s="646"/>
      <c r="E13" s="646"/>
      <c r="F13" s="646"/>
      <c r="G13" s="646"/>
      <c r="H13" s="646"/>
      <c r="I13" s="646"/>
      <c r="J13" s="646"/>
      <c r="K13" s="647"/>
      <c r="L13" s="645"/>
      <c r="M13" s="645"/>
      <c r="N13" s="648"/>
      <c r="P13" s="849"/>
      <c r="Q13" s="849"/>
      <c r="R13" s="849"/>
      <c r="S13" s="849"/>
      <c r="T13" s="851"/>
      <c r="U13" s="849"/>
      <c r="V13" s="849"/>
    </row>
    <row r="14" spans="2:41" ht="24.95" customHeight="1" thickBot="1">
      <c r="B14" s="644"/>
      <c r="C14" s="1209" t="s">
        <v>1032</v>
      </c>
      <c r="D14" s="2100" t="s">
        <v>1098</v>
      </c>
      <c r="E14" s="2101"/>
      <c r="F14" s="2101"/>
      <c r="G14" s="2101"/>
      <c r="H14" s="2101"/>
      <c r="I14" s="2101"/>
      <c r="J14" s="2102"/>
      <c r="K14" s="1207" t="s">
        <v>1099</v>
      </c>
      <c r="L14" s="2183"/>
      <c r="M14" s="2158"/>
      <c r="N14" s="648"/>
      <c r="P14" s="849" t="s">
        <v>1541</v>
      </c>
      <c r="Q14" s="849" t="str">
        <f>IF(J26="유림로지스",S14,U14)</f>
        <v>미선택</v>
      </c>
      <c r="R14" s="851">
        <f>IF($J$26="유림로지스",T14,V14)</f>
        <v>0</v>
      </c>
      <c r="S14" s="849" t="s">
        <v>1525</v>
      </c>
      <c r="T14" s="851">
        <v>0</v>
      </c>
      <c r="U14" s="849" t="s">
        <v>1525</v>
      </c>
      <c r="V14" s="851">
        <v>0</v>
      </c>
    </row>
    <row r="15" spans="2:41" ht="24.95" customHeight="1" thickBot="1">
      <c r="B15" s="644"/>
      <c r="C15" s="2048" t="s">
        <v>1100</v>
      </c>
      <c r="D15" s="2184"/>
      <c r="E15" s="2185"/>
      <c r="F15" s="2185"/>
      <c r="G15" s="2185"/>
      <c r="H15" s="2185"/>
      <c r="I15" s="2185"/>
      <c r="J15" s="2186"/>
      <c r="K15" s="1208" t="s">
        <v>1101</v>
      </c>
      <c r="L15" s="2183"/>
      <c r="M15" s="2158"/>
      <c r="N15" s="648"/>
      <c r="P15" s="849"/>
      <c r="Q15" s="849" t="str">
        <f>IF($J$26="유림로지스",S15,U15)</f>
        <v>GG</v>
      </c>
      <c r="R15" s="851">
        <f>IF($J$26="유림로지스",T15,V15)</f>
        <v>110000</v>
      </c>
      <c r="S15" s="849" t="s">
        <v>1526</v>
      </c>
      <c r="T15" s="851">
        <v>110000</v>
      </c>
      <c r="U15" s="849" t="s">
        <v>1527</v>
      </c>
      <c r="V15" s="851">
        <v>110000</v>
      </c>
    </row>
    <row r="16" spans="2:41" ht="24.95" customHeight="1">
      <c r="B16" s="644"/>
      <c r="C16" s="2049"/>
      <c r="D16" s="2187"/>
      <c r="E16" s="2188"/>
      <c r="F16" s="2188"/>
      <c r="G16" s="2188"/>
      <c r="H16" s="2188"/>
      <c r="I16" s="2188"/>
      <c r="J16" s="2189"/>
      <c r="K16" s="2061" t="s">
        <v>1037</v>
      </c>
      <c r="L16" s="2193">
        <f>+운용리스_단일!K22</f>
        <v>0</v>
      </c>
      <c r="M16" s="2194"/>
      <c r="N16" s="648"/>
      <c r="P16" s="849"/>
      <c r="Q16" s="849" t="str">
        <f>IF($J$26="유림로지스",S16,U16)</f>
        <v>버텍스 300</v>
      </c>
      <c r="R16" s="851">
        <f>IF($J$26="유림로지스",T16,V16)</f>
        <v>165000</v>
      </c>
      <c r="S16" s="849" t="s">
        <v>1542</v>
      </c>
      <c r="T16" s="851">
        <v>154000</v>
      </c>
      <c r="U16" s="849" t="s">
        <v>2489</v>
      </c>
      <c r="V16" s="851">
        <v>165000</v>
      </c>
    </row>
    <row r="17" spans="2:22" ht="24.95" customHeight="1" thickBot="1">
      <c r="B17" s="644"/>
      <c r="C17" s="2050"/>
      <c r="D17" s="2190"/>
      <c r="E17" s="2191"/>
      <c r="F17" s="2191"/>
      <c r="G17" s="2191"/>
      <c r="H17" s="2191"/>
      <c r="I17" s="2191"/>
      <c r="J17" s="2192"/>
      <c r="K17" s="2062"/>
      <c r="L17" s="2195"/>
      <c r="M17" s="2196"/>
      <c r="N17" s="648"/>
      <c r="P17" s="849"/>
      <c r="Q17" s="849" t="str">
        <f>IF($J$26="유림로지스",S17,U17)</f>
        <v>버텍스 500</v>
      </c>
      <c r="R17" s="851">
        <f>IF($J$26="유림로지스",T17,V17)</f>
        <v>220000</v>
      </c>
      <c r="S17" s="850" t="s">
        <v>1539</v>
      </c>
      <c r="T17" s="851" t="s">
        <v>1543</v>
      </c>
      <c r="U17" s="849" t="s">
        <v>1560</v>
      </c>
      <c r="V17" s="851">
        <v>220000</v>
      </c>
    </row>
    <row r="18" spans="2:22" ht="5.0999999999999996" customHeight="1" thickBot="1">
      <c r="B18" s="644"/>
      <c r="C18" s="647"/>
      <c r="D18" s="645"/>
      <c r="E18" s="645"/>
      <c r="F18" s="645"/>
      <c r="G18" s="645"/>
      <c r="H18" s="645"/>
      <c r="I18" s="645"/>
      <c r="J18" s="645"/>
      <c r="K18" s="645"/>
      <c r="L18" s="645"/>
      <c r="M18" s="645"/>
      <c r="N18" s="648"/>
      <c r="P18" s="849"/>
      <c r="Q18" s="849" t="str">
        <f t="shared" ref="Q18:Q19" si="1">IF($J$26="유림로지스",S18,U18)</f>
        <v>레이노 기본(모노카본)</v>
      </c>
      <c r="R18" s="851">
        <f t="shared" ref="R18:R19" si="2">IF($J$26="유림로지스",T18,V18)</f>
        <v>110000</v>
      </c>
      <c r="S18" s="849"/>
      <c r="T18" s="851"/>
      <c r="U18" s="849" t="s">
        <v>3273</v>
      </c>
      <c r="V18" s="851">
        <v>110000</v>
      </c>
    </row>
    <row r="19" spans="2:22" ht="24.95" customHeight="1" thickBot="1">
      <c r="B19" s="644"/>
      <c r="C19" s="1209" t="s">
        <v>1102</v>
      </c>
      <c r="D19" s="2173">
        <f>+운용리스_단일!AS11</f>
        <v>0</v>
      </c>
      <c r="E19" s="2174"/>
      <c r="F19" s="2175"/>
      <c r="G19" s="1217" t="s">
        <v>1103</v>
      </c>
      <c r="H19" s="2173">
        <f>+운용리스_단일!BF12</f>
        <v>0</v>
      </c>
      <c r="I19" s="2174"/>
      <c r="J19" s="1211" t="s">
        <v>1104</v>
      </c>
      <c r="K19" s="2176">
        <f>+D19+H19</f>
        <v>0</v>
      </c>
      <c r="L19" s="2177"/>
      <c r="M19" s="2178"/>
      <c r="N19" s="648"/>
      <c r="P19" s="849"/>
      <c r="Q19" s="849" t="str">
        <f t="shared" si="1"/>
        <v>레이노 F5</v>
      </c>
      <c r="R19" s="851">
        <f t="shared" si="2"/>
        <v>165000</v>
      </c>
      <c r="S19" s="849"/>
      <c r="T19" s="851"/>
      <c r="U19" s="849" t="s">
        <v>3274</v>
      </c>
      <c r="V19" s="851">
        <v>165000</v>
      </c>
    </row>
    <row r="20" spans="2:22" ht="20.100000000000001" customHeight="1" thickBot="1">
      <c r="B20" s="644"/>
      <c r="C20" s="650"/>
      <c r="D20" s="651"/>
      <c r="E20" s="652"/>
      <c r="F20" s="652"/>
      <c r="G20" s="653"/>
      <c r="H20" s="2080" t="s">
        <v>3239</v>
      </c>
      <c r="I20" s="2081"/>
      <c r="J20" s="2082">
        <f>+운용리스_단일!$K$24*120%</f>
        <v>0</v>
      </c>
      <c r="K20" s="2083"/>
      <c r="L20" s="2083"/>
      <c r="M20" s="2084"/>
      <c r="N20" s="648"/>
      <c r="P20" s="849"/>
      <c r="Q20" s="849" t="str">
        <f>IF($J$26="유림로지스",S20,U20)</f>
        <v>미선택</v>
      </c>
      <c r="R20" s="851">
        <f t="shared" ref="R20:R23" si="3">IF($J$26="유림로지스",T20,V20)</f>
        <v>0</v>
      </c>
      <c r="S20" s="849" t="s">
        <v>1525</v>
      </c>
      <c r="T20" s="851">
        <v>0</v>
      </c>
      <c r="U20" s="849" t="s">
        <v>1525</v>
      </c>
      <c r="V20" s="851">
        <v>0</v>
      </c>
    </row>
    <row r="21" spans="2:22" ht="24.95" customHeight="1">
      <c r="B21" s="644"/>
      <c r="C21" s="655" t="s">
        <v>1105</v>
      </c>
      <c r="D21" s="656"/>
      <c r="E21" s="656"/>
      <c r="F21" s="656"/>
      <c r="G21" s="656"/>
      <c r="H21" s="656"/>
      <c r="I21" s="656"/>
      <c r="J21" s="2182" t="s">
        <v>3240</v>
      </c>
      <c r="K21" s="2182"/>
      <c r="L21" s="2182"/>
      <c r="M21" s="2182"/>
      <c r="N21" s="648"/>
      <c r="P21" s="849" t="s">
        <v>1528</v>
      </c>
      <c r="Q21" s="849" t="str">
        <f>IF($J$26="유림로지스",S21,U21)</f>
        <v>쿠폰</v>
      </c>
      <c r="R21" s="851">
        <f t="shared" si="3"/>
        <v>0</v>
      </c>
      <c r="S21" s="849" t="s">
        <v>1529</v>
      </c>
      <c r="T21" s="851">
        <v>0</v>
      </c>
      <c r="U21" s="849" t="s">
        <v>1544</v>
      </c>
      <c r="V21" s="851">
        <v>0</v>
      </c>
    </row>
    <row r="22" spans="2:22" ht="24.95" customHeight="1">
      <c r="B22" s="644"/>
      <c r="C22" s="1209" t="s">
        <v>1042</v>
      </c>
      <c r="D22" s="2179">
        <f>+운용리스_단일!AA17</f>
        <v>60</v>
      </c>
      <c r="E22" s="2179"/>
      <c r="F22" s="2040" t="s">
        <v>1106</v>
      </c>
      <c r="G22" s="2040"/>
      <c r="H22" s="2180" t="e">
        <f ca="1">+운용리스_단일!AA27</f>
        <v>#DIV/0!</v>
      </c>
      <c r="I22" s="2180"/>
      <c r="J22" s="2040" t="s">
        <v>1045</v>
      </c>
      <c r="K22" s="2040"/>
      <c r="L22" s="2181">
        <f>+운용리스_단일!AD19</f>
        <v>0</v>
      </c>
      <c r="M22" s="2181"/>
      <c r="N22" s="648"/>
      <c r="P22" s="849"/>
      <c r="Q22" s="849" t="str">
        <f>IF($J$26="유림로지스",S22,U22)</f>
        <v>버텍스 300</v>
      </c>
      <c r="R22" s="851">
        <f t="shared" si="3"/>
        <v>110000</v>
      </c>
      <c r="S22" s="849" t="s">
        <v>1530</v>
      </c>
      <c r="T22" s="851">
        <v>100000</v>
      </c>
      <c r="U22" s="849" t="s">
        <v>2489</v>
      </c>
      <c r="V22" s="851">
        <v>110000</v>
      </c>
    </row>
    <row r="23" spans="2:22" ht="24.95" customHeight="1">
      <c r="B23" s="644"/>
      <c r="C23" s="1209" t="s">
        <v>1047</v>
      </c>
      <c r="D23" s="2169" t="str">
        <f>+운용리스_단일!AA18&amp;"km"</f>
        <v>20000km</v>
      </c>
      <c r="E23" s="2169"/>
      <c r="F23" s="2040" t="s">
        <v>1107</v>
      </c>
      <c r="G23" s="2040"/>
      <c r="H23" s="2170">
        <f>+운용리스_단일!AD23</f>
        <v>0</v>
      </c>
      <c r="I23" s="2171"/>
      <c r="J23" s="2046" t="s">
        <v>1108</v>
      </c>
      <c r="K23" s="2046"/>
      <c r="L23" s="2172">
        <f>+운용리스_단일!AD21</f>
        <v>0</v>
      </c>
      <c r="M23" s="2172"/>
      <c r="N23" s="648"/>
      <c r="P23" s="849"/>
      <c r="Q23" s="849" t="str">
        <f>IF($J$26="유림로지스",S23,U23)</f>
        <v>버텍스 500</v>
      </c>
      <c r="R23" s="851">
        <f t="shared" si="3"/>
        <v>220000</v>
      </c>
      <c r="S23" s="849" t="s">
        <v>1545</v>
      </c>
      <c r="T23" s="851">
        <v>232000</v>
      </c>
      <c r="U23" s="849" t="s">
        <v>1560</v>
      </c>
      <c r="V23" s="851">
        <v>220000</v>
      </c>
    </row>
    <row r="24" spans="2:22" ht="20.100000000000001" customHeight="1">
      <c r="B24" s="644"/>
      <c r="C24" s="650"/>
      <c r="D24" s="652"/>
      <c r="E24" s="652"/>
      <c r="F24" s="652"/>
      <c r="G24" s="653"/>
      <c r="H24" s="652"/>
      <c r="I24" s="652"/>
      <c r="J24" s="654"/>
      <c r="K24" s="652"/>
      <c r="L24" s="652"/>
      <c r="M24" s="652"/>
      <c r="N24" s="648"/>
      <c r="P24" s="849"/>
      <c r="Q24" s="849" t="str">
        <f t="shared" ref="Q24:Q25" si="4">IF($J$26="유림로지스",S24,U24)</f>
        <v>레이노 기본(모노카본)</v>
      </c>
      <c r="R24" s="851">
        <f t="shared" ref="R24:R25" si="5">IF($J$26="유림로지스",T24,V24)</f>
        <v>0</v>
      </c>
      <c r="U24" s="849" t="s">
        <v>3272</v>
      </c>
      <c r="V24" s="851">
        <v>0</v>
      </c>
    </row>
    <row r="25" spans="2:22" ht="20.100000000000001" customHeight="1" thickBot="1">
      <c r="B25" s="644"/>
      <c r="C25" s="650"/>
      <c r="D25" s="652"/>
      <c r="E25" s="652"/>
      <c r="F25" s="652"/>
      <c r="G25" s="653"/>
      <c r="H25" s="652"/>
      <c r="I25" s="652"/>
      <c r="J25" s="654"/>
      <c r="K25" s="652"/>
      <c r="L25" s="652"/>
      <c r="M25" s="652"/>
      <c r="N25" s="648"/>
      <c r="Q25" s="849" t="str">
        <f t="shared" si="4"/>
        <v>레이노 F5</v>
      </c>
      <c r="R25" s="851">
        <f t="shared" si="5"/>
        <v>110000</v>
      </c>
      <c r="U25" s="849" t="s">
        <v>3270</v>
      </c>
      <c r="V25" s="851">
        <v>110000</v>
      </c>
    </row>
    <row r="26" spans="2:22" ht="20.100000000000001" customHeight="1" thickBot="1">
      <c r="B26" s="644"/>
      <c r="C26" s="2146" t="str">
        <f>"■ 용품신청"&amp;"_"&amp;J26</f>
        <v>■ 용품신청_직접등록</v>
      </c>
      <c r="D26" s="2147"/>
      <c r="E26" s="2147"/>
      <c r="F26" s="2147"/>
      <c r="G26" s="2147"/>
      <c r="H26" s="2147"/>
      <c r="I26" s="2148"/>
      <c r="J26" s="712" t="str">
        <f>IF(OR(운용리스_단일!CN22="제휴탁송사",운용리스_단일!CN22="딜러사1차+제휴2차"),VLOOKUP(운용리스_단일!AS7,차량정보!$D$778:$T$10567,15,0),"직접등록")</f>
        <v>직접등록</v>
      </c>
      <c r="K26" s="656"/>
      <c r="L26" s="656"/>
      <c r="M26" s="656"/>
      <c r="N26" s="648"/>
    </row>
    <row r="27" spans="2:22" ht="24.95" customHeight="1" thickBot="1">
      <c r="B27" s="644"/>
      <c r="C27" s="1216" t="s">
        <v>1057</v>
      </c>
      <c r="D27" s="2167" t="s">
        <v>1109</v>
      </c>
      <c r="E27" s="2167"/>
      <c r="F27" s="2167" t="s">
        <v>1110</v>
      </c>
      <c r="G27" s="2167"/>
      <c r="H27" s="2167" t="s">
        <v>1111</v>
      </c>
      <c r="I27" s="2167"/>
      <c r="J27" s="2168" t="s">
        <v>1061</v>
      </c>
      <c r="K27" s="2168"/>
      <c r="L27" s="2027" t="s">
        <v>1112</v>
      </c>
      <c r="M27" s="2027"/>
      <c r="N27" s="648"/>
      <c r="O27" s="657"/>
    </row>
    <row r="28" spans="2:22" ht="24.95" customHeight="1" thickBot="1">
      <c r="B28" s="644"/>
      <c r="C28" s="1207" t="s">
        <v>1113</v>
      </c>
      <c r="D28" s="856">
        <v>0.15</v>
      </c>
      <c r="E28" s="855" t="s">
        <v>1546</v>
      </c>
      <c r="F28" s="856">
        <v>0.35</v>
      </c>
      <c r="G28" s="855" t="s">
        <v>1546</v>
      </c>
      <c r="H28" s="2149" t="s">
        <v>1677</v>
      </c>
      <c r="I28" s="2150"/>
      <c r="J28" s="2151" t="s">
        <v>1270</v>
      </c>
      <c r="K28" s="2152"/>
      <c r="L28" s="2153"/>
      <c r="M28" s="2154"/>
      <c r="N28" s="648"/>
    </row>
    <row r="29" spans="2:22" ht="24.95" customHeight="1" thickBot="1">
      <c r="B29" s="644"/>
      <c r="C29" s="1207" t="s">
        <v>1114</v>
      </c>
      <c r="D29" s="2161">
        <f>+VLOOKUP(E28,$Q$20:$R$23,2,0)</f>
        <v>0</v>
      </c>
      <c r="E29" s="2162"/>
      <c r="F29" s="2161">
        <f>+VLOOKUP(G28,$Q$14:$R$17,2,0)</f>
        <v>0</v>
      </c>
      <c r="G29" s="2162"/>
      <c r="H29" s="2161">
        <f>+VLOOKUP(H28,$Q$7:$R$11,2,0)</f>
        <v>0</v>
      </c>
      <c r="I29" s="2162"/>
      <c r="J29" s="2163"/>
      <c r="K29" s="2164"/>
      <c r="L29" s="2165">
        <f>SUM(D29:K29)</f>
        <v>0</v>
      </c>
      <c r="M29" s="2166"/>
      <c r="N29" s="648"/>
      <c r="O29" s="657"/>
    </row>
    <row r="30" spans="2:22" ht="20.100000000000001" customHeight="1">
      <c r="B30" s="644"/>
      <c r="C30" s="656"/>
      <c r="D30" s="645"/>
      <c r="E30" s="656"/>
      <c r="F30" s="656"/>
      <c r="H30" s="656"/>
      <c r="I30" s="656"/>
      <c r="J30" s="735"/>
      <c r="K30" s="735"/>
      <c r="L30" s="656"/>
      <c r="M30" s="656"/>
      <c r="N30" s="648"/>
    </row>
    <row r="31" spans="2:22" ht="20.100000000000001" customHeight="1" thickBot="1">
      <c r="B31" s="644"/>
      <c r="C31" s="655" t="s">
        <v>1066</v>
      </c>
      <c r="D31" s="656"/>
      <c r="E31" s="656"/>
      <c r="F31" s="656"/>
      <c r="G31" s="656"/>
      <c r="H31" s="656"/>
      <c r="I31" s="656"/>
      <c r="J31" s="656"/>
      <c r="K31" s="656"/>
      <c r="L31" s="656"/>
      <c r="M31" s="656"/>
      <c r="N31" s="648"/>
    </row>
    <row r="32" spans="2:22" ht="24.95" customHeight="1" thickBot="1">
      <c r="B32" s="644"/>
      <c r="C32" s="1207" t="s">
        <v>1115</v>
      </c>
      <c r="D32" s="2155" t="str">
        <f>J26</f>
        <v>직접등록</v>
      </c>
      <c r="E32" s="2156"/>
      <c r="F32" s="2156"/>
      <c r="G32" s="2156"/>
      <c r="H32" s="2156"/>
      <c r="I32" s="2156"/>
      <c r="J32" s="2156"/>
      <c r="K32" s="2156"/>
      <c r="L32" s="2156"/>
      <c r="M32" s="2157"/>
      <c r="N32" s="648"/>
    </row>
    <row r="33" spans="1:17" ht="24.95" customHeight="1" thickBot="1">
      <c r="B33" s="644"/>
      <c r="C33" s="1207" t="s">
        <v>1068</v>
      </c>
      <c r="D33" s="2140"/>
      <c r="E33" s="2141"/>
      <c r="F33" s="2141"/>
      <c r="G33" s="2141"/>
      <c r="H33" s="2141"/>
      <c r="I33" s="2141"/>
      <c r="J33" s="2141"/>
      <c r="K33" s="2141"/>
      <c r="L33" s="2141"/>
      <c r="M33" s="2142"/>
      <c r="N33" s="648"/>
    </row>
    <row r="34" spans="1:17" ht="24.95" customHeight="1" thickBot="1">
      <c r="B34" s="644"/>
      <c r="C34" s="1207" t="s">
        <v>1116</v>
      </c>
      <c r="D34" s="2140"/>
      <c r="E34" s="2158"/>
      <c r="F34" s="1214" t="s">
        <v>1117</v>
      </c>
      <c r="G34" s="2159"/>
      <c r="H34" s="2160"/>
      <c r="I34" s="2158"/>
      <c r="J34" s="1215" t="s">
        <v>1118</v>
      </c>
      <c r="K34" s="2017"/>
      <c r="L34" s="2018"/>
      <c r="M34" s="2019"/>
      <c r="N34" s="648"/>
    </row>
    <row r="35" spans="1:17" ht="20.100000000000001" customHeight="1">
      <c r="B35" s="644"/>
      <c r="C35" s="656"/>
      <c r="D35" s="656"/>
      <c r="E35" s="656"/>
      <c r="F35" s="658"/>
      <c r="G35" s="2131"/>
      <c r="H35" s="2131"/>
      <c r="I35" s="2131"/>
      <c r="J35" s="658"/>
      <c r="K35" s="1973"/>
      <c r="L35" s="1973"/>
      <c r="M35" s="1973"/>
      <c r="N35" s="648"/>
      <c r="Q35" s="657"/>
    </row>
    <row r="36" spans="1:17" ht="20.100000000000001" customHeight="1">
      <c r="B36" s="644"/>
      <c r="C36" s="655" t="s">
        <v>1119</v>
      </c>
      <c r="D36" s="656"/>
      <c r="E36" s="656"/>
      <c r="F36" s="656"/>
      <c r="G36" s="656"/>
      <c r="H36" s="656"/>
      <c r="I36" s="656"/>
      <c r="J36" s="656"/>
      <c r="K36" s="656"/>
      <c r="L36" s="656"/>
      <c r="M36" s="656"/>
      <c r="N36" s="648"/>
      <c r="Q36" s="657"/>
    </row>
    <row r="37" spans="1:17" ht="24.95" customHeight="1" thickBot="1">
      <c r="B37" s="644"/>
      <c r="C37" s="1209" t="s">
        <v>1120</v>
      </c>
      <c r="D37" s="1974" t="s">
        <v>1121</v>
      </c>
      <c r="E37" s="1975"/>
      <c r="F37" s="1976"/>
      <c r="G37" s="2100" t="s">
        <v>1122</v>
      </c>
      <c r="H37" s="2101"/>
      <c r="I37" s="2102"/>
      <c r="J37" s="2100" t="s">
        <v>1123</v>
      </c>
      <c r="K37" s="2101"/>
      <c r="L37" s="2102"/>
      <c r="M37" s="671" t="s">
        <v>1124</v>
      </c>
      <c r="N37" s="648"/>
      <c r="Q37" s="657"/>
    </row>
    <row r="38" spans="1:17" ht="24.95" customHeight="1" thickBot="1">
      <c r="B38" s="644"/>
      <c r="C38" s="1209" t="s">
        <v>1125</v>
      </c>
      <c r="D38" s="2138"/>
      <c r="E38" s="2139"/>
      <c r="F38" s="2139"/>
      <c r="G38" s="2140"/>
      <c r="H38" s="2141"/>
      <c r="I38" s="2142"/>
      <c r="J38" s="2143"/>
      <c r="K38" s="2144"/>
      <c r="L38" s="2145"/>
      <c r="M38" s="672"/>
      <c r="N38" s="648"/>
      <c r="Q38" s="657"/>
    </row>
    <row r="39" spans="1:17" ht="24.95" customHeight="1">
      <c r="B39" s="644"/>
      <c r="C39" s="1213" t="s">
        <v>1084</v>
      </c>
      <c r="D39" s="2132"/>
      <c r="E39" s="2133"/>
      <c r="F39" s="2134"/>
      <c r="G39" s="2135">
        <f>+운용리스_단일!AS43</f>
        <v>0.03</v>
      </c>
      <c r="H39" s="2136"/>
      <c r="I39" s="2137"/>
      <c r="J39" s="2135">
        <f>+'AG 입력시트'!S13</f>
        <v>0</v>
      </c>
      <c r="K39" s="2136"/>
      <c r="L39" s="2137"/>
      <c r="M39" s="673" t="s">
        <v>1085</v>
      </c>
      <c r="N39" s="648"/>
      <c r="Q39" s="657"/>
    </row>
    <row r="40" spans="1:17" ht="20.100000000000001" customHeight="1">
      <c r="A40" s="662"/>
      <c r="B40" s="644"/>
      <c r="C40" s="663"/>
      <c r="D40" s="664"/>
      <c r="E40" s="664"/>
      <c r="F40" s="664"/>
      <c r="G40" s="664"/>
      <c r="H40" s="664"/>
      <c r="I40" s="664"/>
      <c r="J40" s="664"/>
      <c r="K40" s="664"/>
      <c r="L40" s="664"/>
      <c r="M40" s="645"/>
      <c r="N40" s="648"/>
      <c r="Q40" s="657"/>
    </row>
    <row r="41" spans="1:17" ht="20.100000000000001" customHeight="1" thickBot="1">
      <c r="A41" s="662"/>
      <c r="B41" s="644"/>
      <c r="C41" s="655" t="s">
        <v>1127</v>
      </c>
      <c r="D41" s="656"/>
      <c r="E41" s="656"/>
      <c r="F41" s="656"/>
      <c r="G41" s="656"/>
      <c r="H41" s="656"/>
      <c r="I41" s="656"/>
      <c r="J41" s="656"/>
      <c r="K41" s="656"/>
      <c r="L41" s="656"/>
      <c r="M41" s="656"/>
      <c r="N41" s="648"/>
      <c r="Q41" s="657"/>
    </row>
    <row r="42" spans="1:17" ht="20.100000000000001" customHeight="1">
      <c r="A42" s="662"/>
      <c r="B42" s="644"/>
      <c r="C42" s="2123" t="s">
        <v>1126</v>
      </c>
      <c r="D42" s="2125"/>
      <c r="E42" s="2126"/>
      <c r="F42" s="2126"/>
      <c r="G42" s="2126"/>
      <c r="H42" s="2126"/>
      <c r="I42" s="2126"/>
      <c r="J42" s="2126"/>
      <c r="K42" s="2126"/>
      <c r="L42" s="2126"/>
      <c r="M42" s="2127"/>
      <c r="N42" s="648"/>
    </row>
    <row r="43" spans="1:17" ht="20.100000000000001" customHeight="1" thickBot="1">
      <c r="A43" s="662"/>
      <c r="B43" s="644"/>
      <c r="C43" s="2124"/>
      <c r="D43" s="2128"/>
      <c r="E43" s="2129"/>
      <c r="F43" s="2129"/>
      <c r="G43" s="2129"/>
      <c r="H43" s="2129"/>
      <c r="I43" s="2129"/>
      <c r="J43" s="2129"/>
      <c r="K43" s="2129"/>
      <c r="L43" s="2129"/>
      <c r="M43" s="2130"/>
      <c r="N43" s="648"/>
    </row>
    <row r="44" spans="1:17" ht="15" customHeight="1">
      <c r="A44" s="662"/>
      <c r="B44" s="665"/>
      <c r="C44" s="666"/>
      <c r="D44" s="666"/>
      <c r="E44" s="666"/>
      <c r="F44" s="666"/>
      <c r="G44" s="666"/>
      <c r="H44" s="666"/>
      <c r="I44" s="666"/>
      <c r="J44" s="666"/>
      <c r="K44" s="666"/>
      <c r="L44" s="666"/>
      <c r="M44" s="667">
        <f ca="1">TODAY()</f>
        <v>45646</v>
      </c>
      <c r="N44" s="668"/>
    </row>
    <row r="45" spans="1:17" ht="15" customHeight="1">
      <c r="A45" s="662"/>
    </row>
    <row r="46" spans="1:17" ht="15" customHeight="1">
      <c r="A46" s="662"/>
    </row>
    <row r="47" spans="1:17" ht="15" customHeight="1">
      <c r="A47" s="662"/>
    </row>
    <row r="48" spans="1:17" ht="15" customHeight="1">
      <c r="A48" s="662"/>
    </row>
    <row r="49" spans="1:14" ht="15.95" customHeight="1">
      <c r="A49" s="662"/>
    </row>
    <row r="50" spans="1:14" ht="15.95" customHeight="1">
      <c r="A50" s="662"/>
    </row>
    <row r="51" spans="1:14" ht="15.95" customHeight="1">
      <c r="A51" s="662"/>
    </row>
    <row r="52" spans="1:14" ht="15.95" customHeight="1">
      <c r="A52" s="662"/>
    </row>
    <row r="53" spans="1:14" ht="15.95" customHeight="1">
      <c r="A53" s="662"/>
    </row>
    <row r="54" spans="1:14" ht="15.95" customHeight="1">
      <c r="A54" s="662"/>
    </row>
    <row r="55" spans="1:14" ht="15.95" customHeight="1">
      <c r="A55" s="662"/>
    </row>
    <row r="56" spans="1:14" ht="15.95" customHeight="1">
      <c r="A56" s="662"/>
    </row>
    <row r="57" spans="1:14" ht="15" customHeight="1">
      <c r="A57" s="662"/>
    </row>
    <row r="58" spans="1:14" ht="15" customHeight="1">
      <c r="A58" s="662"/>
    </row>
    <row r="59" spans="1:14" ht="15" customHeight="1">
      <c r="A59" s="662"/>
    </row>
    <row r="60" spans="1:14" ht="15" customHeight="1">
      <c r="A60" s="662"/>
      <c r="N60" s="669"/>
    </row>
    <row r="61" spans="1:14" ht="15" customHeight="1">
      <c r="A61" s="662"/>
    </row>
    <row r="62" spans="1:14" ht="15" customHeight="1">
      <c r="A62" s="662"/>
    </row>
    <row r="63" spans="1:14" ht="15" customHeight="1">
      <c r="A63" s="662"/>
    </row>
    <row r="64" spans="1:14" ht="15" customHeight="1">
      <c r="A64" s="662"/>
    </row>
    <row r="65" spans="1:1" ht="15" customHeight="1">
      <c r="A65" s="662"/>
    </row>
    <row r="66" spans="1:1" ht="15" customHeight="1">
      <c r="A66" s="662"/>
    </row>
    <row r="67" spans="1:1" ht="15" customHeight="1">
      <c r="A67" s="662"/>
    </row>
    <row r="68" spans="1:1" ht="15" customHeight="1">
      <c r="A68" s="662"/>
    </row>
    <row r="69" spans="1:1" ht="15" customHeight="1">
      <c r="A69" s="662"/>
    </row>
    <row r="70" spans="1:1" ht="15" customHeight="1">
      <c r="A70" s="662"/>
    </row>
    <row r="71" spans="1:1" ht="15" customHeight="1">
      <c r="A71" s="662"/>
    </row>
    <row r="72" spans="1:1" ht="15" customHeight="1">
      <c r="A72" s="662"/>
    </row>
    <row r="73" spans="1:1" ht="15" customHeight="1">
      <c r="A73" s="662"/>
    </row>
    <row r="74" spans="1:1" ht="15" customHeight="1">
      <c r="A74" s="662"/>
    </row>
    <row r="75" spans="1:1" ht="15" customHeight="1">
      <c r="A75" s="662"/>
    </row>
  </sheetData>
  <mergeCells count="68">
    <mergeCell ref="D12:J12"/>
    <mergeCell ref="L12:M12"/>
    <mergeCell ref="C3:M4"/>
    <mergeCell ref="D5:E5"/>
    <mergeCell ref="L6:M6"/>
    <mergeCell ref="D8:I8"/>
    <mergeCell ref="J8:K8"/>
    <mergeCell ref="L8:M8"/>
    <mergeCell ref="D9:I9"/>
    <mergeCell ref="J9:K9"/>
    <mergeCell ref="L9:M9"/>
    <mergeCell ref="J10:K10"/>
    <mergeCell ref="L10:M10"/>
    <mergeCell ref="D14:J14"/>
    <mergeCell ref="L14:M14"/>
    <mergeCell ref="C15:C17"/>
    <mergeCell ref="D15:J17"/>
    <mergeCell ref="L15:M15"/>
    <mergeCell ref="K16:K17"/>
    <mergeCell ref="L16:M17"/>
    <mergeCell ref="D19:F19"/>
    <mergeCell ref="H19:I19"/>
    <mergeCell ref="K19:M19"/>
    <mergeCell ref="D22:E22"/>
    <mergeCell ref="F22:G22"/>
    <mergeCell ref="H22:I22"/>
    <mergeCell ref="J22:K22"/>
    <mergeCell ref="L22:M22"/>
    <mergeCell ref="H20:I20"/>
    <mergeCell ref="J20:M20"/>
    <mergeCell ref="J21:M21"/>
    <mergeCell ref="H27:I27"/>
    <mergeCell ref="J27:K27"/>
    <mergeCell ref="L27:M27"/>
    <mergeCell ref="D23:E23"/>
    <mergeCell ref="F23:G23"/>
    <mergeCell ref="H23:I23"/>
    <mergeCell ref="J23:K23"/>
    <mergeCell ref="L23:M23"/>
    <mergeCell ref="C26:I26"/>
    <mergeCell ref="H28:I28"/>
    <mergeCell ref="J28:K28"/>
    <mergeCell ref="L28:M28"/>
    <mergeCell ref="K34:M34"/>
    <mergeCell ref="D32:M32"/>
    <mergeCell ref="D33:M33"/>
    <mergeCell ref="D34:E34"/>
    <mergeCell ref="G34:I34"/>
    <mergeCell ref="D29:E29"/>
    <mergeCell ref="F29:G29"/>
    <mergeCell ref="H29:I29"/>
    <mergeCell ref="J29:K29"/>
    <mergeCell ref="L29:M29"/>
    <mergeCell ref="D27:E27"/>
    <mergeCell ref="F27:G27"/>
    <mergeCell ref="C42:C43"/>
    <mergeCell ref="D42:M43"/>
    <mergeCell ref="G35:I35"/>
    <mergeCell ref="K35:M35"/>
    <mergeCell ref="D39:F39"/>
    <mergeCell ref="G39:I39"/>
    <mergeCell ref="J39:L39"/>
    <mergeCell ref="D37:F37"/>
    <mergeCell ref="G37:I37"/>
    <mergeCell ref="J37:L37"/>
    <mergeCell ref="D38:F38"/>
    <mergeCell ref="G38:I38"/>
    <mergeCell ref="J38:L38"/>
  </mergeCells>
  <phoneticPr fontId="2" type="noConversion"/>
  <conditionalFormatting sqref="B44:M44 B3:N4 B14:D15 B16:C17 B13:N13 K12:N12 B12:D12 B11:N11 B9 D9 J9 B18:N19 J23:N23 B23:G23 K16:N17 N14:N15 K14:L15 B7:N8 N6 B6:L6 B10:J10 L9:L10 N9:N10 B24:N25 B5:D5 F5:N5 B26:C26 J26:N26 B31:N43 L30:N30 B27:N27 B29:N29 B28:C28 E28 G28:N28 H30:I30 B30:F30 B22:N22 B20:G20 B21:J21 N20:N21">
    <cfRule type="expression" dxfId="24" priority="7">
      <formula>#REF!="영업소출고"</formula>
    </cfRule>
  </conditionalFormatting>
  <conditionalFormatting sqref="D28">
    <cfRule type="expression" dxfId="23" priority="5">
      <formula>E28="미선택"</formula>
    </cfRule>
    <cfRule type="expression" dxfId="22" priority="6" stopIfTrue="1">
      <formula>$D$33="딜러/Agent"</formula>
    </cfRule>
  </conditionalFormatting>
  <conditionalFormatting sqref="F28">
    <cfRule type="expression" dxfId="21" priority="3">
      <formula>G28="미선택"</formula>
    </cfRule>
    <cfRule type="expression" dxfId="20" priority="4" stopIfTrue="1">
      <formula>$D$33="딜러/Agent"</formula>
    </cfRule>
  </conditionalFormatting>
  <conditionalFormatting sqref="J20">
    <cfRule type="expression" dxfId="19" priority="2">
      <formula>#REF!="영업소출고"</formula>
    </cfRule>
  </conditionalFormatting>
  <conditionalFormatting sqref="H20">
    <cfRule type="expression" dxfId="18" priority="1">
      <formula>#REF!="영업소출고"</formula>
    </cfRule>
  </conditionalFormatting>
  <dataValidations count="5">
    <dataValidation type="list" allowBlank="1" showInputMessage="1" showErrorMessage="1" sqref="J28:K28" xr:uid="{00000000-0002-0000-0800-000000000000}">
      <formula1>"선루프 썬팅, 필름번호판, 그 외 비용"</formula1>
    </dataValidation>
    <dataValidation type="list" allowBlank="1" showInputMessage="1" showErrorMessage="1" sqref="E28" xr:uid="{00000000-0002-0000-0800-000001000000}">
      <formula1>$Q$20:$Q$25</formula1>
    </dataValidation>
    <dataValidation type="list" allowBlank="1" showInputMessage="1" showErrorMessage="1" sqref="H28:I28" xr:uid="{00000000-0002-0000-0800-000002000000}">
      <formula1>$Q$7:$Q$12</formula1>
    </dataValidation>
    <dataValidation type="list" allowBlank="1" showInputMessage="1" showErrorMessage="1" sqref="D28 F28" xr:uid="{00000000-0002-0000-0800-000003000000}">
      <formula1>"미선택, 50%, 35%, 15%, 5%"</formula1>
    </dataValidation>
    <dataValidation type="list" allowBlank="1" showInputMessage="1" showErrorMessage="1" sqref="G28" xr:uid="{00000000-0002-0000-0800-000004000000}">
      <formula1>$Q$14:$Q$19</formula1>
    </dataValidation>
  </dataValidations>
  <printOptions horizontalCentered="1" verticalCentered="1"/>
  <pageMargins left="3.937007874015748E-2" right="3.937007874015748E-2" top="3.937007874015748E-2" bottom="3.937007874015748E-2" header="0.31496062992125984" footer="0.31496062992125984"/>
  <pageSetup paperSize="9" scale="74"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7">
    <tabColor rgb="FFFFFF00"/>
  </sheetPr>
  <dimension ref="B2:AD67"/>
  <sheetViews>
    <sheetView showGridLines="0" topLeftCell="A7" workbookViewId="0">
      <selection activeCell="J9" sqref="J9"/>
    </sheetView>
  </sheetViews>
  <sheetFormatPr defaultRowHeight="16.5"/>
  <cols>
    <col min="1" max="1" width="4.25" customWidth="1"/>
    <col min="2" max="4" width="9.5" bestFit="1" customWidth="1"/>
    <col min="5" max="5" width="4.375" customWidth="1"/>
    <col min="9" max="9" width="34.5" bestFit="1" customWidth="1"/>
    <col min="10" max="10" width="19.875" bestFit="1" customWidth="1"/>
  </cols>
  <sheetData>
    <row r="2" spans="2:30">
      <c r="I2" s="625">
        <v>1</v>
      </c>
      <c r="J2" s="625">
        <v>2</v>
      </c>
      <c r="K2" s="625">
        <v>3</v>
      </c>
      <c r="L2" s="625">
        <v>4</v>
      </c>
      <c r="M2" s="625">
        <v>5</v>
      </c>
      <c r="N2" s="625">
        <v>6</v>
      </c>
      <c r="O2" s="625">
        <v>7</v>
      </c>
      <c r="P2" s="625">
        <v>8</v>
      </c>
      <c r="Q2" s="625">
        <v>9</v>
      </c>
      <c r="R2" s="625">
        <v>10</v>
      </c>
      <c r="S2" s="625">
        <v>11</v>
      </c>
      <c r="T2" s="625">
        <v>12</v>
      </c>
      <c r="U2" s="625">
        <v>13</v>
      </c>
      <c r="V2" s="625">
        <v>14</v>
      </c>
      <c r="W2" s="625">
        <v>15</v>
      </c>
      <c r="X2" s="625">
        <v>16</v>
      </c>
      <c r="Y2" s="625">
        <v>17</v>
      </c>
      <c r="Z2" s="625">
        <v>18</v>
      </c>
      <c r="AA2" s="625">
        <v>19</v>
      </c>
      <c r="AB2" s="625">
        <v>20</v>
      </c>
      <c r="AC2" s="625">
        <v>21</v>
      </c>
      <c r="AD2" s="625">
        <v>22</v>
      </c>
    </row>
    <row r="3" spans="2:30" ht="17.25" thickBot="1">
      <c r="B3" s="2214" t="s">
        <v>2689</v>
      </c>
      <c r="C3" s="2214"/>
      <c r="D3" s="2214"/>
      <c r="K3" s="2214" t="s">
        <v>3041</v>
      </c>
      <c r="L3" s="2214"/>
      <c r="M3" s="2214"/>
      <c r="O3" s="2214" t="s">
        <v>2690</v>
      </c>
      <c r="P3" s="2214"/>
      <c r="Q3" s="2214"/>
      <c r="R3" s="625"/>
      <c r="S3" s="2214" t="s">
        <v>2691</v>
      </c>
      <c r="T3" s="2214"/>
      <c r="U3" s="2214"/>
      <c r="W3" s="2214" t="s">
        <v>2692</v>
      </c>
      <c r="X3" s="2214"/>
      <c r="Y3" s="2214"/>
      <c r="Z3" s="625"/>
      <c r="AA3" s="2214" t="s">
        <v>2693</v>
      </c>
      <c r="AB3" s="2214"/>
      <c r="AC3" s="2214"/>
      <c r="AD3" s="625"/>
    </row>
    <row r="4" spans="2:30" ht="17.25" thickBot="1">
      <c r="B4" s="1125">
        <v>36</v>
      </c>
      <c r="C4" s="1126">
        <v>48</v>
      </c>
      <c r="D4" s="1127">
        <v>60</v>
      </c>
      <c r="J4" s="752" t="s">
        <v>2694</v>
      </c>
      <c r="K4" s="1126">
        <v>36</v>
      </c>
      <c r="L4" s="1126">
        <v>48</v>
      </c>
      <c r="M4" s="1126">
        <v>60</v>
      </c>
      <c r="O4" s="1126">
        <v>36</v>
      </c>
      <c r="P4" s="1126">
        <v>48</v>
      </c>
      <c r="Q4" s="1127">
        <v>60</v>
      </c>
      <c r="R4" s="1128">
        <v>7.0000000000000007E-2</v>
      </c>
      <c r="S4" s="1125">
        <v>36</v>
      </c>
      <c r="T4" s="1126">
        <v>48</v>
      </c>
      <c r="U4" s="1127">
        <v>60</v>
      </c>
      <c r="V4" s="1129">
        <v>0</v>
      </c>
      <c r="W4" s="1126">
        <v>36</v>
      </c>
      <c r="X4" s="1126">
        <v>48</v>
      </c>
      <c r="Y4" s="1127">
        <v>60</v>
      </c>
      <c r="Z4" s="1128"/>
      <c r="AA4" s="1126">
        <v>36</v>
      </c>
      <c r="AB4" s="1126">
        <v>48</v>
      </c>
      <c r="AC4" s="1127">
        <v>60</v>
      </c>
      <c r="AD4" s="625"/>
    </row>
    <row r="5" spans="2:30" ht="17.25" thickBot="1">
      <c r="B5" s="1175">
        <v>0.65</v>
      </c>
      <c r="C5" s="1176">
        <v>0.56999999999999995</v>
      </c>
      <c r="D5" s="1177">
        <v>0.5</v>
      </c>
      <c r="E5" s="1178"/>
      <c r="F5" s="1179" t="s">
        <v>2695</v>
      </c>
      <c r="G5" s="1180" t="s">
        <v>886</v>
      </c>
      <c r="H5" s="1180" t="s">
        <v>678</v>
      </c>
      <c r="I5" s="1181" t="s">
        <v>2980</v>
      </c>
      <c r="J5" s="1134">
        <v>6.6E-3</v>
      </c>
      <c r="K5" s="1131">
        <f>+VLOOKUP(I5,차량정보!$D$877:$R$1031,6,0)</f>
        <v>0.56999999999999995</v>
      </c>
      <c r="L5" s="1131">
        <f>+VLOOKUP(I5,차량정보!$D$877:$R$1031,7,0)</f>
        <v>0.49</v>
      </c>
      <c r="M5" s="1132">
        <f>+VLOOKUP(I5,차량정보!$D$877:$R$1031,8,0)</f>
        <v>0.43</v>
      </c>
      <c r="O5" s="1131">
        <f>B5-$R$4</f>
        <v>0.58000000000000007</v>
      </c>
      <c r="P5" s="1131">
        <f>C5-$R$4</f>
        <v>0.49999999999999994</v>
      </c>
      <c r="Q5" s="1132">
        <f>D5-$R$4</f>
        <v>0.43</v>
      </c>
      <c r="R5" s="1129"/>
      <c r="S5" s="1130">
        <f>+O5-$V$4</f>
        <v>0.58000000000000007</v>
      </c>
      <c r="T5" s="1131">
        <f>+P5-$V$5</f>
        <v>0.49999999999999994</v>
      </c>
      <c r="U5" s="1131">
        <f>+Q5-$V$6</f>
        <v>0.43</v>
      </c>
      <c r="V5" s="1129">
        <v>0</v>
      </c>
      <c r="W5" s="1131">
        <f>+O5-K5</f>
        <v>1.000000000000012E-2</v>
      </c>
      <c r="X5" s="1131">
        <f t="shared" ref="X5:Y5" si="0">+P5-L5</f>
        <v>9.9999999999999534E-3</v>
      </c>
      <c r="Y5" s="1131">
        <f t="shared" si="0"/>
        <v>0</v>
      </c>
      <c r="Z5" s="1129"/>
      <c r="AA5" s="1131">
        <f>+S5-K5</f>
        <v>1.000000000000012E-2</v>
      </c>
      <c r="AB5" s="1131">
        <f t="shared" ref="AB5:AC5" si="1">+T5-L5</f>
        <v>9.9999999999999534E-3</v>
      </c>
      <c r="AC5" s="1131">
        <f t="shared" si="1"/>
        <v>0</v>
      </c>
      <c r="AD5" s="606">
        <f>+IF(J5=0.66%,1,2)</f>
        <v>1</v>
      </c>
    </row>
    <row r="6" spans="2:30" ht="17.25" thickBot="1">
      <c r="B6" s="1175">
        <v>0.65</v>
      </c>
      <c r="C6" s="1176">
        <v>0.56999999999999995</v>
      </c>
      <c r="D6" s="1177">
        <v>0.5</v>
      </c>
      <c r="E6" s="1178"/>
      <c r="F6" s="1179" t="s">
        <v>2695</v>
      </c>
      <c r="G6" s="1180" t="s">
        <v>886</v>
      </c>
      <c r="H6" s="1180" t="s">
        <v>678</v>
      </c>
      <c r="I6" s="1181" t="s">
        <v>2981</v>
      </c>
      <c r="J6" s="1134">
        <v>6.6E-3</v>
      </c>
      <c r="K6" s="1131">
        <f>+VLOOKUP(I6,차량정보!$D$877:$R$1031,6,0)</f>
        <v>0.55000000000000004</v>
      </c>
      <c r="L6" s="1131">
        <f>+VLOOKUP(I6,차량정보!$D$877:$R$1031,7,0)</f>
        <v>0.47</v>
      </c>
      <c r="M6" s="1132">
        <f>+VLOOKUP(I6,차량정보!$D$877:$R$1031,8,0)</f>
        <v>0.41</v>
      </c>
      <c r="O6" s="1131">
        <f t="shared" ref="O6:O55" si="2">B6-$R$4</f>
        <v>0.58000000000000007</v>
      </c>
      <c r="P6" s="1131">
        <f t="shared" ref="P6:P55" si="3">C6-$R$4</f>
        <v>0.49999999999999994</v>
      </c>
      <c r="Q6" s="1132">
        <f t="shared" ref="Q6:Q55" si="4">D6-$R$4</f>
        <v>0.43</v>
      </c>
      <c r="R6" s="1129"/>
      <c r="S6" s="1130">
        <f t="shared" ref="S6:S55" si="5">+O6-$V$4</f>
        <v>0.58000000000000007</v>
      </c>
      <c r="T6" s="1131">
        <f t="shared" ref="T6:T55" si="6">+P6-$V$5</f>
        <v>0.49999999999999994</v>
      </c>
      <c r="U6" s="1131">
        <f t="shared" ref="U6:U55" si="7">+Q6-$V$6</f>
        <v>0.43</v>
      </c>
      <c r="V6" s="1129">
        <v>0</v>
      </c>
      <c r="W6" s="1131">
        <f t="shared" ref="W6:W55" si="8">+O6-K6</f>
        <v>3.0000000000000027E-2</v>
      </c>
      <c r="X6" s="1131">
        <f t="shared" ref="X6:X55" si="9">+P6-L6</f>
        <v>2.9999999999999971E-2</v>
      </c>
      <c r="Y6" s="1131">
        <f t="shared" ref="Y6:Y55" si="10">+Q6-M6</f>
        <v>2.0000000000000018E-2</v>
      </c>
      <c r="Z6" s="1129"/>
      <c r="AA6" s="1131">
        <f t="shared" ref="AA6:AA55" si="11">+S6-K6</f>
        <v>3.0000000000000027E-2</v>
      </c>
      <c r="AB6" s="1131">
        <f t="shared" ref="AB6:AB55" si="12">+T6-L6</f>
        <v>2.9999999999999971E-2</v>
      </c>
      <c r="AC6" s="1131">
        <f t="shared" ref="AC6:AC55" si="13">+U6-M6</f>
        <v>2.0000000000000018E-2</v>
      </c>
      <c r="AD6" s="606">
        <f t="shared" ref="AD6:AD64" si="14">+IF(J6=0.66%,1,2)</f>
        <v>1</v>
      </c>
    </row>
    <row r="7" spans="2:30" ht="17.25" thickBot="1">
      <c r="B7" s="1130">
        <v>0.67</v>
      </c>
      <c r="C7" s="1131">
        <v>0.59</v>
      </c>
      <c r="D7" s="1132">
        <v>0.52</v>
      </c>
      <c r="F7" s="1174" t="s">
        <v>2695</v>
      </c>
      <c r="G7" s="1141" t="s">
        <v>2697</v>
      </c>
      <c r="H7" s="1141" t="s">
        <v>2696</v>
      </c>
      <c r="I7" s="1133" t="s">
        <v>3039</v>
      </c>
      <c r="J7" s="1134">
        <v>6.6E-3</v>
      </c>
      <c r="K7" s="1131">
        <f>+VLOOKUP(I7,차량정보!$D$877:$R$1094,6,0)</f>
        <v>0.56999999999999995</v>
      </c>
      <c r="L7" s="1131">
        <f>+VLOOKUP(I7,차량정보!$D$877:$R$1031,7,0)</f>
        <v>0.49</v>
      </c>
      <c r="M7" s="1132">
        <f>+VLOOKUP(I7,차량정보!$D$877:$R$1031,8,0)</f>
        <v>0.43</v>
      </c>
      <c r="O7" s="1131">
        <f t="shared" si="2"/>
        <v>0.60000000000000009</v>
      </c>
      <c r="P7" s="1131">
        <f t="shared" si="3"/>
        <v>0.52</v>
      </c>
      <c r="Q7" s="1132">
        <f t="shared" si="4"/>
        <v>0.45</v>
      </c>
      <c r="R7" s="1129"/>
      <c r="S7" s="1130">
        <f t="shared" si="5"/>
        <v>0.60000000000000009</v>
      </c>
      <c r="T7" s="1131">
        <f t="shared" si="6"/>
        <v>0.52</v>
      </c>
      <c r="U7" s="1131">
        <f t="shared" si="7"/>
        <v>0.45</v>
      </c>
      <c r="V7" s="1129"/>
      <c r="W7" s="1131">
        <f t="shared" si="8"/>
        <v>3.0000000000000138E-2</v>
      </c>
      <c r="X7" s="1131">
        <f t="shared" si="9"/>
        <v>3.0000000000000027E-2</v>
      </c>
      <c r="Y7" s="1131">
        <f t="shared" si="10"/>
        <v>2.0000000000000018E-2</v>
      </c>
      <c r="Z7" s="1129"/>
      <c r="AA7" s="1131">
        <f t="shared" si="11"/>
        <v>3.0000000000000138E-2</v>
      </c>
      <c r="AB7" s="1131">
        <f t="shared" si="12"/>
        <v>3.0000000000000027E-2</v>
      </c>
      <c r="AC7" s="1131">
        <f t="shared" si="13"/>
        <v>2.0000000000000018E-2</v>
      </c>
      <c r="AD7" s="606">
        <f t="shared" si="14"/>
        <v>1</v>
      </c>
    </row>
    <row r="8" spans="2:30" ht="17.25" thickBot="1">
      <c r="B8" s="1130">
        <v>0.67</v>
      </c>
      <c r="C8" s="1131">
        <v>0.59</v>
      </c>
      <c r="D8" s="1132">
        <v>0.52</v>
      </c>
      <c r="F8" s="1174" t="s">
        <v>2695</v>
      </c>
      <c r="G8" s="1141" t="s">
        <v>2697</v>
      </c>
      <c r="H8" s="1141" t="s">
        <v>2696</v>
      </c>
      <c r="I8" s="1133" t="s">
        <v>3040</v>
      </c>
      <c r="J8" s="1134">
        <v>6.6E-3</v>
      </c>
      <c r="K8" s="1131">
        <f>+VLOOKUP(I8,차량정보!$D$877:$R$1031,6,0)</f>
        <v>0.56999999999999995</v>
      </c>
      <c r="L8" s="1131">
        <f>+VLOOKUP(I8,차량정보!$D$877:$R$1031,7,0)</f>
        <v>0.49</v>
      </c>
      <c r="M8" s="1132">
        <f>+VLOOKUP(I8,차량정보!$D$877:$R$1031,8,0)</f>
        <v>0.43</v>
      </c>
      <c r="O8" s="1131">
        <f t="shared" si="2"/>
        <v>0.60000000000000009</v>
      </c>
      <c r="P8" s="1131">
        <f t="shared" si="3"/>
        <v>0.52</v>
      </c>
      <c r="Q8" s="1132">
        <f t="shared" si="4"/>
        <v>0.45</v>
      </c>
      <c r="R8" s="1129"/>
      <c r="S8" s="1130">
        <f t="shared" si="5"/>
        <v>0.60000000000000009</v>
      </c>
      <c r="T8" s="1131">
        <f t="shared" si="6"/>
        <v>0.52</v>
      </c>
      <c r="U8" s="1131">
        <f t="shared" si="7"/>
        <v>0.45</v>
      </c>
      <c r="V8" s="1129"/>
      <c r="W8" s="1131">
        <f t="shared" si="8"/>
        <v>3.0000000000000138E-2</v>
      </c>
      <c r="X8" s="1131">
        <f t="shared" si="9"/>
        <v>3.0000000000000027E-2</v>
      </c>
      <c r="Y8" s="1131">
        <f t="shared" si="10"/>
        <v>2.0000000000000018E-2</v>
      </c>
      <c r="Z8" s="1129"/>
      <c r="AA8" s="1131">
        <f t="shared" si="11"/>
        <v>3.0000000000000138E-2</v>
      </c>
      <c r="AB8" s="1131">
        <f t="shared" si="12"/>
        <v>3.0000000000000027E-2</v>
      </c>
      <c r="AC8" s="1131">
        <f t="shared" si="13"/>
        <v>2.0000000000000018E-2</v>
      </c>
      <c r="AD8" s="606">
        <f t="shared" si="14"/>
        <v>1</v>
      </c>
    </row>
    <row r="9" spans="2:30" ht="17.25" thickBot="1">
      <c r="B9" s="1175">
        <v>0.69</v>
      </c>
      <c r="C9" s="1176">
        <v>0.61</v>
      </c>
      <c r="D9" s="1177">
        <v>0.54</v>
      </c>
      <c r="E9" s="1178"/>
      <c r="F9" s="1179" t="s">
        <v>2695</v>
      </c>
      <c r="G9" s="1180" t="s">
        <v>1800</v>
      </c>
      <c r="H9" s="1180" t="s">
        <v>678</v>
      </c>
      <c r="I9" s="1181" t="s">
        <v>2982</v>
      </c>
      <c r="J9" s="1134">
        <v>6.6E-3</v>
      </c>
      <c r="K9" s="1131">
        <f>+VLOOKUP(I9,차량정보!$D$877:$R$1031,6,0)</f>
        <v>0.57999999999999996</v>
      </c>
      <c r="L9" s="1131">
        <f>+VLOOKUP(I9,차량정보!$D$877:$R$1031,7,0)</f>
        <v>0.5</v>
      </c>
      <c r="M9" s="1132">
        <f>+VLOOKUP(I9,차량정보!$D$877:$R$1031,8,0)</f>
        <v>0.44</v>
      </c>
      <c r="O9" s="1131">
        <f t="shared" si="2"/>
        <v>0.61999999999999988</v>
      </c>
      <c r="P9" s="1131">
        <f t="shared" si="3"/>
        <v>0.54</v>
      </c>
      <c r="Q9" s="1132">
        <f t="shared" si="4"/>
        <v>0.47000000000000003</v>
      </c>
      <c r="R9" s="1129"/>
      <c r="S9" s="1130">
        <f t="shared" si="5"/>
        <v>0.61999999999999988</v>
      </c>
      <c r="T9" s="1131">
        <f t="shared" si="6"/>
        <v>0.54</v>
      </c>
      <c r="U9" s="1131">
        <f t="shared" si="7"/>
        <v>0.47000000000000003</v>
      </c>
      <c r="V9" s="1129"/>
      <c r="W9" s="1131">
        <f t="shared" si="8"/>
        <v>3.9999999999999925E-2</v>
      </c>
      <c r="X9" s="1131">
        <f t="shared" si="9"/>
        <v>4.0000000000000036E-2</v>
      </c>
      <c r="Y9" s="1131">
        <f t="shared" si="10"/>
        <v>3.0000000000000027E-2</v>
      </c>
      <c r="Z9" s="1129"/>
      <c r="AA9" s="1131">
        <f t="shared" si="11"/>
        <v>3.9999999999999925E-2</v>
      </c>
      <c r="AB9" s="1131">
        <f t="shared" si="12"/>
        <v>4.0000000000000036E-2</v>
      </c>
      <c r="AC9" s="1131">
        <f t="shared" si="13"/>
        <v>3.0000000000000027E-2</v>
      </c>
      <c r="AD9" s="606">
        <f t="shared" si="14"/>
        <v>1</v>
      </c>
    </row>
    <row r="10" spans="2:30" ht="17.25" thickBot="1">
      <c r="B10" s="1175">
        <v>0.69</v>
      </c>
      <c r="C10" s="1176">
        <v>0.61</v>
      </c>
      <c r="D10" s="1177">
        <v>0.54</v>
      </c>
      <c r="E10" s="1178"/>
      <c r="F10" s="1179" t="s">
        <v>2695</v>
      </c>
      <c r="G10" s="1180" t="s">
        <v>1800</v>
      </c>
      <c r="H10" s="1180" t="s">
        <v>678</v>
      </c>
      <c r="I10" s="1181" t="s">
        <v>1235</v>
      </c>
      <c r="J10" s="1134">
        <v>6.6E-3</v>
      </c>
      <c r="K10" s="1131">
        <f>+VLOOKUP(I10,차량정보!$D$877:$R$1031,6,0)</f>
        <v>0.57999999999999996</v>
      </c>
      <c r="L10" s="1131">
        <f>+VLOOKUP(I10,차량정보!$D$877:$R$1031,7,0)</f>
        <v>0.5</v>
      </c>
      <c r="M10" s="1132">
        <f>+VLOOKUP(I10,차량정보!$D$877:$R$1031,8,0)</f>
        <v>0.44</v>
      </c>
      <c r="O10" s="1131">
        <f t="shared" si="2"/>
        <v>0.61999999999999988</v>
      </c>
      <c r="P10" s="1131">
        <f t="shared" si="3"/>
        <v>0.54</v>
      </c>
      <c r="Q10" s="1132">
        <f t="shared" si="4"/>
        <v>0.47000000000000003</v>
      </c>
      <c r="R10" s="1129"/>
      <c r="S10" s="1130">
        <f t="shared" si="5"/>
        <v>0.61999999999999988</v>
      </c>
      <c r="T10" s="1131">
        <f t="shared" si="6"/>
        <v>0.54</v>
      </c>
      <c r="U10" s="1131">
        <f t="shared" si="7"/>
        <v>0.47000000000000003</v>
      </c>
      <c r="V10" s="1129"/>
      <c r="W10" s="1131">
        <f t="shared" si="8"/>
        <v>3.9999999999999925E-2</v>
      </c>
      <c r="X10" s="1131">
        <f t="shared" si="9"/>
        <v>4.0000000000000036E-2</v>
      </c>
      <c r="Y10" s="1131">
        <f t="shared" si="10"/>
        <v>3.0000000000000027E-2</v>
      </c>
      <c r="Z10" s="1129"/>
      <c r="AA10" s="1131">
        <f t="shared" si="11"/>
        <v>3.9999999999999925E-2</v>
      </c>
      <c r="AB10" s="1131">
        <f t="shared" si="12"/>
        <v>4.0000000000000036E-2</v>
      </c>
      <c r="AC10" s="1131">
        <f t="shared" si="13"/>
        <v>3.0000000000000027E-2</v>
      </c>
      <c r="AD10" s="606">
        <f t="shared" si="14"/>
        <v>1</v>
      </c>
    </row>
    <row r="11" spans="2:30" ht="17.25" thickBot="1">
      <c r="B11" s="1175">
        <v>0.69</v>
      </c>
      <c r="C11" s="1176">
        <v>0.61</v>
      </c>
      <c r="D11" s="1177">
        <v>0.54</v>
      </c>
      <c r="E11" s="1178"/>
      <c r="F11" s="1179" t="s">
        <v>2695</v>
      </c>
      <c r="G11" s="1180" t="s">
        <v>1800</v>
      </c>
      <c r="H11" s="1180" t="s">
        <v>678</v>
      </c>
      <c r="I11" s="1181" t="s">
        <v>2983</v>
      </c>
      <c r="J11" s="1134">
        <v>6.6E-3</v>
      </c>
      <c r="K11" s="1131">
        <f>+VLOOKUP(I11,차량정보!$D$877:$R$1031,6,0)</f>
        <v>0.57999999999999996</v>
      </c>
      <c r="L11" s="1131">
        <f>+VLOOKUP(I11,차량정보!$D$877:$R$1031,7,0)</f>
        <v>0.5</v>
      </c>
      <c r="M11" s="1132">
        <f>+VLOOKUP(I11,차량정보!$D$877:$R$1031,8,0)</f>
        <v>0.44</v>
      </c>
      <c r="O11" s="1131">
        <f t="shared" si="2"/>
        <v>0.61999999999999988</v>
      </c>
      <c r="P11" s="1131">
        <f t="shared" si="3"/>
        <v>0.54</v>
      </c>
      <c r="Q11" s="1132">
        <f t="shared" si="4"/>
        <v>0.47000000000000003</v>
      </c>
      <c r="R11" s="1129"/>
      <c r="S11" s="1130">
        <f t="shared" si="5"/>
        <v>0.61999999999999988</v>
      </c>
      <c r="T11" s="1131">
        <f t="shared" si="6"/>
        <v>0.54</v>
      </c>
      <c r="U11" s="1131">
        <f t="shared" si="7"/>
        <v>0.47000000000000003</v>
      </c>
      <c r="V11" s="1129"/>
      <c r="W11" s="1131">
        <f t="shared" si="8"/>
        <v>3.9999999999999925E-2</v>
      </c>
      <c r="X11" s="1131">
        <f t="shared" si="9"/>
        <v>4.0000000000000036E-2</v>
      </c>
      <c r="Y11" s="1131">
        <f t="shared" si="10"/>
        <v>3.0000000000000027E-2</v>
      </c>
      <c r="Z11" s="1129"/>
      <c r="AA11" s="1131">
        <f t="shared" si="11"/>
        <v>3.9999999999999925E-2</v>
      </c>
      <c r="AB11" s="1131">
        <f t="shared" si="12"/>
        <v>4.0000000000000036E-2</v>
      </c>
      <c r="AC11" s="1131">
        <f t="shared" si="13"/>
        <v>3.0000000000000027E-2</v>
      </c>
      <c r="AD11" s="606">
        <f t="shared" si="14"/>
        <v>1</v>
      </c>
    </row>
    <row r="12" spans="2:30" ht="17.25" thickBot="1">
      <c r="B12" s="1175">
        <v>0.69</v>
      </c>
      <c r="C12" s="1176">
        <v>0.61</v>
      </c>
      <c r="D12" s="1177">
        <v>0.54</v>
      </c>
      <c r="E12" s="1178"/>
      <c r="F12" s="1179" t="s">
        <v>2695</v>
      </c>
      <c r="G12" s="1180" t="s">
        <v>1800</v>
      </c>
      <c r="H12" s="1180" t="s">
        <v>678</v>
      </c>
      <c r="I12" s="1181" t="s">
        <v>1137</v>
      </c>
      <c r="J12" s="1134">
        <v>6.6E-3</v>
      </c>
      <c r="K12" s="1131">
        <f>+VLOOKUP(I12,차량정보!$D$877:$R$1031,6,0)</f>
        <v>0.56000000000000005</v>
      </c>
      <c r="L12" s="1131">
        <f>+VLOOKUP(I12,차량정보!$D$877:$R$1031,7,0)</f>
        <v>0.48</v>
      </c>
      <c r="M12" s="1132">
        <f>+VLOOKUP(I12,차량정보!$D$877:$R$1031,8,0)</f>
        <v>0.42</v>
      </c>
      <c r="O12" s="1131">
        <f t="shared" si="2"/>
        <v>0.61999999999999988</v>
      </c>
      <c r="P12" s="1131">
        <f t="shared" si="3"/>
        <v>0.54</v>
      </c>
      <c r="Q12" s="1132">
        <f t="shared" si="4"/>
        <v>0.47000000000000003</v>
      </c>
      <c r="R12" s="1129"/>
      <c r="S12" s="1130">
        <f t="shared" si="5"/>
        <v>0.61999999999999988</v>
      </c>
      <c r="T12" s="1131">
        <f t="shared" si="6"/>
        <v>0.54</v>
      </c>
      <c r="U12" s="1131">
        <f t="shared" si="7"/>
        <v>0.47000000000000003</v>
      </c>
      <c r="V12" s="1129"/>
      <c r="W12" s="1131">
        <f t="shared" si="8"/>
        <v>5.9999999999999831E-2</v>
      </c>
      <c r="X12" s="1131">
        <f t="shared" si="9"/>
        <v>6.0000000000000053E-2</v>
      </c>
      <c r="Y12" s="1131">
        <f t="shared" si="10"/>
        <v>5.0000000000000044E-2</v>
      </c>
      <c r="Z12" s="1129"/>
      <c r="AA12" s="1131">
        <f t="shared" si="11"/>
        <v>5.9999999999999831E-2</v>
      </c>
      <c r="AB12" s="1131">
        <f t="shared" si="12"/>
        <v>6.0000000000000053E-2</v>
      </c>
      <c r="AC12" s="1131">
        <f t="shared" si="13"/>
        <v>5.0000000000000044E-2</v>
      </c>
      <c r="AD12" s="606">
        <f t="shared" si="14"/>
        <v>1</v>
      </c>
    </row>
    <row r="13" spans="2:30" ht="17.25" thickBot="1">
      <c r="B13" s="1175">
        <v>0.69</v>
      </c>
      <c r="C13" s="1176">
        <v>0.61</v>
      </c>
      <c r="D13" s="1177">
        <v>0.54</v>
      </c>
      <c r="E13" s="1178"/>
      <c r="F13" s="1179" t="s">
        <v>2695</v>
      </c>
      <c r="G13" s="1180" t="s">
        <v>1800</v>
      </c>
      <c r="H13" s="1180" t="s">
        <v>678</v>
      </c>
      <c r="I13" s="1181" t="s">
        <v>2700</v>
      </c>
      <c r="J13" s="1134">
        <v>6.6E-3</v>
      </c>
      <c r="K13" s="1131">
        <f>+VLOOKUP(I13,차량정보!$D$877:$R$1031,6,0)</f>
        <v>0.56000000000000005</v>
      </c>
      <c r="L13" s="1131">
        <f>+VLOOKUP(I13,차량정보!$D$877:$R$1031,7,0)</f>
        <v>0.48</v>
      </c>
      <c r="M13" s="1132">
        <f>+VLOOKUP(I13,차량정보!$D$877:$R$1031,8,0)</f>
        <v>0.42</v>
      </c>
      <c r="O13" s="1131">
        <f t="shared" si="2"/>
        <v>0.61999999999999988</v>
      </c>
      <c r="P13" s="1131">
        <f t="shared" si="3"/>
        <v>0.54</v>
      </c>
      <c r="Q13" s="1132">
        <f t="shared" si="4"/>
        <v>0.47000000000000003</v>
      </c>
      <c r="R13" s="1129"/>
      <c r="S13" s="1130">
        <f t="shared" si="5"/>
        <v>0.61999999999999988</v>
      </c>
      <c r="T13" s="1131">
        <f t="shared" si="6"/>
        <v>0.54</v>
      </c>
      <c r="U13" s="1131">
        <f t="shared" si="7"/>
        <v>0.47000000000000003</v>
      </c>
      <c r="V13" s="1129"/>
      <c r="W13" s="1131">
        <f t="shared" si="8"/>
        <v>5.9999999999999831E-2</v>
      </c>
      <c r="X13" s="1131">
        <f t="shared" si="9"/>
        <v>6.0000000000000053E-2</v>
      </c>
      <c r="Y13" s="1131">
        <f t="shared" si="10"/>
        <v>5.0000000000000044E-2</v>
      </c>
      <c r="Z13" s="1129"/>
      <c r="AA13" s="1131">
        <f t="shared" si="11"/>
        <v>5.9999999999999831E-2</v>
      </c>
      <c r="AB13" s="1131">
        <f t="shared" si="12"/>
        <v>6.0000000000000053E-2</v>
      </c>
      <c r="AC13" s="1131">
        <f t="shared" si="13"/>
        <v>5.0000000000000044E-2</v>
      </c>
      <c r="AD13" s="606">
        <f t="shared" si="14"/>
        <v>1</v>
      </c>
    </row>
    <row r="14" spans="2:30" ht="17.25" thickBot="1">
      <c r="B14" s="1175">
        <v>0.69</v>
      </c>
      <c r="C14" s="1176">
        <v>0.61</v>
      </c>
      <c r="D14" s="1177">
        <v>0.54</v>
      </c>
      <c r="E14" s="1178"/>
      <c r="F14" s="1179" t="s">
        <v>2695</v>
      </c>
      <c r="G14" s="1180" t="s">
        <v>1800</v>
      </c>
      <c r="H14" s="1180" t="s">
        <v>678</v>
      </c>
      <c r="I14" s="1181" t="s">
        <v>2701</v>
      </c>
      <c r="J14" s="1134">
        <v>6.6E-3</v>
      </c>
      <c r="K14" s="1131">
        <f>+VLOOKUP(I14,차량정보!$D$877:$R$1031,6,0)</f>
        <v>0.56000000000000005</v>
      </c>
      <c r="L14" s="1131">
        <f>+VLOOKUP(I14,차량정보!$D$877:$R$1031,7,0)</f>
        <v>0.48</v>
      </c>
      <c r="M14" s="1132">
        <f>+VLOOKUP(I14,차량정보!$D$877:$R$1031,8,0)</f>
        <v>0.42</v>
      </c>
      <c r="O14" s="1131">
        <f t="shared" si="2"/>
        <v>0.61999999999999988</v>
      </c>
      <c r="P14" s="1131">
        <f t="shared" si="3"/>
        <v>0.54</v>
      </c>
      <c r="Q14" s="1132">
        <f t="shared" si="4"/>
        <v>0.47000000000000003</v>
      </c>
      <c r="R14" s="1129"/>
      <c r="S14" s="1130">
        <f t="shared" si="5"/>
        <v>0.61999999999999988</v>
      </c>
      <c r="T14" s="1131">
        <f t="shared" si="6"/>
        <v>0.54</v>
      </c>
      <c r="U14" s="1131">
        <f t="shared" si="7"/>
        <v>0.47000000000000003</v>
      </c>
      <c r="V14" s="1129"/>
      <c r="W14" s="1131">
        <f t="shared" si="8"/>
        <v>5.9999999999999831E-2</v>
      </c>
      <c r="X14" s="1131">
        <f t="shared" si="9"/>
        <v>6.0000000000000053E-2</v>
      </c>
      <c r="Y14" s="1131">
        <f t="shared" si="10"/>
        <v>5.0000000000000044E-2</v>
      </c>
      <c r="Z14" s="1129"/>
      <c r="AA14" s="1131">
        <f t="shared" si="11"/>
        <v>5.9999999999999831E-2</v>
      </c>
      <c r="AB14" s="1131">
        <f t="shared" si="12"/>
        <v>6.0000000000000053E-2</v>
      </c>
      <c r="AC14" s="1131">
        <f t="shared" si="13"/>
        <v>5.0000000000000044E-2</v>
      </c>
      <c r="AD14" s="606">
        <f t="shared" si="14"/>
        <v>1</v>
      </c>
    </row>
    <row r="15" spans="2:30" ht="17.25" thickBot="1">
      <c r="B15" s="1175">
        <v>0.69</v>
      </c>
      <c r="C15" s="1176">
        <v>0.61</v>
      </c>
      <c r="D15" s="1177">
        <v>0.54</v>
      </c>
      <c r="E15" s="1178"/>
      <c r="F15" s="1179" t="s">
        <v>2695</v>
      </c>
      <c r="G15" s="1180" t="s">
        <v>1800</v>
      </c>
      <c r="H15" s="1180" t="s">
        <v>678</v>
      </c>
      <c r="I15" s="1181" t="s">
        <v>2702</v>
      </c>
      <c r="J15" s="1134">
        <v>6.6E-3</v>
      </c>
      <c r="K15" s="1131">
        <f>+VLOOKUP(I15,차량정보!$D$877:$R$1031,6,0)</f>
        <v>0.56000000000000005</v>
      </c>
      <c r="L15" s="1131">
        <f>+VLOOKUP(I15,차량정보!$D$877:$R$1031,7,0)</f>
        <v>0.48</v>
      </c>
      <c r="M15" s="1132">
        <f>+VLOOKUP(I15,차량정보!$D$877:$R$1031,8,0)</f>
        <v>0.42</v>
      </c>
      <c r="O15" s="1131">
        <f t="shared" si="2"/>
        <v>0.61999999999999988</v>
      </c>
      <c r="P15" s="1131">
        <f t="shared" si="3"/>
        <v>0.54</v>
      </c>
      <c r="Q15" s="1132">
        <f t="shared" si="4"/>
        <v>0.47000000000000003</v>
      </c>
      <c r="R15" s="1129"/>
      <c r="S15" s="1130">
        <f t="shared" si="5"/>
        <v>0.61999999999999988</v>
      </c>
      <c r="T15" s="1131">
        <f t="shared" si="6"/>
        <v>0.54</v>
      </c>
      <c r="U15" s="1131">
        <f t="shared" si="7"/>
        <v>0.47000000000000003</v>
      </c>
      <c r="V15" s="1129"/>
      <c r="W15" s="1131">
        <f t="shared" si="8"/>
        <v>5.9999999999999831E-2</v>
      </c>
      <c r="X15" s="1131">
        <f t="shared" si="9"/>
        <v>6.0000000000000053E-2</v>
      </c>
      <c r="Y15" s="1131">
        <f t="shared" si="10"/>
        <v>5.0000000000000044E-2</v>
      </c>
      <c r="Z15" s="1129"/>
      <c r="AA15" s="1131">
        <f t="shared" si="11"/>
        <v>5.9999999999999831E-2</v>
      </c>
      <c r="AB15" s="1131">
        <f t="shared" si="12"/>
        <v>6.0000000000000053E-2</v>
      </c>
      <c r="AC15" s="1131">
        <f t="shared" si="13"/>
        <v>5.0000000000000044E-2</v>
      </c>
      <c r="AD15" s="606">
        <f t="shared" si="14"/>
        <v>1</v>
      </c>
    </row>
    <row r="16" spans="2:30" ht="17.25" thickBot="1">
      <c r="B16" s="1175">
        <v>0.69</v>
      </c>
      <c r="C16" s="1176">
        <v>0.61</v>
      </c>
      <c r="D16" s="1177">
        <v>0.54</v>
      </c>
      <c r="E16" s="1178"/>
      <c r="F16" s="1179" t="s">
        <v>2695</v>
      </c>
      <c r="G16" s="1180" t="s">
        <v>1800</v>
      </c>
      <c r="H16" s="1180" t="s">
        <v>678</v>
      </c>
      <c r="I16" s="1181" t="s">
        <v>2984</v>
      </c>
      <c r="J16" s="1134">
        <v>6.6E-3</v>
      </c>
      <c r="K16" s="1131">
        <f>+VLOOKUP(I16,차량정보!$D$877:$R$1031,6,0)</f>
        <v>0.54</v>
      </c>
      <c r="L16" s="1131">
        <f>+VLOOKUP(I16,차량정보!$D$877:$R$1031,7,0)</f>
        <v>0.46</v>
      </c>
      <c r="M16" s="1132">
        <f>+VLOOKUP(I16,차량정보!$D$877:$R$1031,8,0)</f>
        <v>0.4</v>
      </c>
      <c r="O16" s="1131">
        <f t="shared" si="2"/>
        <v>0.61999999999999988</v>
      </c>
      <c r="P16" s="1131">
        <f t="shared" si="3"/>
        <v>0.54</v>
      </c>
      <c r="Q16" s="1132">
        <f t="shared" si="4"/>
        <v>0.47000000000000003</v>
      </c>
      <c r="R16" s="1129"/>
      <c r="S16" s="1130">
        <f t="shared" si="5"/>
        <v>0.61999999999999988</v>
      </c>
      <c r="T16" s="1131">
        <f t="shared" si="6"/>
        <v>0.54</v>
      </c>
      <c r="U16" s="1131">
        <f t="shared" si="7"/>
        <v>0.47000000000000003</v>
      </c>
      <c r="V16" s="1129"/>
      <c r="W16" s="1131">
        <f t="shared" si="8"/>
        <v>7.9999999999999849E-2</v>
      </c>
      <c r="X16" s="1131">
        <f t="shared" si="9"/>
        <v>8.0000000000000016E-2</v>
      </c>
      <c r="Y16" s="1131">
        <f t="shared" si="10"/>
        <v>7.0000000000000007E-2</v>
      </c>
      <c r="Z16" s="1129"/>
      <c r="AA16" s="1131">
        <f t="shared" si="11"/>
        <v>7.9999999999999849E-2</v>
      </c>
      <c r="AB16" s="1131">
        <f t="shared" si="12"/>
        <v>8.0000000000000016E-2</v>
      </c>
      <c r="AC16" s="1131">
        <f t="shared" si="13"/>
        <v>7.0000000000000007E-2</v>
      </c>
      <c r="AD16" s="606">
        <f t="shared" si="14"/>
        <v>1</v>
      </c>
    </row>
    <row r="17" spans="2:30" ht="17.25" thickBot="1">
      <c r="B17" s="1175">
        <v>0.69</v>
      </c>
      <c r="C17" s="1176">
        <v>0.61</v>
      </c>
      <c r="D17" s="1177">
        <v>0.54</v>
      </c>
      <c r="E17" s="1178"/>
      <c r="F17" s="1179" t="s">
        <v>2695</v>
      </c>
      <c r="G17" s="1180" t="s">
        <v>1800</v>
      </c>
      <c r="H17" s="1180" t="s">
        <v>678</v>
      </c>
      <c r="I17" s="1181" t="s">
        <v>2985</v>
      </c>
      <c r="J17" s="1134">
        <v>6.6E-3</v>
      </c>
      <c r="K17" s="1131">
        <f>+VLOOKUP(I17,차량정보!$D$877:$R$1031,6,0)</f>
        <v>0.54</v>
      </c>
      <c r="L17" s="1131">
        <f>+VLOOKUP(I17,차량정보!$D$877:$R$1031,7,0)</f>
        <v>0.46</v>
      </c>
      <c r="M17" s="1132">
        <f>+VLOOKUP(I17,차량정보!$D$877:$R$1031,8,0)</f>
        <v>0.4</v>
      </c>
      <c r="O17" s="1131">
        <f t="shared" si="2"/>
        <v>0.61999999999999988</v>
      </c>
      <c r="P17" s="1131">
        <f t="shared" si="3"/>
        <v>0.54</v>
      </c>
      <c r="Q17" s="1132">
        <f t="shared" si="4"/>
        <v>0.47000000000000003</v>
      </c>
      <c r="R17" s="1129"/>
      <c r="S17" s="1130">
        <f t="shared" si="5"/>
        <v>0.61999999999999988</v>
      </c>
      <c r="T17" s="1131">
        <f t="shared" si="6"/>
        <v>0.54</v>
      </c>
      <c r="U17" s="1131">
        <f t="shared" si="7"/>
        <v>0.47000000000000003</v>
      </c>
      <c r="V17" s="1129"/>
      <c r="W17" s="1131">
        <f t="shared" si="8"/>
        <v>7.9999999999999849E-2</v>
      </c>
      <c r="X17" s="1131">
        <f t="shared" si="9"/>
        <v>8.0000000000000016E-2</v>
      </c>
      <c r="Y17" s="1131">
        <f t="shared" si="10"/>
        <v>7.0000000000000007E-2</v>
      </c>
      <c r="Z17" s="1129"/>
      <c r="AA17" s="1131">
        <f t="shared" si="11"/>
        <v>7.9999999999999849E-2</v>
      </c>
      <c r="AB17" s="1131">
        <f t="shared" si="12"/>
        <v>8.0000000000000016E-2</v>
      </c>
      <c r="AC17" s="1131">
        <f t="shared" si="13"/>
        <v>7.0000000000000007E-2</v>
      </c>
      <c r="AD17" s="606">
        <f t="shared" si="14"/>
        <v>1</v>
      </c>
    </row>
    <row r="18" spans="2:30" ht="17.25" thickBot="1">
      <c r="B18" s="1130">
        <v>0.68</v>
      </c>
      <c r="C18" s="1131">
        <v>0.57999999999999996</v>
      </c>
      <c r="D18" s="1132">
        <v>0.52</v>
      </c>
      <c r="F18" s="1174" t="s">
        <v>2698</v>
      </c>
      <c r="G18" s="1141" t="s">
        <v>863</v>
      </c>
      <c r="H18" s="1141" t="s">
        <v>2986</v>
      </c>
      <c r="I18" s="1133" t="s">
        <v>3037</v>
      </c>
      <c r="J18" s="1134">
        <v>6.6E-3</v>
      </c>
      <c r="K18" s="1131">
        <f>+VLOOKUP(I18,차량정보!$D$877:$R$1031,6,0)</f>
        <v>0.53</v>
      </c>
      <c r="L18" s="1131">
        <f>+VLOOKUP(I18,차량정보!$D$877:$R$1031,7,0)</f>
        <v>0.45</v>
      </c>
      <c r="M18" s="1132">
        <f>+VLOOKUP(I18,차량정보!$D$877:$R$1031,8,0)</f>
        <v>0.39</v>
      </c>
      <c r="O18" s="1131">
        <f t="shared" si="2"/>
        <v>0.6100000000000001</v>
      </c>
      <c r="P18" s="1131">
        <f t="shared" si="3"/>
        <v>0.51</v>
      </c>
      <c r="Q18" s="1132">
        <f t="shared" si="4"/>
        <v>0.45</v>
      </c>
      <c r="R18" s="1129"/>
      <c r="S18" s="1130">
        <f t="shared" si="5"/>
        <v>0.6100000000000001</v>
      </c>
      <c r="T18" s="1131">
        <f t="shared" si="6"/>
        <v>0.51</v>
      </c>
      <c r="U18" s="1131">
        <f t="shared" si="7"/>
        <v>0.45</v>
      </c>
      <c r="V18" s="1129"/>
      <c r="W18" s="1131">
        <f t="shared" si="8"/>
        <v>8.0000000000000071E-2</v>
      </c>
      <c r="X18" s="1131">
        <f t="shared" si="9"/>
        <v>0.06</v>
      </c>
      <c r="Y18" s="1131">
        <f t="shared" si="10"/>
        <v>0.06</v>
      </c>
      <c r="Z18" s="1129"/>
      <c r="AA18" s="1131">
        <f t="shared" si="11"/>
        <v>8.0000000000000071E-2</v>
      </c>
      <c r="AB18" s="1131">
        <f t="shared" si="12"/>
        <v>0.06</v>
      </c>
      <c r="AC18" s="1131">
        <f t="shared" si="13"/>
        <v>0.06</v>
      </c>
      <c r="AD18" s="606">
        <f t="shared" si="14"/>
        <v>1</v>
      </c>
    </row>
    <row r="19" spans="2:30" ht="17.25" thickBot="1">
      <c r="B19" s="1130">
        <v>0.66</v>
      </c>
      <c r="C19" s="1131">
        <v>0.56000000000000005</v>
      </c>
      <c r="D19" s="1132">
        <v>0.5</v>
      </c>
      <c r="F19" s="1174" t="s">
        <v>2698</v>
      </c>
      <c r="G19" s="1141" t="s">
        <v>863</v>
      </c>
      <c r="H19" s="1141" t="s">
        <v>2987</v>
      </c>
      <c r="I19" s="1133" t="s">
        <v>3036</v>
      </c>
      <c r="J19" s="1134">
        <v>6.6E-3</v>
      </c>
      <c r="K19" s="1131">
        <f>+VLOOKUP(I19,차량정보!$D$877:$R$1031,6,0)</f>
        <v>0.56000000000000005</v>
      </c>
      <c r="L19" s="1131">
        <f>+VLOOKUP(I19,차량정보!$D$877:$R$1031,7,0)</f>
        <v>0.48</v>
      </c>
      <c r="M19" s="1132">
        <f>+VLOOKUP(I19,차량정보!$D$877:$R$1031,8,0)</f>
        <v>0.42</v>
      </c>
      <c r="O19" s="1131">
        <f t="shared" si="2"/>
        <v>0.59000000000000008</v>
      </c>
      <c r="P19" s="1131">
        <f t="shared" si="3"/>
        <v>0.49000000000000005</v>
      </c>
      <c r="Q19" s="1132">
        <f t="shared" si="4"/>
        <v>0.43</v>
      </c>
      <c r="R19" s="1129"/>
      <c r="S19" s="1130">
        <f t="shared" si="5"/>
        <v>0.59000000000000008</v>
      </c>
      <c r="T19" s="1131">
        <f t="shared" si="6"/>
        <v>0.49000000000000005</v>
      </c>
      <c r="U19" s="1131">
        <f t="shared" si="7"/>
        <v>0.43</v>
      </c>
      <c r="V19" s="1129"/>
      <c r="W19" s="1131">
        <f t="shared" si="8"/>
        <v>3.0000000000000027E-2</v>
      </c>
      <c r="X19" s="1131">
        <f t="shared" si="9"/>
        <v>1.0000000000000064E-2</v>
      </c>
      <c r="Y19" s="1131">
        <f t="shared" si="10"/>
        <v>1.0000000000000009E-2</v>
      </c>
      <c r="Z19" s="1129"/>
      <c r="AA19" s="1131">
        <f t="shared" si="11"/>
        <v>3.0000000000000027E-2</v>
      </c>
      <c r="AB19" s="1131">
        <f t="shared" si="12"/>
        <v>1.0000000000000064E-2</v>
      </c>
      <c r="AC19" s="1131">
        <f t="shared" si="13"/>
        <v>1.0000000000000009E-2</v>
      </c>
      <c r="AD19" s="606">
        <f t="shared" si="14"/>
        <v>1</v>
      </c>
    </row>
    <row r="20" spans="2:30" ht="17.25" thickBot="1">
      <c r="B20" s="1175">
        <v>0.67</v>
      </c>
      <c r="C20" s="1176">
        <v>0.59</v>
      </c>
      <c r="D20" s="1177">
        <v>0.51</v>
      </c>
      <c r="E20" s="1178"/>
      <c r="F20" s="1179" t="s">
        <v>2698</v>
      </c>
      <c r="G20" s="1180" t="s">
        <v>2988</v>
      </c>
      <c r="H20" s="1180" t="s">
        <v>2989</v>
      </c>
      <c r="I20" s="1181" t="s">
        <v>2990</v>
      </c>
      <c r="J20" s="1134">
        <v>6.6E-3</v>
      </c>
      <c r="K20" s="1131">
        <f>+VLOOKUP(I20,차량정보!$D$877:$R$1031,6,0)</f>
        <v>0.53</v>
      </c>
      <c r="L20" s="1131">
        <f>+VLOOKUP(I20,차량정보!$D$877:$R$1031,7,0)</f>
        <v>0.45</v>
      </c>
      <c r="M20" s="1132">
        <f>+VLOOKUP(I20,차량정보!$D$877:$R$1031,8,0)</f>
        <v>0.39</v>
      </c>
      <c r="O20" s="1131">
        <f t="shared" si="2"/>
        <v>0.60000000000000009</v>
      </c>
      <c r="P20" s="1131">
        <f t="shared" si="3"/>
        <v>0.52</v>
      </c>
      <c r="Q20" s="1132">
        <f t="shared" si="4"/>
        <v>0.44</v>
      </c>
      <c r="R20" s="1129"/>
      <c r="S20" s="1130">
        <f t="shared" si="5"/>
        <v>0.60000000000000009</v>
      </c>
      <c r="T20" s="1131">
        <f t="shared" si="6"/>
        <v>0.52</v>
      </c>
      <c r="U20" s="1131">
        <f t="shared" si="7"/>
        <v>0.44</v>
      </c>
      <c r="V20" s="1129"/>
      <c r="W20" s="1131">
        <f t="shared" si="8"/>
        <v>7.0000000000000062E-2</v>
      </c>
      <c r="X20" s="1131">
        <f t="shared" si="9"/>
        <v>7.0000000000000007E-2</v>
      </c>
      <c r="Y20" s="1131">
        <f t="shared" si="10"/>
        <v>4.9999999999999989E-2</v>
      </c>
      <c r="Z20" s="1129"/>
      <c r="AA20" s="1131">
        <f t="shared" si="11"/>
        <v>7.0000000000000062E-2</v>
      </c>
      <c r="AB20" s="1131">
        <f t="shared" si="12"/>
        <v>7.0000000000000007E-2</v>
      </c>
      <c r="AC20" s="1131">
        <f t="shared" si="13"/>
        <v>4.9999999999999989E-2</v>
      </c>
      <c r="AD20" s="606">
        <f t="shared" si="14"/>
        <v>1</v>
      </c>
    </row>
    <row r="21" spans="2:30" ht="17.25" thickBot="1">
      <c r="B21" s="1175">
        <v>0.67</v>
      </c>
      <c r="C21" s="1176">
        <v>0.59</v>
      </c>
      <c r="D21" s="1177">
        <v>0.51</v>
      </c>
      <c r="E21" s="1178"/>
      <c r="F21" s="1179" t="s">
        <v>2698</v>
      </c>
      <c r="G21" s="1180" t="s">
        <v>2988</v>
      </c>
      <c r="H21" s="1180" t="s">
        <v>678</v>
      </c>
      <c r="I21" s="1181" t="s">
        <v>2991</v>
      </c>
      <c r="J21" s="1134">
        <v>6.6E-3</v>
      </c>
      <c r="K21" s="1131">
        <f>+VLOOKUP(I21,차량정보!$D$877:$R$1031,6,0)</f>
        <v>0.59</v>
      </c>
      <c r="L21" s="1131">
        <f>+VLOOKUP(I21,차량정보!$D$877:$R$1031,7,0)</f>
        <v>0.51</v>
      </c>
      <c r="M21" s="1132">
        <f>+VLOOKUP(I21,차량정보!$D$877:$R$1031,8,0)</f>
        <v>0.45</v>
      </c>
      <c r="O21" s="1131">
        <f t="shared" si="2"/>
        <v>0.60000000000000009</v>
      </c>
      <c r="P21" s="1131">
        <f t="shared" si="3"/>
        <v>0.52</v>
      </c>
      <c r="Q21" s="1132">
        <f t="shared" si="4"/>
        <v>0.44</v>
      </c>
      <c r="R21" s="1129"/>
      <c r="S21" s="1130">
        <f t="shared" si="5"/>
        <v>0.60000000000000009</v>
      </c>
      <c r="T21" s="1131">
        <f t="shared" si="6"/>
        <v>0.52</v>
      </c>
      <c r="U21" s="1131">
        <f t="shared" si="7"/>
        <v>0.44</v>
      </c>
      <c r="V21" s="1129"/>
      <c r="W21" s="1131">
        <f t="shared" si="8"/>
        <v>1.000000000000012E-2</v>
      </c>
      <c r="X21" s="1131">
        <f t="shared" si="9"/>
        <v>1.0000000000000009E-2</v>
      </c>
      <c r="Y21" s="1131">
        <f t="shared" si="10"/>
        <v>-1.0000000000000009E-2</v>
      </c>
      <c r="Z21" s="1129"/>
      <c r="AA21" s="1131">
        <f t="shared" si="11"/>
        <v>1.000000000000012E-2</v>
      </c>
      <c r="AB21" s="1131">
        <f t="shared" si="12"/>
        <v>1.0000000000000009E-2</v>
      </c>
      <c r="AC21" s="1131">
        <f t="shared" si="13"/>
        <v>-1.0000000000000009E-2</v>
      </c>
      <c r="AD21" s="606">
        <f t="shared" si="14"/>
        <v>1</v>
      </c>
    </row>
    <row r="22" spans="2:30" ht="17.25" thickBot="1">
      <c r="B22" s="1130">
        <v>0.68</v>
      </c>
      <c r="C22" s="1131">
        <v>0.61</v>
      </c>
      <c r="D22" s="1132">
        <v>0.53</v>
      </c>
      <c r="F22" s="1174" t="s">
        <v>2698</v>
      </c>
      <c r="G22" s="1141" t="s">
        <v>856</v>
      </c>
      <c r="H22" s="1141" t="s">
        <v>2989</v>
      </c>
      <c r="I22" s="1133" t="s">
        <v>2839</v>
      </c>
      <c r="J22" s="1134">
        <v>6.6E-3</v>
      </c>
      <c r="K22" s="1131">
        <f>+VLOOKUP(I22,차량정보!$D$877:$R$1031,6,0)</f>
        <v>0.56000000000000005</v>
      </c>
      <c r="L22" s="1131">
        <f>+VLOOKUP(I22,차량정보!$D$877:$R$1031,7,0)</f>
        <v>0.48</v>
      </c>
      <c r="M22" s="1132">
        <f>+VLOOKUP(I22,차량정보!$D$877:$R$1031,8,0)</f>
        <v>0.42</v>
      </c>
      <c r="O22" s="1131">
        <f t="shared" si="2"/>
        <v>0.6100000000000001</v>
      </c>
      <c r="P22" s="1131">
        <f t="shared" si="3"/>
        <v>0.54</v>
      </c>
      <c r="Q22" s="1132">
        <f t="shared" si="4"/>
        <v>0.46</v>
      </c>
      <c r="R22" s="1129"/>
      <c r="S22" s="1130">
        <f t="shared" si="5"/>
        <v>0.6100000000000001</v>
      </c>
      <c r="T22" s="1131">
        <f t="shared" si="6"/>
        <v>0.54</v>
      </c>
      <c r="U22" s="1131">
        <f t="shared" si="7"/>
        <v>0.46</v>
      </c>
      <c r="V22" s="1129"/>
      <c r="W22" s="1131">
        <f t="shared" si="8"/>
        <v>5.0000000000000044E-2</v>
      </c>
      <c r="X22" s="1131">
        <f t="shared" si="9"/>
        <v>6.0000000000000053E-2</v>
      </c>
      <c r="Y22" s="1131">
        <f t="shared" si="10"/>
        <v>4.0000000000000036E-2</v>
      </c>
      <c r="Z22" s="1129"/>
      <c r="AA22" s="1131">
        <f t="shared" si="11"/>
        <v>5.0000000000000044E-2</v>
      </c>
      <c r="AB22" s="1131">
        <f t="shared" si="12"/>
        <v>6.0000000000000053E-2</v>
      </c>
      <c r="AC22" s="1131">
        <f t="shared" si="13"/>
        <v>4.0000000000000036E-2</v>
      </c>
      <c r="AD22" s="606">
        <f t="shared" si="14"/>
        <v>1</v>
      </c>
    </row>
    <row r="23" spans="2:30" ht="17.25" thickBot="1">
      <c r="B23" s="1130">
        <v>0.68</v>
      </c>
      <c r="C23" s="1131">
        <v>0.61</v>
      </c>
      <c r="D23" s="1132">
        <v>0.53</v>
      </c>
      <c r="F23" s="1174" t="s">
        <v>2698</v>
      </c>
      <c r="G23" s="1141" t="s">
        <v>856</v>
      </c>
      <c r="H23" s="1141" t="s">
        <v>2986</v>
      </c>
      <c r="I23" s="1133" t="s">
        <v>2703</v>
      </c>
      <c r="J23" s="1134">
        <v>6.6E-3</v>
      </c>
      <c r="K23" s="1131">
        <f>+VLOOKUP(I23,차량정보!$D$877:$R$1031,6,0)</f>
        <v>0.56000000000000005</v>
      </c>
      <c r="L23" s="1131">
        <f>+VLOOKUP(I23,차량정보!$D$877:$R$1031,7,0)</f>
        <v>0.48</v>
      </c>
      <c r="M23" s="1132">
        <f>+VLOOKUP(I23,차량정보!$D$877:$R$1031,8,0)</f>
        <v>0.42</v>
      </c>
      <c r="O23" s="1131">
        <f t="shared" si="2"/>
        <v>0.6100000000000001</v>
      </c>
      <c r="P23" s="1131">
        <f t="shared" si="3"/>
        <v>0.54</v>
      </c>
      <c r="Q23" s="1132">
        <f t="shared" si="4"/>
        <v>0.46</v>
      </c>
      <c r="R23" s="1129"/>
      <c r="S23" s="1130">
        <f t="shared" si="5"/>
        <v>0.6100000000000001</v>
      </c>
      <c r="T23" s="1131">
        <f t="shared" si="6"/>
        <v>0.54</v>
      </c>
      <c r="U23" s="1131">
        <f t="shared" si="7"/>
        <v>0.46</v>
      </c>
      <c r="V23" s="1129"/>
      <c r="W23" s="1131">
        <f t="shared" si="8"/>
        <v>5.0000000000000044E-2</v>
      </c>
      <c r="X23" s="1131">
        <f t="shared" si="9"/>
        <v>6.0000000000000053E-2</v>
      </c>
      <c r="Y23" s="1131">
        <f t="shared" si="10"/>
        <v>4.0000000000000036E-2</v>
      </c>
      <c r="Z23" s="1129"/>
      <c r="AA23" s="1131">
        <f t="shared" si="11"/>
        <v>5.0000000000000044E-2</v>
      </c>
      <c r="AB23" s="1131">
        <f t="shared" si="12"/>
        <v>6.0000000000000053E-2</v>
      </c>
      <c r="AC23" s="1131">
        <f t="shared" si="13"/>
        <v>4.0000000000000036E-2</v>
      </c>
      <c r="AD23" s="606">
        <f t="shared" si="14"/>
        <v>1</v>
      </c>
    </row>
    <row r="24" spans="2:30" ht="17.25" thickBot="1">
      <c r="B24" s="1130">
        <v>0.68</v>
      </c>
      <c r="C24" s="1131">
        <v>0.61</v>
      </c>
      <c r="D24" s="1132">
        <v>0.53</v>
      </c>
      <c r="F24" s="1174" t="s">
        <v>2698</v>
      </c>
      <c r="G24" s="1141" t="s">
        <v>856</v>
      </c>
      <c r="H24" s="1141" t="s">
        <v>2989</v>
      </c>
      <c r="I24" s="1133" t="s">
        <v>2992</v>
      </c>
      <c r="J24" s="1134">
        <v>6.6E-3</v>
      </c>
      <c r="K24" s="1131">
        <f>+VLOOKUP(I24,차량정보!$D$877:$R$1031,6,0)</f>
        <v>0.56000000000000005</v>
      </c>
      <c r="L24" s="1131">
        <f>+VLOOKUP(I24,차량정보!$D$877:$R$1031,7,0)</f>
        <v>0.48</v>
      </c>
      <c r="M24" s="1132">
        <f>+VLOOKUP(I24,차량정보!$D$877:$R$1031,8,0)</f>
        <v>0.42</v>
      </c>
      <c r="O24" s="1131">
        <f t="shared" si="2"/>
        <v>0.6100000000000001</v>
      </c>
      <c r="P24" s="1131">
        <f t="shared" si="3"/>
        <v>0.54</v>
      </c>
      <c r="Q24" s="1132">
        <f t="shared" si="4"/>
        <v>0.46</v>
      </c>
      <c r="R24" s="1129"/>
      <c r="S24" s="1130">
        <f t="shared" si="5"/>
        <v>0.6100000000000001</v>
      </c>
      <c r="T24" s="1131">
        <f t="shared" si="6"/>
        <v>0.54</v>
      </c>
      <c r="U24" s="1131">
        <f t="shared" si="7"/>
        <v>0.46</v>
      </c>
      <c r="V24" s="1129"/>
      <c r="W24" s="1131">
        <f t="shared" si="8"/>
        <v>5.0000000000000044E-2</v>
      </c>
      <c r="X24" s="1131">
        <f t="shared" si="9"/>
        <v>6.0000000000000053E-2</v>
      </c>
      <c r="Y24" s="1131">
        <f t="shared" si="10"/>
        <v>4.0000000000000036E-2</v>
      </c>
      <c r="Z24" s="1129"/>
      <c r="AA24" s="1131">
        <f t="shared" si="11"/>
        <v>5.0000000000000044E-2</v>
      </c>
      <c r="AB24" s="1131">
        <f t="shared" si="12"/>
        <v>6.0000000000000053E-2</v>
      </c>
      <c r="AC24" s="1131">
        <f t="shared" si="13"/>
        <v>4.0000000000000036E-2</v>
      </c>
      <c r="AD24" s="606">
        <f t="shared" si="14"/>
        <v>1</v>
      </c>
    </row>
    <row r="25" spans="2:30" ht="17.25" thickBot="1">
      <c r="B25" s="1130">
        <v>0.68</v>
      </c>
      <c r="C25" s="1131">
        <v>0.61</v>
      </c>
      <c r="D25" s="1132">
        <v>0.53</v>
      </c>
      <c r="F25" s="1174" t="s">
        <v>2698</v>
      </c>
      <c r="G25" s="1141" t="s">
        <v>856</v>
      </c>
      <c r="H25" s="1141" t="s">
        <v>2986</v>
      </c>
      <c r="I25" s="1133" t="s">
        <v>2993</v>
      </c>
      <c r="J25" s="1134">
        <v>6.6E-3</v>
      </c>
      <c r="K25" s="1131">
        <f>+VLOOKUP(I25,차량정보!$D$877:$R$1031,6,0)</f>
        <v>0.56000000000000005</v>
      </c>
      <c r="L25" s="1131">
        <f>+VLOOKUP(I25,차량정보!$D$877:$R$1031,7,0)</f>
        <v>0.48</v>
      </c>
      <c r="M25" s="1132">
        <f>+VLOOKUP(I25,차량정보!$D$877:$R$1031,8,0)</f>
        <v>0.42</v>
      </c>
      <c r="O25" s="1131">
        <f t="shared" si="2"/>
        <v>0.6100000000000001</v>
      </c>
      <c r="P25" s="1131">
        <f t="shared" si="3"/>
        <v>0.54</v>
      </c>
      <c r="Q25" s="1132">
        <f t="shared" si="4"/>
        <v>0.46</v>
      </c>
      <c r="R25" s="1129"/>
      <c r="S25" s="1130">
        <f t="shared" si="5"/>
        <v>0.6100000000000001</v>
      </c>
      <c r="T25" s="1131">
        <f t="shared" si="6"/>
        <v>0.54</v>
      </c>
      <c r="U25" s="1131">
        <f t="shared" si="7"/>
        <v>0.46</v>
      </c>
      <c r="V25" s="1129"/>
      <c r="W25" s="1131">
        <f t="shared" si="8"/>
        <v>5.0000000000000044E-2</v>
      </c>
      <c r="X25" s="1131">
        <f t="shared" si="9"/>
        <v>6.0000000000000053E-2</v>
      </c>
      <c r="Y25" s="1131">
        <f t="shared" si="10"/>
        <v>4.0000000000000036E-2</v>
      </c>
      <c r="Z25" s="1129"/>
      <c r="AA25" s="1131">
        <f t="shared" si="11"/>
        <v>5.0000000000000044E-2</v>
      </c>
      <c r="AB25" s="1131">
        <f t="shared" si="12"/>
        <v>6.0000000000000053E-2</v>
      </c>
      <c r="AC25" s="1131">
        <f t="shared" si="13"/>
        <v>4.0000000000000036E-2</v>
      </c>
      <c r="AD25" s="606">
        <v>1</v>
      </c>
    </row>
    <row r="26" spans="2:30" ht="17.25" thickBot="1">
      <c r="B26" s="1130">
        <v>0.68</v>
      </c>
      <c r="C26" s="1131">
        <v>0.61</v>
      </c>
      <c r="D26" s="1132">
        <v>0.53</v>
      </c>
      <c r="F26" s="1174" t="s">
        <v>2698</v>
      </c>
      <c r="G26" s="1141" t="s">
        <v>856</v>
      </c>
      <c r="H26" s="1141" t="s">
        <v>2989</v>
      </c>
      <c r="I26" s="1133" t="s">
        <v>2844</v>
      </c>
      <c r="J26" s="1134">
        <v>6.6E-3</v>
      </c>
      <c r="K26" s="1131">
        <f>+VLOOKUP(I26,차량정보!$D$877:$R$1031,6,0)</f>
        <v>0.56000000000000005</v>
      </c>
      <c r="L26" s="1131">
        <f>+VLOOKUP(I26,차량정보!$D$877:$R$1031,7,0)</f>
        <v>0.48</v>
      </c>
      <c r="M26" s="1132">
        <f>+VLOOKUP(I26,차량정보!$D$877:$R$1031,8,0)</f>
        <v>0.42</v>
      </c>
      <c r="O26" s="1131">
        <f t="shared" si="2"/>
        <v>0.6100000000000001</v>
      </c>
      <c r="P26" s="1131">
        <f t="shared" si="3"/>
        <v>0.54</v>
      </c>
      <c r="Q26" s="1132">
        <f t="shared" si="4"/>
        <v>0.46</v>
      </c>
      <c r="R26" s="1129"/>
      <c r="S26" s="1130">
        <f t="shared" si="5"/>
        <v>0.6100000000000001</v>
      </c>
      <c r="T26" s="1131">
        <f t="shared" si="6"/>
        <v>0.54</v>
      </c>
      <c r="U26" s="1131">
        <f t="shared" si="7"/>
        <v>0.46</v>
      </c>
      <c r="V26" s="1129"/>
      <c r="W26" s="1131">
        <f t="shared" si="8"/>
        <v>5.0000000000000044E-2</v>
      </c>
      <c r="X26" s="1131">
        <f t="shared" si="9"/>
        <v>6.0000000000000053E-2</v>
      </c>
      <c r="Y26" s="1131">
        <f t="shared" si="10"/>
        <v>4.0000000000000036E-2</v>
      </c>
      <c r="Z26" s="1129"/>
      <c r="AA26" s="1131">
        <f t="shared" si="11"/>
        <v>5.0000000000000044E-2</v>
      </c>
      <c r="AB26" s="1131">
        <f t="shared" si="12"/>
        <v>6.0000000000000053E-2</v>
      </c>
      <c r="AC26" s="1131">
        <f t="shared" si="13"/>
        <v>4.0000000000000036E-2</v>
      </c>
      <c r="AD26" s="606">
        <v>1</v>
      </c>
    </row>
    <row r="27" spans="2:30" ht="17.25" thickBot="1">
      <c r="B27" s="1130">
        <v>0.68</v>
      </c>
      <c r="C27" s="1131">
        <v>0.61</v>
      </c>
      <c r="D27" s="1132">
        <v>0.53</v>
      </c>
      <c r="F27" s="1174" t="s">
        <v>2698</v>
      </c>
      <c r="G27" s="1141" t="s">
        <v>856</v>
      </c>
      <c r="H27" s="1141" t="s">
        <v>2986</v>
      </c>
      <c r="I27" s="1133" t="s">
        <v>2704</v>
      </c>
      <c r="J27" s="1134">
        <v>6.6E-3</v>
      </c>
      <c r="K27" s="1131">
        <f>+VLOOKUP(I27,차량정보!$D$877:$R$1031,6,0)</f>
        <v>0.56000000000000005</v>
      </c>
      <c r="L27" s="1131">
        <f>+VLOOKUP(I27,차량정보!$D$877:$R$1031,7,0)</f>
        <v>0.48</v>
      </c>
      <c r="M27" s="1132">
        <f>+VLOOKUP(I27,차량정보!$D$877:$R$1031,8,0)</f>
        <v>0.42</v>
      </c>
      <c r="O27" s="1131">
        <f t="shared" si="2"/>
        <v>0.6100000000000001</v>
      </c>
      <c r="P27" s="1131">
        <f t="shared" si="3"/>
        <v>0.54</v>
      </c>
      <c r="Q27" s="1132">
        <f t="shared" si="4"/>
        <v>0.46</v>
      </c>
      <c r="R27" s="1129"/>
      <c r="S27" s="1130">
        <f t="shared" si="5"/>
        <v>0.6100000000000001</v>
      </c>
      <c r="T27" s="1131">
        <f t="shared" si="6"/>
        <v>0.54</v>
      </c>
      <c r="U27" s="1131">
        <f t="shared" si="7"/>
        <v>0.46</v>
      </c>
      <c r="V27" s="1129"/>
      <c r="W27" s="1131">
        <f t="shared" si="8"/>
        <v>5.0000000000000044E-2</v>
      </c>
      <c r="X27" s="1131">
        <f t="shared" si="9"/>
        <v>6.0000000000000053E-2</v>
      </c>
      <c r="Y27" s="1131">
        <f t="shared" si="10"/>
        <v>4.0000000000000036E-2</v>
      </c>
      <c r="Z27" s="1129"/>
      <c r="AA27" s="1131">
        <f t="shared" si="11"/>
        <v>5.0000000000000044E-2</v>
      </c>
      <c r="AB27" s="1131">
        <f t="shared" si="12"/>
        <v>6.0000000000000053E-2</v>
      </c>
      <c r="AC27" s="1131">
        <f t="shared" si="13"/>
        <v>4.0000000000000036E-2</v>
      </c>
      <c r="AD27" s="606">
        <f t="shared" si="14"/>
        <v>1</v>
      </c>
    </row>
    <row r="28" spans="2:30" ht="17.25" thickBot="1">
      <c r="B28" s="1175">
        <v>0.66</v>
      </c>
      <c r="C28" s="1176">
        <v>0.59</v>
      </c>
      <c r="D28" s="1177">
        <v>0.51</v>
      </c>
      <c r="E28" s="1178"/>
      <c r="F28" s="1179" t="s">
        <v>2698</v>
      </c>
      <c r="G28" s="1180" t="s">
        <v>856</v>
      </c>
      <c r="H28" s="1180" t="s">
        <v>678</v>
      </c>
      <c r="I28" s="1181" t="s">
        <v>2994</v>
      </c>
      <c r="J28" s="1134">
        <v>6.6E-3</v>
      </c>
      <c r="K28" s="1131">
        <f>+VLOOKUP(I28,차량정보!$D$877:$R$1031,6,0)</f>
        <v>0.56000000000000005</v>
      </c>
      <c r="L28" s="1131">
        <f>+VLOOKUP(I28,차량정보!$D$877:$R$1031,7,0)</f>
        <v>0.48</v>
      </c>
      <c r="M28" s="1132">
        <f>+VLOOKUP(I28,차량정보!$D$877:$R$1031,8,0)</f>
        <v>0.42</v>
      </c>
      <c r="O28" s="1131">
        <f t="shared" si="2"/>
        <v>0.59000000000000008</v>
      </c>
      <c r="P28" s="1131">
        <f t="shared" si="3"/>
        <v>0.52</v>
      </c>
      <c r="Q28" s="1132">
        <f t="shared" si="4"/>
        <v>0.44</v>
      </c>
      <c r="R28" s="1129"/>
      <c r="S28" s="1130">
        <f t="shared" si="5"/>
        <v>0.59000000000000008</v>
      </c>
      <c r="T28" s="1131">
        <f t="shared" si="6"/>
        <v>0.52</v>
      </c>
      <c r="U28" s="1131">
        <f t="shared" si="7"/>
        <v>0.44</v>
      </c>
      <c r="V28" s="1129"/>
      <c r="W28" s="1131">
        <f t="shared" si="8"/>
        <v>3.0000000000000027E-2</v>
      </c>
      <c r="X28" s="1131">
        <f t="shared" si="9"/>
        <v>4.0000000000000036E-2</v>
      </c>
      <c r="Y28" s="1131">
        <f t="shared" si="10"/>
        <v>2.0000000000000018E-2</v>
      </c>
      <c r="Z28" s="1129"/>
      <c r="AA28" s="1131">
        <f t="shared" si="11"/>
        <v>3.0000000000000027E-2</v>
      </c>
      <c r="AB28" s="1131">
        <f t="shared" si="12"/>
        <v>4.0000000000000036E-2</v>
      </c>
      <c r="AC28" s="1131">
        <f t="shared" si="13"/>
        <v>2.0000000000000018E-2</v>
      </c>
      <c r="AD28" s="606">
        <f t="shared" si="14"/>
        <v>1</v>
      </c>
    </row>
    <row r="29" spans="2:30" ht="17.25" thickBot="1">
      <c r="B29" s="1175">
        <v>0.66</v>
      </c>
      <c r="C29" s="1176">
        <v>0.59</v>
      </c>
      <c r="D29" s="1177">
        <v>0.51</v>
      </c>
      <c r="E29" s="1178"/>
      <c r="F29" s="1179" t="s">
        <v>2698</v>
      </c>
      <c r="G29" s="1180" t="s">
        <v>856</v>
      </c>
      <c r="H29" s="1180" t="s">
        <v>2995</v>
      </c>
      <c r="I29" s="1181" t="s">
        <v>2996</v>
      </c>
      <c r="J29" s="1134">
        <v>6.6E-3</v>
      </c>
      <c r="K29" s="1131">
        <f>+VLOOKUP(I29,차량정보!$D$877:$R$1031,6,0)</f>
        <v>0.56000000000000005</v>
      </c>
      <c r="L29" s="1131">
        <f>+VLOOKUP(I29,차량정보!$D$877:$R$1031,7,0)</f>
        <v>0.48</v>
      </c>
      <c r="M29" s="1132">
        <f>+VLOOKUP(I29,차량정보!$D$877:$R$1031,8,0)</f>
        <v>0.42</v>
      </c>
      <c r="O29" s="1131">
        <f t="shared" si="2"/>
        <v>0.59000000000000008</v>
      </c>
      <c r="P29" s="1131">
        <f t="shared" si="3"/>
        <v>0.52</v>
      </c>
      <c r="Q29" s="1132">
        <f t="shared" si="4"/>
        <v>0.44</v>
      </c>
      <c r="R29" s="1129"/>
      <c r="S29" s="1130">
        <f t="shared" si="5"/>
        <v>0.59000000000000008</v>
      </c>
      <c r="T29" s="1131">
        <f t="shared" si="6"/>
        <v>0.52</v>
      </c>
      <c r="U29" s="1131">
        <f t="shared" si="7"/>
        <v>0.44</v>
      </c>
      <c r="V29" s="1129"/>
      <c r="W29" s="1131">
        <f t="shared" si="8"/>
        <v>3.0000000000000027E-2</v>
      </c>
      <c r="X29" s="1131">
        <f t="shared" si="9"/>
        <v>4.0000000000000036E-2</v>
      </c>
      <c r="Y29" s="1131">
        <f t="shared" si="10"/>
        <v>2.0000000000000018E-2</v>
      </c>
      <c r="Z29" s="1129"/>
      <c r="AA29" s="1131">
        <f t="shared" si="11"/>
        <v>3.0000000000000027E-2</v>
      </c>
      <c r="AB29" s="1131">
        <f t="shared" si="12"/>
        <v>4.0000000000000036E-2</v>
      </c>
      <c r="AC29" s="1131">
        <f t="shared" si="13"/>
        <v>2.0000000000000018E-2</v>
      </c>
      <c r="AD29" s="606">
        <f t="shared" si="14"/>
        <v>1</v>
      </c>
    </row>
    <row r="30" spans="2:30" ht="17.25" thickBot="1">
      <c r="B30" s="1175">
        <v>0.66</v>
      </c>
      <c r="C30" s="1176">
        <v>0.59</v>
      </c>
      <c r="D30" s="1177">
        <v>0.51</v>
      </c>
      <c r="E30" s="1178"/>
      <c r="F30" s="1179" t="s">
        <v>2698</v>
      </c>
      <c r="G30" s="1180" t="s">
        <v>856</v>
      </c>
      <c r="H30" s="1180" t="s">
        <v>2995</v>
      </c>
      <c r="I30" s="1181" t="s">
        <v>2997</v>
      </c>
      <c r="J30" s="1134">
        <v>6.6E-3</v>
      </c>
      <c r="K30" s="1131">
        <f>+VLOOKUP(I30,차량정보!$D$877:$R$1031,6,0)</f>
        <v>0.56000000000000005</v>
      </c>
      <c r="L30" s="1131">
        <f>+VLOOKUP(I30,차량정보!$D$877:$R$1031,7,0)</f>
        <v>0.48</v>
      </c>
      <c r="M30" s="1132">
        <f>+VLOOKUP(I30,차량정보!$D$877:$R$1031,8,0)</f>
        <v>0.42</v>
      </c>
      <c r="O30" s="1131">
        <f t="shared" si="2"/>
        <v>0.59000000000000008</v>
      </c>
      <c r="P30" s="1131">
        <f t="shared" si="3"/>
        <v>0.52</v>
      </c>
      <c r="Q30" s="1132">
        <f t="shared" si="4"/>
        <v>0.44</v>
      </c>
      <c r="R30" s="1129"/>
      <c r="S30" s="1130">
        <f t="shared" si="5"/>
        <v>0.59000000000000008</v>
      </c>
      <c r="T30" s="1131">
        <f t="shared" si="6"/>
        <v>0.52</v>
      </c>
      <c r="U30" s="1131">
        <f t="shared" si="7"/>
        <v>0.44</v>
      </c>
      <c r="V30" s="1129"/>
      <c r="W30" s="1131">
        <f t="shared" si="8"/>
        <v>3.0000000000000027E-2</v>
      </c>
      <c r="X30" s="1131">
        <f t="shared" si="9"/>
        <v>4.0000000000000036E-2</v>
      </c>
      <c r="Y30" s="1131">
        <f t="shared" si="10"/>
        <v>2.0000000000000018E-2</v>
      </c>
      <c r="Z30" s="1129"/>
      <c r="AA30" s="1131">
        <f t="shared" si="11"/>
        <v>3.0000000000000027E-2</v>
      </c>
      <c r="AB30" s="1131">
        <f t="shared" si="12"/>
        <v>4.0000000000000036E-2</v>
      </c>
      <c r="AC30" s="1131">
        <f t="shared" si="13"/>
        <v>2.0000000000000018E-2</v>
      </c>
      <c r="AD30" s="606">
        <f t="shared" si="14"/>
        <v>1</v>
      </c>
    </row>
    <row r="31" spans="2:30" ht="17.25" thickBot="1">
      <c r="B31" s="1130">
        <v>0.68</v>
      </c>
      <c r="C31" s="1131">
        <v>0.56000000000000005</v>
      </c>
      <c r="D31" s="1132">
        <v>0.5</v>
      </c>
      <c r="F31" s="1174" t="s">
        <v>2698</v>
      </c>
      <c r="G31" s="1141" t="s">
        <v>2998</v>
      </c>
      <c r="H31" s="1141" t="s">
        <v>2995</v>
      </c>
      <c r="I31" s="1133" t="s">
        <v>2999</v>
      </c>
      <c r="J31" s="1134">
        <v>6.6E-3</v>
      </c>
      <c r="K31" s="1131">
        <f>+VLOOKUP(I31,차량정보!$D$877:$R$1031,6,0)</f>
        <v>0.56999999999999995</v>
      </c>
      <c r="L31" s="1131">
        <f>+VLOOKUP(I31,차량정보!$D$877:$R$1031,7,0)</f>
        <v>0.49</v>
      </c>
      <c r="M31" s="1132">
        <f>+VLOOKUP(I31,차량정보!$D$877:$R$1031,8,0)</f>
        <v>0.43</v>
      </c>
      <c r="O31" s="1131">
        <f t="shared" si="2"/>
        <v>0.6100000000000001</v>
      </c>
      <c r="P31" s="1131">
        <f t="shared" si="3"/>
        <v>0.49000000000000005</v>
      </c>
      <c r="Q31" s="1132">
        <f t="shared" si="4"/>
        <v>0.43</v>
      </c>
      <c r="R31" s="1129"/>
      <c r="S31" s="1130">
        <f t="shared" si="5"/>
        <v>0.6100000000000001</v>
      </c>
      <c r="T31" s="1131">
        <f t="shared" si="6"/>
        <v>0.49000000000000005</v>
      </c>
      <c r="U31" s="1131">
        <f t="shared" si="7"/>
        <v>0.43</v>
      </c>
      <c r="V31" s="1129"/>
      <c r="W31" s="1131">
        <f t="shared" si="8"/>
        <v>4.0000000000000147E-2</v>
      </c>
      <c r="X31" s="1131">
        <f t="shared" si="9"/>
        <v>0</v>
      </c>
      <c r="Y31" s="1131">
        <f t="shared" si="10"/>
        <v>0</v>
      </c>
      <c r="Z31" s="1129"/>
      <c r="AA31" s="1131">
        <f t="shared" si="11"/>
        <v>4.0000000000000147E-2</v>
      </c>
      <c r="AB31" s="1131">
        <f t="shared" si="12"/>
        <v>0</v>
      </c>
      <c r="AC31" s="1131">
        <f t="shared" si="13"/>
        <v>0</v>
      </c>
      <c r="AD31" s="606">
        <f t="shared" si="14"/>
        <v>1</v>
      </c>
    </row>
    <row r="32" spans="2:30" ht="17.25" thickBot="1">
      <c r="B32" s="1130">
        <v>0.68</v>
      </c>
      <c r="C32" s="1131">
        <v>0.56000000000000005</v>
      </c>
      <c r="D32" s="1132">
        <v>0.5</v>
      </c>
      <c r="F32" s="1174" t="s">
        <v>2698</v>
      </c>
      <c r="G32" s="1141" t="s">
        <v>2998</v>
      </c>
      <c r="H32" s="1141" t="s">
        <v>2995</v>
      </c>
      <c r="I32" s="1133" t="s">
        <v>3000</v>
      </c>
      <c r="J32" s="1134">
        <v>6.6E-3</v>
      </c>
      <c r="K32" s="1131">
        <f>+VLOOKUP(I32,차량정보!$D$877:$R$1031,6,0)</f>
        <v>0.56999999999999995</v>
      </c>
      <c r="L32" s="1131">
        <f>+VLOOKUP(I32,차량정보!$D$877:$R$1031,7,0)</f>
        <v>0.49</v>
      </c>
      <c r="M32" s="1132">
        <f>+VLOOKUP(I32,차량정보!$D$877:$R$1031,8,0)</f>
        <v>0.43</v>
      </c>
      <c r="O32" s="1131">
        <f t="shared" si="2"/>
        <v>0.6100000000000001</v>
      </c>
      <c r="P32" s="1131">
        <f t="shared" si="3"/>
        <v>0.49000000000000005</v>
      </c>
      <c r="Q32" s="1132">
        <f t="shared" si="4"/>
        <v>0.43</v>
      </c>
      <c r="R32" s="1129"/>
      <c r="S32" s="1130">
        <f t="shared" si="5"/>
        <v>0.6100000000000001</v>
      </c>
      <c r="T32" s="1131">
        <f t="shared" si="6"/>
        <v>0.49000000000000005</v>
      </c>
      <c r="U32" s="1131">
        <f t="shared" si="7"/>
        <v>0.43</v>
      </c>
      <c r="V32" s="1129"/>
      <c r="W32" s="1131">
        <f t="shared" si="8"/>
        <v>4.0000000000000147E-2</v>
      </c>
      <c r="X32" s="1131">
        <f t="shared" si="9"/>
        <v>0</v>
      </c>
      <c r="Y32" s="1131">
        <f t="shared" si="10"/>
        <v>0</v>
      </c>
      <c r="Z32" s="1129"/>
      <c r="AA32" s="1131">
        <f t="shared" si="11"/>
        <v>4.0000000000000147E-2</v>
      </c>
      <c r="AB32" s="1131">
        <f t="shared" si="12"/>
        <v>0</v>
      </c>
      <c r="AC32" s="1131">
        <f t="shared" si="13"/>
        <v>0</v>
      </c>
      <c r="AD32" s="606">
        <f t="shared" si="14"/>
        <v>1</v>
      </c>
    </row>
    <row r="33" spans="2:30" ht="17.25" thickBot="1">
      <c r="B33" s="1175">
        <v>0.66</v>
      </c>
      <c r="C33" s="1176">
        <v>0.59</v>
      </c>
      <c r="D33" s="1177">
        <v>0.53</v>
      </c>
      <c r="E33" s="1178"/>
      <c r="F33" s="1179" t="s">
        <v>2698</v>
      </c>
      <c r="G33" s="1180" t="s">
        <v>3001</v>
      </c>
      <c r="H33" s="1180" t="s">
        <v>2995</v>
      </c>
      <c r="I33" s="1181" t="s">
        <v>3002</v>
      </c>
      <c r="J33" s="1134">
        <v>6.6E-3</v>
      </c>
      <c r="K33" s="1131">
        <f>+VLOOKUP(I33,차량정보!$D$877:$R$1031,6,0)</f>
        <v>0.62</v>
      </c>
      <c r="L33" s="1131">
        <f>+VLOOKUP(I33,차량정보!$D$877:$R$1031,7,0)</f>
        <v>0.54</v>
      </c>
      <c r="M33" s="1132">
        <f>+VLOOKUP(I33,차량정보!$D$877:$R$1031,8,0)</f>
        <v>0.48</v>
      </c>
      <c r="O33" s="1131">
        <f t="shared" si="2"/>
        <v>0.59000000000000008</v>
      </c>
      <c r="P33" s="1131">
        <f t="shared" si="3"/>
        <v>0.52</v>
      </c>
      <c r="Q33" s="1132">
        <f t="shared" si="4"/>
        <v>0.46</v>
      </c>
      <c r="R33" s="1129"/>
      <c r="S33" s="1130">
        <f t="shared" si="5"/>
        <v>0.59000000000000008</v>
      </c>
      <c r="T33" s="1131">
        <f t="shared" si="6"/>
        <v>0.52</v>
      </c>
      <c r="U33" s="1131">
        <f t="shared" si="7"/>
        <v>0.46</v>
      </c>
      <c r="V33" s="1129"/>
      <c r="W33" s="1131">
        <f t="shared" si="8"/>
        <v>-2.9999999999999916E-2</v>
      </c>
      <c r="X33" s="1131">
        <f t="shared" si="9"/>
        <v>-2.0000000000000018E-2</v>
      </c>
      <c r="Y33" s="1131">
        <f t="shared" si="10"/>
        <v>-1.9999999999999962E-2</v>
      </c>
      <c r="Z33" s="1129"/>
      <c r="AA33" s="1131">
        <f t="shared" si="11"/>
        <v>-2.9999999999999916E-2</v>
      </c>
      <c r="AB33" s="1131">
        <f t="shared" si="12"/>
        <v>-2.0000000000000018E-2</v>
      </c>
      <c r="AC33" s="1131">
        <f t="shared" si="13"/>
        <v>-1.9999999999999962E-2</v>
      </c>
      <c r="AD33" s="606">
        <f t="shared" si="14"/>
        <v>1</v>
      </c>
    </row>
    <row r="34" spans="2:30" ht="17.25" thickBot="1">
      <c r="B34" s="1175">
        <v>0.66</v>
      </c>
      <c r="C34" s="1176">
        <v>0.59</v>
      </c>
      <c r="D34" s="1177">
        <v>0.53</v>
      </c>
      <c r="E34" s="1178"/>
      <c r="F34" s="1179" t="s">
        <v>2698</v>
      </c>
      <c r="G34" s="1180" t="s">
        <v>3001</v>
      </c>
      <c r="H34" s="1180" t="s">
        <v>2995</v>
      </c>
      <c r="I34" s="1181" t="s">
        <v>3003</v>
      </c>
      <c r="J34" s="1134">
        <v>6.6E-3</v>
      </c>
      <c r="K34" s="1131">
        <f>+VLOOKUP(I34,차량정보!$D$877:$R$1031,6,0)</f>
        <v>0.57999999999999996</v>
      </c>
      <c r="L34" s="1131">
        <f>+VLOOKUP(I34,차량정보!$D$877:$R$1031,7,0)</f>
        <v>0.5</v>
      </c>
      <c r="M34" s="1132">
        <f>+VLOOKUP(I34,차량정보!$D$877:$R$1031,8,0)</f>
        <v>0.44</v>
      </c>
      <c r="O34" s="1131">
        <f t="shared" si="2"/>
        <v>0.59000000000000008</v>
      </c>
      <c r="P34" s="1131">
        <f t="shared" si="3"/>
        <v>0.52</v>
      </c>
      <c r="Q34" s="1132">
        <f t="shared" si="4"/>
        <v>0.46</v>
      </c>
      <c r="R34" s="1129"/>
      <c r="S34" s="1130">
        <f t="shared" si="5"/>
        <v>0.59000000000000008</v>
      </c>
      <c r="T34" s="1131">
        <f t="shared" si="6"/>
        <v>0.52</v>
      </c>
      <c r="U34" s="1131">
        <f t="shared" si="7"/>
        <v>0.46</v>
      </c>
      <c r="V34" s="1129"/>
      <c r="W34" s="1131">
        <f t="shared" si="8"/>
        <v>1.000000000000012E-2</v>
      </c>
      <c r="X34" s="1131">
        <f t="shared" si="9"/>
        <v>2.0000000000000018E-2</v>
      </c>
      <c r="Y34" s="1131">
        <f t="shared" si="10"/>
        <v>2.0000000000000018E-2</v>
      </c>
      <c r="Z34" s="1129"/>
      <c r="AA34" s="1131">
        <f t="shared" si="11"/>
        <v>1.000000000000012E-2</v>
      </c>
      <c r="AB34" s="1131">
        <f t="shared" si="12"/>
        <v>2.0000000000000018E-2</v>
      </c>
      <c r="AC34" s="1131">
        <f t="shared" si="13"/>
        <v>2.0000000000000018E-2</v>
      </c>
      <c r="AD34" s="606">
        <f t="shared" si="14"/>
        <v>1</v>
      </c>
    </row>
    <row r="35" spans="2:30" ht="17.25" thickBot="1">
      <c r="B35" s="1175">
        <v>0.68</v>
      </c>
      <c r="C35" s="1176">
        <v>0.61</v>
      </c>
      <c r="D35" s="1177">
        <v>0.55000000000000004</v>
      </c>
      <c r="E35" s="1178"/>
      <c r="F35" s="1179" t="s">
        <v>2698</v>
      </c>
      <c r="G35" s="1180" t="s">
        <v>3001</v>
      </c>
      <c r="H35" s="1180" t="s">
        <v>2986</v>
      </c>
      <c r="I35" s="1181" t="s">
        <v>3004</v>
      </c>
      <c r="J35" s="1134">
        <v>6.6E-3</v>
      </c>
      <c r="K35" s="1131">
        <f>+VLOOKUP(I35,차량정보!$D$877:$R$1031,6,0)</f>
        <v>0.56000000000000005</v>
      </c>
      <c r="L35" s="1131">
        <f>+VLOOKUP(I35,차량정보!$D$877:$R$1031,7,0)</f>
        <v>0.48</v>
      </c>
      <c r="M35" s="1132">
        <f>+VLOOKUP(I35,차량정보!$D$877:$R$1031,8,0)</f>
        <v>0.42</v>
      </c>
      <c r="O35" s="1131">
        <f t="shared" si="2"/>
        <v>0.6100000000000001</v>
      </c>
      <c r="P35" s="1131">
        <f t="shared" si="3"/>
        <v>0.54</v>
      </c>
      <c r="Q35" s="1132">
        <f t="shared" si="4"/>
        <v>0.48000000000000004</v>
      </c>
      <c r="R35" s="1129"/>
      <c r="S35" s="1130">
        <f t="shared" si="5"/>
        <v>0.6100000000000001</v>
      </c>
      <c r="T35" s="1131">
        <f t="shared" si="6"/>
        <v>0.54</v>
      </c>
      <c r="U35" s="1131">
        <f t="shared" si="7"/>
        <v>0.48000000000000004</v>
      </c>
      <c r="V35" s="1129"/>
      <c r="W35" s="1131">
        <f t="shared" si="8"/>
        <v>5.0000000000000044E-2</v>
      </c>
      <c r="X35" s="1131">
        <f t="shared" si="9"/>
        <v>6.0000000000000053E-2</v>
      </c>
      <c r="Y35" s="1131">
        <f t="shared" si="10"/>
        <v>6.0000000000000053E-2</v>
      </c>
      <c r="Z35" s="1129"/>
      <c r="AA35" s="1131">
        <f t="shared" si="11"/>
        <v>5.0000000000000044E-2</v>
      </c>
      <c r="AB35" s="1131">
        <f t="shared" si="12"/>
        <v>6.0000000000000053E-2</v>
      </c>
      <c r="AC35" s="1131">
        <f t="shared" si="13"/>
        <v>6.0000000000000053E-2</v>
      </c>
      <c r="AD35" s="606">
        <f t="shared" si="14"/>
        <v>1</v>
      </c>
    </row>
    <row r="36" spans="2:30" ht="17.25" thickBot="1">
      <c r="B36" s="1130">
        <v>0.68</v>
      </c>
      <c r="C36" s="1131">
        <v>0.61</v>
      </c>
      <c r="D36" s="1132">
        <v>0.53</v>
      </c>
      <c r="F36" s="1174" t="s">
        <v>2699</v>
      </c>
      <c r="G36" s="1141" t="s">
        <v>3005</v>
      </c>
      <c r="H36" s="1141" t="s">
        <v>2986</v>
      </c>
      <c r="I36" s="1133" t="s">
        <v>3006</v>
      </c>
      <c r="J36" s="1134">
        <v>6.6E-3</v>
      </c>
      <c r="K36" s="1131">
        <f>+VLOOKUP(I36,차량정보!$D$877:$R$1031,6,0)</f>
        <v>0.56000000000000005</v>
      </c>
      <c r="L36" s="1131">
        <f>+VLOOKUP(I36,차량정보!$D$877:$R$1031,7,0)</f>
        <v>0.48</v>
      </c>
      <c r="M36" s="1132">
        <f>+VLOOKUP(I36,차량정보!$D$877:$R$1031,8,0)</f>
        <v>0.42</v>
      </c>
      <c r="O36" s="1131">
        <f t="shared" si="2"/>
        <v>0.6100000000000001</v>
      </c>
      <c r="P36" s="1131">
        <f t="shared" si="3"/>
        <v>0.54</v>
      </c>
      <c r="Q36" s="1132">
        <f t="shared" si="4"/>
        <v>0.46</v>
      </c>
      <c r="R36" s="1129"/>
      <c r="S36" s="1130">
        <f t="shared" si="5"/>
        <v>0.6100000000000001</v>
      </c>
      <c r="T36" s="1131">
        <f t="shared" si="6"/>
        <v>0.54</v>
      </c>
      <c r="U36" s="1131">
        <f t="shared" si="7"/>
        <v>0.46</v>
      </c>
      <c r="V36" s="1129"/>
      <c r="W36" s="1131">
        <f t="shared" si="8"/>
        <v>5.0000000000000044E-2</v>
      </c>
      <c r="X36" s="1131">
        <f t="shared" si="9"/>
        <v>6.0000000000000053E-2</v>
      </c>
      <c r="Y36" s="1131">
        <f t="shared" si="10"/>
        <v>4.0000000000000036E-2</v>
      </c>
      <c r="Z36" s="1129"/>
      <c r="AA36" s="1131">
        <f t="shared" si="11"/>
        <v>5.0000000000000044E-2</v>
      </c>
      <c r="AB36" s="1131">
        <f t="shared" si="12"/>
        <v>6.0000000000000053E-2</v>
      </c>
      <c r="AC36" s="1131">
        <f t="shared" si="13"/>
        <v>4.0000000000000036E-2</v>
      </c>
      <c r="AD36" s="606">
        <f t="shared" si="14"/>
        <v>1</v>
      </c>
    </row>
    <row r="37" spans="2:30" ht="17.25" thickBot="1">
      <c r="B37" s="1130">
        <v>0.68</v>
      </c>
      <c r="C37" s="1131">
        <v>0.61</v>
      </c>
      <c r="D37" s="1132">
        <v>0.53</v>
      </c>
      <c r="F37" s="1174" t="s">
        <v>2699</v>
      </c>
      <c r="G37" s="1141" t="s">
        <v>3005</v>
      </c>
      <c r="H37" s="1141" t="s">
        <v>2986</v>
      </c>
      <c r="I37" s="1133" t="s">
        <v>3007</v>
      </c>
      <c r="J37" s="1134">
        <v>6.6E-3</v>
      </c>
      <c r="K37" s="1131">
        <f>+VLOOKUP(I37,차량정보!$D$877:$R$1031,6,0)</f>
        <v>0.56000000000000005</v>
      </c>
      <c r="L37" s="1131">
        <f>+VLOOKUP(I37,차량정보!$D$877:$R$1031,7,0)</f>
        <v>0.48</v>
      </c>
      <c r="M37" s="1132">
        <f>+VLOOKUP(I37,차량정보!$D$877:$R$1031,8,0)</f>
        <v>0.42</v>
      </c>
      <c r="O37" s="1131">
        <f t="shared" si="2"/>
        <v>0.6100000000000001</v>
      </c>
      <c r="P37" s="1131">
        <f t="shared" si="3"/>
        <v>0.54</v>
      </c>
      <c r="Q37" s="1132">
        <f t="shared" si="4"/>
        <v>0.46</v>
      </c>
      <c r="R37" s="1129"/>
      <c r="S37" s="1130">
        <f t="shared" si="5"/>
        <v>0.6100000000000001</v>
      </c>
      <c r="T37" s="1131">
        <f t="shared" si="6"/>
        <v>0.54</v>
      </c>
      <c r="U37" s="1131">
        <f t="shared" si="7"/>
        <v>0.46</v>
      </c>
      <c r="V37" s="1129"/>
      <c r="W37" s="1131">
        <f t="shared" si="8"/>
        <v>5.0000000000000044E-2</v>
      </c>
      <c r="X37" s="1131">
        <f t="shared" si="9"/>
        <v>6.0000000000000053E-2</v>
      </c>
      <c r="Y37" s="1131">
        <f t="shared" si="10"/>
        <v>4.0000000000000036E-2</v>
      </c>
      <c r="Z37" s="1129"/>
      <c r="AA37" s="1131">
        <f t="shared" si="11"/>
        <v>5.0000000000000044E-2</v>
      </c>
      <c r="AB37" s="1131">
        <f t="shared" si="12"/>
        <v>6.0000000000000053E-2</v>
      </c>
      <c r="AC37" s="1131">
        <f t="shared" si="13"/>
        <v>4.0000000000000036E-2</v>
      </c>
      <c r="AD37" s="606">
        <f t="shared" si="14"/>
        <v>1</v>
      </c>
    </row>
    <row r="38" spans="2:30" ht="17.25" thickBot="1">
      <c r="B38" s="1130">
        <v>0.68</v>
      </c>
      <c r="C38" s="1131">
        <v>0.61</v>
      </c>
      <c r="D38" s="1132">
        <v>0.53</v>
      </c>
      <c r="F38" s="1174" t="s">
        <v>2699</v>
      </c>
      <c r="G38" s="1141" t="s">
        <v>3005</v>
      </c>
      <c r="H38" s="1141" t="s">
        <v>2986</v>
      </c>
      <c r="I38" s="1133" t="s">
        <v>3008</v>
      </c>
      <c r="J38" s="1134">
        <v>6.6E-3</v>
      </c>
      <c r="K38" s="1131">
        <f>+VLOOKUP(I38,차량정보!$D$877:$R$1031,6,0)</f>
        <v>0.56000000000000005</v>
      </c>
      <c r="L38" s="1131">
        <f>+VLOOKUP(I38,차량정보!$D$877:$R$1031,7,0)</f>
        <v>0.48</v>
      </c>
      <c r="M38" s="1132">
        <f>+VLOOKUP(I38,차량정보!$D$877:$R$1031,8,0)</f>
        <v>0.42</v>
      </c>
      <c r="O38" s="1131">
        <f t="shared" si="2"/>
        <v>0.6100000000000001</v>
      </c>
      <c r="P38" s="1131">
        <f t="shared" si="3"/>
        <v>0.54</v>
      </c>
      <c r="Q38" s="1132">
        <f t="shared" si="4"/>
        <v>0.46</v>
      </c>
      <c r="R38" s="1129"/>
      <c r="S38" s="1130">
        <f t="shared" si="5"/>
        <v>0.6100000000000001</v>
      </c>
      <c r="T38" s="1131">
        <f t="shared" si="6"/>
        <v>0.54</v>
      </c>
      <c r="U38" s="1131">
        <f t="shared" si="7"/>
        <v>0.46</v>
      </c>
      <c r="V38" s="1129"/>
      <c r="W38" s="1131">
        <f t="shared" si="8"/>
        <v>5.0000000000000044E-2</v>
      </c>
      <c r="X38" s="1131">
        <f t="shared" si="9"/>
        <v>6.0000000000000053E-2</v>
      </c>
      <c r="Y38" s="1131">
        <f t="shared" si="10"/>
        <v>4.0000000000000036E-2</v>
      </c>
      <c r="Z38" s="1129"/>
      <c r="AA38" s="1131">
        <f t="shared" si="11"/>
        <v>5.0000000000000044E-2</v>
      </c>
      <c r="AB38" s="1131">
        <f t="shared" si="12"/>
        <v>6.0000000000000053E-2</v>
      </c>
      <c r="AC38" s="1131">
        <f t="shared" si="13"/>
        <v>4.0000000000000036E-2</v>
      </c>
      <c r="AD38" s="606">
        <f t="shared" si="14"/>
        <v>1</v>
      </c>
    </row>
    <row r="39" spans="2:30" ht="17.25" thickBot="1">
      <c r="B39" s="1130">
        <v>0.68</v>
      </c>
      <c r="C39" s="1131">
        <v>0.61</v>
      </c>
      <c r="D39" s="1132">
        <v>0.53</v>
      </c>
      <c r="F39" s="1174" t="s">
        <v>2699</v>
      </c>
      <c r="G39" s="1141" t="s">
        <v>3005</v>
      </c>
      <c r="H39" s="1141" t="s">
        <v>2986</v>
      </c>
      <c r="I39" s="1133" t="s">
        <v>2921</v>
      </c>
      <c r="J39" s="1134">
        <v>6.6E-3</v>
      </c>
      <c r="K39" s="1131">
        <f>+VLOOKUP(I39,차량정보!$D$877:$R$1031,6,0)</f>
        <v>0.56000000000000005</v>
      </c>
      <c r="L39" s="1131">
        <f>+VLOOKUP(I39,차량정보!$D$877:$R$1031,7,0)</f>
        <v>0.48</v>
      </c>
      <c r="M39" s="1132">
        <f>+VLOOKUP(I39,차량정보!$D$877:$R$1031,8,0)</f>
        <v>0.42</v>
      </c>
      <c r="O39" s="1131">
        <f t="shared" si="2"/>
        <v>0.6100000000000001</v>
      </c>
      <c r="P39" s="1131">
        <f t="shared" si="3"/>
        <v>0.54</v>
      </c>
      <c r="Q39" s="1132">
        <f t="shared" si="4"/>
        <v>0.46</v>
      </c>
      <c r="R39" s="1129"/>
      <c r="S39" s="1130">
        <f t="shared" si="5"/>
        <v>0.6100000000000001</v>
      </c>
      <c r="T39" s="1131">
        <f t="shared" si="6"/>
        <v>0.54</v>
      </c>
      <c r="U39" s="1131">
        <f t="shared" si="7"/>
        <v>0.46</v>
      </c>
      <c r="V39" s="1129"/>
      <c r="W39" s="1131">
        <f t="shared" si="8"/>
        <v>5.0000000000000044E-2</v>
      </c>
      <c r="X39" s="1131">
        <f t="shared" si="9"/>
        <v>6.0000000000000053E-2</v>
      </c>
      <c r="Y39" s="1131">
        <f t="shared" si="10"/>
        <v>4.0000000000000036E-2</v>
      </c>
      <c r="Z39" s="1129"/>
      <c r="AA39" s="1131">
        <f t="shared" si="11"/>
        <v>5.0000000000000044E-2</v>
      </c>
      <c r="AB39" s="1131">
        <f t="shared" si="12"/>
        <v>6.0000000000000053E-2</v>
      </c>
      <c r="AC39" s="1131">
        <f t="shared" si="13"/>
        <v>4.0000000000000036E-2</v>
      </c>
      <c r="AD39" s="606">
        <f t="shared" si="14"/>
        <v>1</v>
      </c>
    </row>
    <row r="40" spans="2:30" ht="17.25" thickBot="1">
      <c r="B40" s="1130">
        <v>0.68</v>
      </c>
      <c r="C40" s="1131">
        <v>0.61</v>
      </c>
      <c r="D40" s="1132">
        <v>0.53</v>
      </c>
      <c r="F40" s="1174" t="s">
        <v>2699</v>
      </c>
      <c r="G40" s="1141" t="s">
        <v>3005</v>
      </c>
      <c r="H40" s="1141" t="s">
        <v>2986</v>
      </c>
      <c r="I40" s="1133" t="s">
        <v>3009</v>
      </c>
      <c r="J40" s="1134">
        <v>6.6E-3</v>
      </c>
      <c r="K40" s="1131">
        <f>+VLOOKUP(I40,차량정보!$D$877:$R$1031,6,0)</f>
        <v>0.56000000000000005</v>
      </c>
      <c r="L40" s="1131">
        <f>+VLOOKUP(I40,차량정보!$D$877:$R$1031,7,0)</f>
        <v>0.48</v>
      </c>
      <c r="M40" s="1132">
        <f>+VLOOKUP(I40,차량정보!$D$877:$R$1031,8,0)</f>
        <v>0.42</v>
      </c>
      <c r="O40" s="1131">
        <f t="shared" si="2"/>
        <v>0.6100000000000001</v>
      </c>
      <c r="P40" s="1131">
        <f t="shared" si="3"/>
        <v>0.54</v>
      </c>
      <c r="Q40" s="1132">
        <f t="shared" si="4"/>
        <v>0.46</v>
      </c>
      <c r="R40" s="1129"/>
      <c r="S40" s="1130">
        <f t="shared" si="5"/>
        <v>0.6100000000000001</v>
      </c>
      <c r="T40" s="1131">
        <f t="shared" si="6"/>
        <v>0.54</v>
      </c>
      <c r="U40" s="1131">
        <f t="shared" si="7"/>
        <v>0.46</v>
      </c>
      <c r="V40" s="1129"/>
      <c r="W40" s="1131">
        <f t="shared" si="8"/>
        <v>5.0000000000000044E-2</v>
      </c>
      <c r="X40" s="1131">
        <f t="shared" si="9"/>
        <v>6.0000000000000053E-2</v>
      </c>
      <c r="Y40" s="1131">
        <f t="shared" si="10"/>
        <v>4.0000000000000036E-2</v>
      </c>
      <c r="Z40" s="1129"/>
      <c r="AA40" s="1131">
        <f t="shared" si="11"/>
        <v>5.0000000000000044E-2</v>
      </c>
      <c r="AB40" s="1131">
        <f t="shared" si="12"/>
        <v>6.0000000000000053E-2</v>
      </c>
      <c r="AC40" s="1131">
        <f t="shared" si="13"/>
        <v>4.0000000000000036E-2</v>
      </c>
      <c r="AD40" s="606">
        <v>1</v>
      </c>
    </row>
    <row r="41" spans="2:30" ht="17.25" thickBot="1">
      <c r="B41" s="1130">
        <v>0.68</v>
      </c>
      <c r="C41" s="1131">
        <v>0.61</v>
      </c>
      <c r="D41" s="1132">
        <v>0.53</v>
      </c>
      <c r="F41" s="1174" t="s">
        <v>2699</v>
      </c>
      <c r="G41" s="1141" t="s">
        <v>3005</v>
      </c>
      <c r="H41" s="1141" t="s">
        <v>2986</v>
      </c>
      <c r="I41" s="1133" t="s">
        <v>2923</v>
      </c>
      <c r="J41" s="1134">
        <v>6.6E-3</v>
      </c>
      <c r="K41" s="1131">
        <f>+VLOOKUP(I41,차량정보!$D$877:$R$1031,6,0)</f>
        <v>0.56000000000000005</v>
      </c>
      <c r="L41" s="1131">
        <f>+VLOOKUP(I41,차량정보!$D$877:$R$1031,7,0)</f>
        <v>0.48</v>
      </c>
      <c r="M41" s="1132">
        <f>+VLOOKUP(I41,차량정보!$D$877:$R$1031,8,0)</f>
        <v>0.42</v>
      </c>
      <c r="O41" s="1131">
        <f t="shared" si="2"/>
        <v>0.6100000000000001</v>
      </c>
      <c r="P41" s="1131">
        <f t="shared" si="3"/>
        <v>0.54</v>
      </c>
      <c r="Q41" s="1132">
        <f t="shared" si="4"/>
        <v>0.46</v>
      </c>
      <c r="R41" s="1129"/>
      <c r="S41" s="1130">
        <f t="shared" si="5"/>
        <v>0.6100000000000001</v>
      </c>
      <c r="T41" s="1131">
        <f t="shared" si="6"/>
        <v>0.54</v>
      </c>
      <c r="U41" s="1131">
        <f t="shared" si="7"/>
        <v>0.46</v>
      </c>
      <c r="V41" s="1129"/>
      <c r="W41" s="1131">
        <f t="shared" si="8"/>
        <v>5.0000000000000044E-2</v>
      </c>
      <c r="X41" s="1131">
        <f t="shared" si="9"/>
        <v>6.0000000000000053E-2</v>
      </c>
      <c r="Y41" s="1131">
        <f t="shared" si="10"/>
        <v>4.0000000000000036E-2</v>
      </c>
      <c r="Z41" s="1129"/>
      <c r="AA41" s="1131">
        <f t="shared" si="11"/>
        <v>5.0000000000000044E-2</v>
      </c>
      <c r="AB41" s="1131">
        <f t="shared" si="12"/>
        <v>6.0000000000000053E-2</v>
      </c>
      <c r="AC41" s="1131">
        <f t="shared" si="13"/>
        <v>4.0000000000000036E-2</v>
      </c>
      <c r="AD41" s="606">
        <v>1</v>
      </c>
    </row>
    <row r="42" spans="2:30" ht="17.25" thickBot="1">
      <c r="B42" s="1175">
        <v>0.68</v>
      </c>
      <c r="C42" s="1176">
        <v>0.61</v>
      </c>
      <c r="D42" s="1177">
        <v>0.53</v>
      </c>
      <c r="E42" s="1178"/>
      <c r="F42" s="1179" t="s">
        <v>2699</v>
      </c>
      <c r="G42" s="1180" t="s">
        <v>3005</v>
      </c>
      <c r="H42" s="1180" t="s">
        <v>2995</v>
      </c>
      <c r="I42" s="1181" t="s">
        <v>2705</v>
      </c>
      <c r="J42" s="1134">
        <v>6.6E-3</v>
      </c>
      <c r="K42" s="1131">
        <f>+VLOOKUP(I42,차량정보!$D$877:$R$1031,6,0)</f>
        <v>0.55000000000000004</v>
      </c>
      <c r="L42" s="1131">
        <f>+VLOOKUP(I42,차량정보!$D$877:$R$1031,7,0)</f>
        <v>0.47</v>
      </c>
      <c r="M42" s="1132">
        <f>+VLOOKUP(I42,차량정보!$D$877:$R$1031,8,0)</f>
        <v>0.41</v>
      </c>
      <c r="O42" s="1131">
        <f t="shared" si="2"/>
        <v>0.6100000000000001</v>
      </c>
      <c r="P42" s="1131">
        <f t="shared" si="3"/>
        <v>0.54</v>
      </c>
      <c r="Q42" s="1132">
        <f t="shared" si="4"/>
        <v>0.46</v>
      </c>
      <c r="R42" s="1129"/>
      <c r="S42" s="1130">
        <f t="shared" si="5"/>
        <v>0.6100000000000001</v>
      </c>
      <c r="T42" s="1131">
        <f t="shared" si="6"/>
        <v>0.54</v>
      </c>
      <c r="U42" s="1131">
        <f t="shared" si="7"/>
        <v>0.46</v>
      </c>
      <c r="V42" s="1129"/>
      <c r="W42" s="1131">
        <f t="shared" si="8"/>
        <v>6.0000000000000053E-2</v>
      </c>
      <c r="X42" s="1131">
        <f t="shared" si="9"/>
        <v>7.0000000000000062E-2</v>
      </c>
      <c r="Y42" s="1131">
        <f t="shared" si="10"/>
        <v>5.0000000000000044E-2</v>
      </c>
      <c r="Z42" s="1129"/>
      <c r="AA42" s="1131">
        <f t="shared" si="11"/>
        <v>6.0000000000000053E-2</v>
      </c>
      <c r="AB42" s="1131">
        <f t="shared" si="12"/>
        <v>7.0000000000000062E-2</v>
      </c>
      <c r="AC42" s="1131">
        <f t="shared" si="13"/>
        <v>5.0000000000000044E-2</v>
      </c>
      <c r="AD42" s="606">
        <f t="shared" si="14"/>
        <v>1</v>
      </c>
    </row>
    <row r="43" spans="2:30" ht="17.25" thickBot="1">
      <c r="B43" s="1175">
        <v>0.68</v>
      </c>
      <c r="C43" s="1176">
        <v>0.61</v>
      </c>
      <c r="D43" s="1177">
        <v>0.53</v>
      </c>
      <c r="E43" s="1178"/>
      <c r="F43" s="1179" t="s">
        <v>2699</v>
      </c>
      <c r="G43" s="1180" t="s">
        <v>3005</v>
      </c>
      <c r="H43" s="1180" t="s">
        <v>2995</v>
      </c>
      <c r="I43" s="1181" t="s">
        <v>3010</v>
      </c>
      <c r="J43" s="1134">
        <v>6.6E-3</v>
      </c>
      <c r="K43" s="1131">
        <f>+VLOOKUP(I43,차량정보!$D$877:$R$1031,6,0)</f>
        <v>0.55000000000000004</v>
      </c>
      <c r="L43" s="1131">
        <f>+VLOOKUP(I43,차량정보!$D$877:$R$1031,7,0)</f>
        <v>0.47</v>
      </c>
      <c r="M43" s="1132">
        <f>+VLOOKUP(I43,차량정보!$D$877:$R$1031,8,0)</f>
        <v>0.41</v>
      </c>
      <c r="O43" s="1131">
        <f t="shared" si="2"/>
        <v>0.6100000000000001</v>
      </c>
      <c r="P43" s="1131">
        <f t="shared" si="3"/>
        <v>0.54</v>
      </c>
      <c r="Q43" s="1132">
        <f t="shared" si="4"/>
        <v>0.46</v>
      </c>
      <c r="R43" s="1129"/>
      <c r="S43" s="1130">
        <f t="shared" si="5"/>
        <v>0.6100000000000001</v>
      </c>
      <c r="T43" s="1131">
        <f t="shared" si="6"/>
        <v>0.54</v>
      </c>
      <c r="U43" s="1131">
        <f t="shared" si="7"/>
        <v>0.46</v>
      </c>
      <c r="V43" s="1129"/>
      <c r="W43" s="1131">
        <f t="shared" si="8"/>
        <v>6.0000000000000053E-2</v>
      </c>
      <c r="X43" s="1131">
        <f t="shared" si="9"/>
        <v>7.0000000000000062E-2</v>
      </c>
      <c r="Y43" s="1131">
        <f t="shared" si="10"/>
        <v>5.0000000000000044E-2</v>
      </c>
      <c r="Z43" s="1129"/>
      <c r="AA43" s="1131">
        <f t="shared" si="11"/>
        <v>6.0000000000000053E-2</v>
      </c>
      <c r="AB43" s="1131">
        <f t="shared" si="12"/>
        <v>7.0000000000000062E-2</v>
      </c>
      <c r="AC43" s="1131">
        <f t="shared" si="13"/>
        <v>5.0000000000000044E-2</v>
      </c>
      <c r="AD43" s="606">
        <f t="shared" si="14"/>
        <v>1</v>
      </c>
    </row>
    <row r="44" spans="2:30" ht="17.25" thickBot="1">
      <c r="B44" s="1175">
        <v>0.68</v>
      </c>
      <c r="C44" s="1176">
        <v>0.61</v>
      </c>
      <c r="D44" s="1177">
        <v>0.53</v>
      </c>
      <c r="E44" s="1178"/>
      <c r="F44" s="1179" t="s">
        <v>2699</v>
      </c>
      <c r="G44" s="1180" t="s">
        <v>3005</v>
      </c>
      <c r="H44" s="1180" t="s">
        <v>2995</v>
      </c>
      <c r="I44" s="1181" t="s">
        <v>3011</v>
      </c>
      <c r="J44" s="1134">
        <v>6.6E-3</v>
      </c>
      <c r="K44" s="1131">
        <f>+VLOOKUP(I44,차량정보!$D$877:$R$1031,6,0)</f>
        <v>0.55000000000000004</v>
      </c>
      <c r="L44" s="1131">
        <f>+VLOOKUP(I44,차량정보!$D$877:$R$1031,7,0)</f>
        <v>0.47</v>
      </c>
      <c r="M44" s="1132">
        <f>+VLOOKUP(I44,차량정보!$D$877:$R$1031,8,0)</f>
        <v>0.41</v>
      </c>
      <c r="O44" s="1131">
        <f t="shared" si="2"/>
        <v>0.6100000000000001</v>
      </c>
      <c r="P44" s="1131">
        <f t="shared" si="3"/>
        <v>0.54</v>
      </c>
      <c r="Q44" s="1132">
        <f t="shared" si="4"/>
        <v>0.46</v>
      </c>
      <c r="R44" s="1129"/>
      <c r="S44" s="1130">
        <f t="shared" si="5"/>
        <v>0.6100000000000001</v>
      </c>
      <c r="T44" s="1131">
        <f t="shared" si="6"/>
        <v>0.54</v>
      </c>
      <c r="U44" s="1131">
        <f t="shared" si="7"/>
        <v>0.46</v>
      </c>
      <c r="V44" s="1129"/>
      <c r="W44" s="1131">
        <f t="shared" si="8"/>
        <v>6.0000000000000053E-2</v>
      </c>
      <c r="X44" s="1131">
        <f t="shared" si="9"/>
        <v>7.0000000000000062E-2</v>
      </c>
      <c r="Y44" s="1131">
        <f t="shared" si="10"/>
        <v>5.0000000000000044E-2</v>
      </c>
      <c r="Z44" s="1129"/>
      <c r="AA44" s="1131">
        <f t="shared" si="11"/>
        <v>6.0000000000000053E-2</v>
      </c>
      <c r="AB44" s="1131">
        <f t="shared" si="12"/>
        <v>7.0000000000000062E-2</v>
      </c>
      <c r="AC44" s="1131">
        <f t="shared" si="13"/>
        <v>5.0000000000000044E-2</v>
      </c>
      <c r="AD44" s="606">
        <f t="shared" si="14"/>
        <v>1</v>
      </c>
    </row>
    <row r="45" spans="2:30" ht="17.25" thickBot="1">
      <c r="B45" s="1130">
        <v>0.68</v>
      </c>
      <c r="C45" s="1131">
        <v>0.57999999999999996</v>
      </c>
      <c r="D45" s="1132">
        <v>0.52</v>
      </c>
      <c r="F45" s="1174" t="s">
        <v>2699</v>
      </c>
      <c r="G45" s="1141" t="s">
        <v>3012</v>
      </c>
      <c r="H45" s="1141" t="s">
        <v>3013</v>
      </c>
      <c r="I45" s="1133" t="s">
        <v>3014</v>
      </c>
      <c r="J45" s="1134">
        <v>1.21E-2</v>
      </c>
      <c r="K45" s="1131">
        <f>+VLOOKUP(I45,차량정보!$D$877:$R$1031,6,0)</f>
        <v>0.53</v>
      </c>
      <c r="L45" s="1131">
        <f>+VLOOKUP(I45,차량정보!$D$877:$R$1031,7,0)</f>
        <v>0.45</v>
      </c>
      <c r="M45" s="1132">
        <f>+VLOOKUP(I45,차량정보!$D$877:$R$1031,8,0)</f>
        <v>0.39</v>
      </c>
      <c r="O45" s="1131">
        <f t="shared" si="2"/>
        <v>0.6100000000000001</v>
      </c>
      <c r="P45" s="1131">
        <f t="shared" si="3"/>
        <v>0.51</v>
      </c>
      <c r="Q45" s="1132">
        <f t="shared" si="4"/>
        <v>0.45</v>
      </c>
      <c r="R45" s="1129"/>
      <c r="S45" s="1130">
        <f t="shared" si="5"/>
        <v>0.6100000000000001</v>
      </c>
      <c r="T45" s="1131">
        <f t="shared" si="6"/>
        <v>0.51</v>
      </c>
      <c r="U45" s="1131">
        <f t="shared" si="7"/>
        <v>0.45</v>
      </c>
      <c r="V45" s="1129"/>
      <c r="W45" s="1131">
        <f t="shared" si="8"/>
        <v>8.0000000000000071E-2</v>
      </c>
      <c r="X45" s="1131">
        <f t="shared" si="9"/>
        <v>0.06</v>
      </c>
      <c r="Y45" s="1131">
        <f t="shared" si="10"/>
        <v>0.06</v>
      </c>
      <c r="Z45" s="1129"/>
      <c r="AA45" s="1131">
        <f t="shared" si="11"/>
        <v>8.0000000000000071E-2</v>
      </c>
      <c r="AB45" s="1131">
        <f t="shared" si="12"/>
        <v>0.06</v>
      </c>
      <c r="AC45" s="1131">
        <f t="shared" si="13"/>
        <v>0.06</v>
      </c>
      <c r="AD45" s="606">
        <f t="shared" si="14"/>
        <v>2</v>
      </c>
    </row>
    <row r="46" spans="2:30" ht="17.25" thickBot="1">
      <c r="B46" s="1175">
        <v>0.66</v>
      </c>
      <c r="C46" s="1176">
        <v>0.56000000000000005</v>
      </c>
      <c r="D46" s="1177">
        <v>0.5</v>
      </c>
      <c r="E46" s="1178"/>
      <c r="F46" s="1179" t="s">
        <v>2699</v>
      </c>
      <c r="G46" s="1180" t="s">
        <v>3012</v>
      </c>
      <c r="H46" s="1180" t="s">
        <v>678</v>
      </c>
      <c r="I46" s="1181" t="s">
        <v>3015</v>
      </c>
      <c r="J46" s="1134">
        <v>1.21E-2</v>
      </c>
      <c r="K46" s="1131">
        <f>+VLOOKUP(I46,차량정보!$D$877:$R$1031,6,0)</f>
        <v>0.56000000000000005</v>
      </c>
      <c r="L46" s="1131">
        <f>+VLOOKUP(I46,차량정보!$D$877:$R$1031,7,0)</f>
        <v>0.48</v>
      </c>
      <c r="M46" s="1132">
        <f>+VLOOKUP(I46,차량정보!$D$877:$R$1031,8,0)</f>
        <v>0.42</v>
      </c>
      <c r="O46" s="1131">
        <f t="shared" si="2"/>
        <v>0.59000000000000008</v>
      </c>
      <c r="P46" s="1131">
        <f t="shared" si="3"/>
        <v>0.49000000000000005</v>
      </c>
      <c r="Q46" s="1132">
        <f t="shared" si="4"/>
        <v>0.43</v>
      </c>
      <c r="R46" s="1129"/>
      <c r="S46" s="1130">
        <f t="shared" si="5"/>
        <v>0.59000000000000008</v>
      </c>
      <c r="T46" s="1131">
        <f t="shared" si="6"/>
        <v>0.49000000000000005</v>
      </c>
      <c r="U46" s="1131">
        <f t="shared" si="7"/>
        <v>0.43</v>
      </c>
      <c r="V46" s="1129"/>
      <c r="W46" s="1131">
        <f t="shared" si="8"/>
        <v>3.0000000000000027E-2</v>
      </c>
      <c r="X46" s="1131">
        <f t="shared" si="9"/>
        <v>1.0000000000000064E-2</v>
      </c>
      <c r="Y46" s="1131">
        <f t="shared" si="10"/>
        <v>1.0000000000000009E-2</v>
      </c>
      <c r="Z46" s="1129"/>
      <c r="AA46" s="1131">
        <f t="shared" si="11"/>
        <v>3.0000000000000027E-2</v>
      </c>
      <c r="AB46" s="1131">
        <f t="shared" si="12"/>
        <v>1.0000000000000064E-2</v>
      </c>
      <c r="AC46" s="1131">
        <f t="shared" si="13"/>
        <v>1.0000000000000009E-2</v>
      </c>
      <c r="AD46" s="606">
        <f t="shared" si="14"/>
        <v>2</v>
      </c>
    </row>
    <row r="47" spans="2:30" ht="17.25" thickBot="1">
      <c r="B47" s="1130">
        <v>0.67</v>
      </c>
      <c r="C47" s="1131">
        <v>0.56000000000000005</v>
      </c>
      <c r="D47" s="1132">
        <v>0.5</v>
      </c>
      <c r="F47" s="1174" t="s">
        <v>2699</v>
      </c>
      <c r="G47" s="1141" t="s">
        <v>3016</v>
      </c>
      <c r="H47" s="1141" t="s">
        <v>2986</v>
      </c>
      <c r="I47" s="1133" t="s">
        <v>3017</v>
      </c>
      <c r="J47" s="1134">
        <v>1.21E-2</v>
      </c>
      <c r="K47" s="1131">
        <f>+VLOOKUP(I47,차량정보!$D$877:$R$1031,6,0)</f>
        <v>0.56000000000000005</v>
      </c>
      <c r="L47" s="1131">
        <f>+VLOOKUP(I47,차량정보!$D$877:$R$1031,7,0)</f>
        <v>0.48</v>
      </c>
      <c r="M47" s="1132">
        <f>+VLOOKUP(I47,차량정보!$D$877:$R$1031,8,0)</f>
        <v>0.42</v>
      </c>
      <c r="O47" s="1131">
        <f t="shared" si="2"/>
        <v>0.60000000000000009</v>
      </c>
      <c r="P47" s="1131">
        <f t="shared" si="3"/>
        <v>0.49000000000000005</v>
      </c>
      <c r="Q47" s="1132">
        <f t="shared" si="4"/>
        <v>0.43</v>
      </c>
      <c r="R47" s="1129"/>
      <c r="S47" s="1130">
        <f t="shared" si="5"/>
        <v>0.60000000000000009</v>
      </c>
      <c r="T47" s="1131">
        <f t="shared" si="6"/>
        <v>0.49000000000000005</v>
      </c>
      <c r="U47" s="1131">
        <f t="shared" si="7"/>
        <v>0.43</v>
      </c>
      <c r="V47" s="1129"/>
      <c r="W47" s="1131">
        <f t="shared" si="8"/>
        <v>4.0000000000000036E-2</v>
      </c>
      <c r="X47" s="1131">
        <f t="shared" si="9"/>
        <v>1.0000000000000064E-2</v>
      </c>
      <c r="Y47" s="1131">
        <f t="shared" si="10"/>
        <v>1.0000000000000009E-2</v>
      </c>
      <c r="Z47" s="1129"/>
      <c r="AA47" s="1131">
        <f t="shared" si="11"/>
        <v>4.0000000000000036E-2</v>
      </c>
      <c r="AB47" s="1131">
        <f t="shared" si="12"/>
        <v>1.0000000000000064E-2</v>
      </c>
      <c r="AC47" s="1131">
        <f t="shared" si="13"/>
        <v>1.0000000000000009E-2</v>
      </c>
      <c r="AD47" s="606">
        <f t="shared" si="14"/>
        <v>2</v>
      </c>
    </row>
    <row r="48" spans="2:30" ht="17.25" thickBot="1">
      <c r="B48" s="1175">
        <v>0.64</v>
      </c>
      <c r="C48" s="1176">
        <v>0.56000000000000005</v>
      </c>
      <c r="D48" s="1177">
        <v>0.48</v>
      </c>
      <c r="E48" s="1178"/>
      <c r="F48" s="1179" t="s">
        <v>2699</v>
      </c>
      <c r="G48" s="1180" t="s">
        <v>3018</v>
      </c>
      <c r="H48" s="1180" t="s">
        <v>2989</v>
      </c>
      <c r="I48" s="1181" t="s">
        <v>3019</v>
      </c>
      <c r="J48" s="1134">
        <v>6.6E-3</v>
      </c>
      <c r="K48" s="1131">
        <f>+VLOOKUP(I48,차량정보!$D$877:$R$1031,6,0)</f>
        <v>0.54</v>
      </c>
      <c r="L48" s="1131">
        <f>+VLOOKUP(I48,차량정보!$D$877:$R$1031,7,0)</f>
        <v>0.46</v>
      </c>
      <c r="M48" s="1132">
        <f>+VLOOKUP(I48,차량정보!$D$877:$R$1031,8,0)</f>
        <v>0.4</v>
      </c>
      <c r="O48" s="1131">
        <f t="shared" si="2"/>
        <v>0.57000000000000006</v>
      </c>
      <c r="P48" s="1131">
        <f t="shared" si="3"/>
        <v>0.49000000000000005</v>
      </c>
      <c r="Q48" s="1132">
        <f t="shared" si="4"/>
        <v>0.41</v>
      </c>
      <c r="R48" s="1129"/>
      <c r="S48" s="1130">
        <f t="shared" si="5"/>
        <v>0.57000000000000006</v>
      </c>
      <c r="T48" s="1131">
        <f t="shared" si="6"/>
        <v>0.49000000000000005</v>
      </c>
      <c r="U48" s="1131">
        <f t="shared" si="7"/>
        <v>0.41</v>
      </c>
      <c r="V48" s="1129"/>
      <c r="W48" s="1131">
        <f t="shared" si="8"/>
        <v>3.0000000000000027E-2</v>
      </c>
      <c r="X48" s="1131">
        <f t="shared" si="9"/>
        <v>3.0000000000000027E-2</v>
      </c>
      <c r="Y48" s="1131">
        <f t="shared" si="10"/>
        <v>9.9999999999999534E-3</v>
      </c>
      <c r="Z48" s="1129"/>
      <c r="AA48" s="1131">
        <f t="shared" si="11"/>
        <v>3.0000000000000027E-2</v>
      </c>
      <c r="AB48" s="1131">
        <f t="shared" si="12"/>
        <v>3.0000000000000027E-2</v>
      </c>
      <c r="AC48" s="1131">
        <f t="shared" si="13"/>
        <v>9.9999999999999534E-3</v>
      </c>
      <c r="AD48" s="606">
        <f t="shared" si="14"/>
        <v>1</v>
      </c>
    </row>
    <row r="49" spans="2:30" ht="17.25" thickBot="1">
      <c r="B49" s="1130">
        <v>0.66</v>
      </c>
      <c r="C49" s="1131">
        <v>0.55000000000000004</v>
      </c>
      <c r="D49" s="1132">
        <v>0.49</v>
      </c>
      <c r="F49" s="1174" t="s">
        <v>2699</v>
      </c>
      <c r="G49" s="1141" t="s">
        <v>3018</v>
      </c>
      <c r="H49" s="1141" t="s">
        <v>678</v>
      </c>
      <c r="I49" s="1133" t="s">
        <v>3020</v>
      </c>
      <c r="J49" s="1134">
        <v>6.6E-3</v>
      </c>
      <c r="K49" s="1131">
        <f>+VLOOKUP(I49,차량정보!$D$877:$R$1031,6,0)</f>
        <v>0.56000000000000005</v>
      </c>
      <c r="L49" s="1131">
        <f>+VLOOKUP(I49,차량정보!$D$877:$R$1031,7,0)</f>
        <v>0.48</v>
      </c>
      <c r="M49" s="1132">
        <f>+VLOOKUP(I49,차량정보!$D$877:$R$1031,8,0)</f>
        <v>0.42</v>
      </c>
      <c r="O49" s="1131">
        <f t="shared" si="2"/>
        <v>0.59000000000000008</v>
      </c>
      <c r="P49" s="1131">
        <f t="shared" si="3"/>
        <v>0.48000000000000004</v>
      </c>
      <c r="Q49" s="1132">
        <f t="shared" si="4"/>
        <v>0.42</v>
      </c>
      <c r="R49" s="1129"/>
      <c r="S49" s="1130">
        <f t="shared" si="5"/>
        <v>0.59000000000000008</v>
      </c>
      <c r="T49" s="1131">
        <f t="shared" si="6"/>
        <v>0.48000000000000004</v>
      </c>
      <c r="U49" s="1131">
        <f t="shared" si="7"/>
        <v>0.42</v>
      </c>
      <c r="V49" s="1129"/>
      <c r="W49" s="1131">
        <f t="shared" si="8"/>
        <v>3.0000000000000027E-2</v>
      </c>
      <c r="X49" s="1131">
        <f t="shared" si="9"/>
        <v>0</v>
      </c>
      <c r="Y49" s="1131">
        <f t="shared" si="10"/>
        <v>0</v>
      </c>
      <c r="Z49" s="1129"/>
      <c r="AA49" s="1131">
        <f t="shared" si="11"/>
        <v>3.0000000000000027E-2</v>
      </c>
      <c r="AB49" s="1131">
        <f t="shared" si="12"/>
        <v>0</v>
      </c>
      <c r="AC49" s="1131">
        <f t="shared" si="13"/>
        <v>0</v>
      </c>
      <c r="AD49" s="606">
        <f t="shared" si="14"/>
        <v>1</v>
      </c>
    </row>
    <row r="50" spans="2:30" ht="17.25" thickBot="1">
      <c r="B50" s="1130">
        <v>0.66</v>
      </c>
      <c r="C50" s="1131">
        <v>0.55000000000000004</v>
      </c>
      <c r="D50" s="1132">
        <v>0.49</v>
      </c>
      <c r="F50" s="1174" t="s">
        <v>2699</v>
      </c>
      <c r="G50" s="1141" t="s">
        <v>3018</v>
      </c>
      <c r="H50" s="1141" t="s">
        <v>678</v>
      </c>
      <c r="I50" s="1133" t="s">
        <v>3021</v>
      </c>
      <c r="J50" s="1134">
        <v>6.6E-3</v>
      </c>
      <c r="K50" s="1131">
        <f>+VLOOKUP(I50,차량정보!$D$877:$R$1031,6,0)</f>
        <v>0.56000000000000005</v>
      </c>
      <c r="L50" s="1131">
        <f>+VLOOKUP(I50,차량정보!$D$877:$R$1031,7,0)</f>
        <v>0.48</v>
      </c>
      <c r="M50" s="1132">
        <f>+VLOOKUP(I50,차량정보!$D$877:$R$1031,8,0)</f>
        <v>0.42</v>
      </c>
      <c r="O50" s="1131">
        <f t="shared" si="2"/>
        <v>0.59000000000000008</v>
      </c>
      <c r="P50" s="1131">
        <f t="shared" si="3"/>
        <v>0.48000000000000004</v>
      </c>
      <c r="Q50" s="1132">
        <f t="shared" si="4"/>
        <v>0.42</v>
      </c>
      <c r="R50" s="1129"/>
      <c r="S50" s="1130">
        <f t="shared" si="5"/>
        <v>0.59000000000000008</v>
      </c>
      <c r="T50" s="1131">
        <f t="shared" si="6"/>
        <v>0.48000000000000004</v>
      </c>
      <c r="U50" s="1131">
        <f t="shared" si="7"/>
        <v>0.42</v>
      </c>
      <c r="V50" s="1129"/>
      <c r="W50" s="1131">
        <f t="shared" si="8"/>
        <v>3.0000000000000027E-2</v>
      </c>
      <c r="X50" s="1131">
        <f t="shared" si="9"/>
        <v>0</v>
      </c>
      <c r="Y50" s="1131">
        <f t="shared" si="10"/>
        <v>0</v>
      </c>
      <c r="Z50" s="1129"/>
      <c r="AA50" s="1131">
        <f t="shared" si="11"/>
        <v>3.0000000000000027E-2</v>
      </c>
      <c r="AB50" s="1131">
        <f t="shared" si="12"/>
        <v>0</v>
      </c>
      <c r="AC50" s="1131">
        <f t="shared" si="13"/>
        <v>0</v>
      </c>
      <c r="AD50" s="606">
        <f t="shared" si="14"/>
        <v>1</v>
      </c>
    </row>
    <row r="51" spans="2:30" ht="17.25" thickBot="1">
      <c r="B51" s="1175">
        <v>0.65</v>
      </c>
      <c r="C51" s="1176">
        <v>0.55000000000000004</v>
      </c>
      <c r="D51" s="1177">
        <v>0.49</v>
      </c>
      <c r="E51" s="1178"/>
      <c r="F51" s="1179" t="s">
        <v>2699</v>
      </c>
      <c r="G51" s="1180" t="s">
        <v>3022</v>
      </c>
      <c r="H51" s="1180" t="s">
        <v>678</v>
      </c>
      <c r="I51" s="1181" t="s">
        <v>630</v>
      </c>
      <c r="J51" s="1134">
        <v>1.21E-2</v>
      </c>
      <c r="K51" s="1131">
        <f>+VLOOKUP(I51,차량정보!$D$877:$R$1031,6,0)</f>
        <v>0.56000000000000005</v>
      </c>
      <c r="L51" s="1131">
        <f>+VLOOKUP(I51,차량정보!$D$877:$R$1031,7,0)</f>
        <v>0.48</v>
      </c>
      <c r="M51" s="1132">
        <f>+VLOOKUP(I51,차량정보!$D$877:$R$1031,8,0)</f>
        <v>0.42</v>
      </c>
      <c r="O51" s="1131">
        <f t="shared" si="2"/>
        <v>0.58000000000000007</v>
      </c>
      <c r="P51" s="1131">
        <f t="shared" si="3"/>
        <v>0.48000000000000004</v>
      </c>
      <c r="Q51" s="1132">
        <f t="shared" si="4"/>
        <v>0.42</v>
      </c>
      <c r="R51" s="1129"/>
      <c r="S51" s="1130">
        <f t="shared" si="5"/>
        <v>0.58000000000000007</v>
      </c>
      <c r="T51" s="1131">
        <f t="shared" si="6"/>
        <v>0.48000000000000004</v>
      </c>
      <c r="U51" s="1131">
        <f t="shared" si="7"/>
        <v>0.42</v>
      </c>
      <c r="V51" s="1129"/>
      <c r="W51" s="1131">
        <f t="shared" si="8"/>
        <v>2.0000000000000018E-2</v>
      </c>
      <c r="X51" s="1131">
        <f t="shared" si="9"/>
        <v>0</v>
      </c>
      <c r="Y51" s="1131">
        <f t="shared" si="10"/>
        <v>0</v>
      </c>
      <c r="Z51" s="1129"/>
      <c r="AA51" s="1131">
        <f t="shared" si="11"/>
        <v>2.0000000000000018E-2</v>
      </c>
      <c r="AB51" s="1131">
        <f t="shared" si="12"/>
        <v>0</v>
      </c>
      <c r="AC51" s="1131">
        <f t="shared" si="13"/>
        <v>0</v>
      </c>
      <c r="AD51" s="606">
        <f t="shared" si="14"/>
        <v>2</v>
      </c>
    </row>
    <row r="52" spans="2:30" ht="17.25" thickBot="1">
      <c r="B52" s="1130">
        <v>0.64</v>
      </c>
      <c r="C52" s="1131">
        <v>0.56999999999999995</v>
      </c>
      <c r="D52" s="1132">
        <v>0.5</v>
      </c>
      <c r="F52" s="1174" t="s">
        <v>2699</v>
      </c>
      <c r="G52" s="1141" t="s">
        <v>3023</v>
      </c>
      <c r="H52" s="1141" t="s">
        <v>678</v>
      </c>
      <c r="I52" s="1133" t="s">
        <v>3024</v>
      </c>
      <c r="J52" s="1134">
        <v>6.6E-3</v>
      </c>
      <c r="K52" s="1131">
        <f>+VLOOKUP(I52,차량정보!$D$877:$R$1031,6,0)</f>
        <v>0.59</v>
      </c>
      <c r="L52" s="1131">
        <f>+VLOOKUP(I52,차량정보!$D$877:$R$1031,7,0)</f>
        <v>0.52</v>
      </c>
      <c r="M52" s="1132">
        <f>+VLOOKUP(I52,차량정보!$D$877:$R$1031,8,0)</f>
        <v>0.45</v>
      </c>
      <c r="O52" s="1131">
        <f t="shared" si="2"/>
        <v>0.57000000000000006</v>
      </c>
      <c r="P52" s="1131">
        <f t="shared" si="3"/>
        <v>0.49999999999999994</v>
      </c>
      <c r="Q52" s="1132">
        <f t="shared" si="4"/>
        <v>0.43</v>
      </c>
      <c r="R52" s="1129"/>
      <c r="S52" s="1130">
        <f t="shared" si="5"/>
        <v>0.57000000000000006</v>
      </c>
      <c r="T52" s="1131">
        <f t="shared" si="6"/>
        <v>0.49999999999999994</v>
      </c>
      <c r="U52" s="1131">
        <f t="shared" si="7"/>
        <v>0.43</v>
      </c>
      <c r="V52" s="1129"/>
      <c r="W52" s="1131">
        <f t="shared" si="8"/>
        <v>-1.9999999999999907E-2</v>
      </c>
      <c r="X52" s="1131">
        <f t="shared" si="9"/>
        <v>-2.0000000000000073E-2</v>
      </c>
      <c r="Y52" s="1131">
        <f t="shared" si="10"/>
        <v>-2.0000000000000018E-2</v>
      </c>
      <c r="Z52" s="1129"/>
      <c r="AA52" s="1131">
        <f t="shared" si="11"/>
        <v>-1.9999999999999907E-2</v>
      </c>
      <c r="AB52" s="1131">
        <f t="shared" si="12"/>
        <v>-2.0000000000000073E-2</v>
      </c>
      <c r="AC52" s="1131">
        <f t="shared" si="13"/>
        <v>-2.0000000000000018E-2</v>
      </c>
      <c r="AD52" s="606">
        <f t="shared" si="14"/>
        <v>1</v>
      </c>
    </row>
    <row r="53" spans="2:30" ht="17.25" thickBot="1">
      <c r="B53" s="1130">
        <v>0.64</v>
      </c>
      <c r="C53" s="1131">
        <v>0.56999999999999995</v>
      </c>
      <c r="D53" s="1132">
        <v>0.5</v>
      </c>
      <c r="F53" s="1174" t="s">
        <v>2699</v>
      </c>
      <c r="G53" s="1141" t="s">
        <v>3023</v>
      </c>
      <c r="H53" s="1141" t="s">
        <v>678</v>
      </c>
      <c r="I53" s="1133" t="s">
        <v>3025</v>
      </c>
      <c r="J53" s="1134">
        <v>6.6E-3</v>
      </c>
      <c r="K53" s="1131">
        <f>+VLOOKUP(I53,차량정보!$D$877:$R$1031,6,0)</f>
        <v>0.59</v>
      </c>
      <c r="L53" s="1131">
        <f>+VLOOKUP(I53,차량정보!$D$877:$R$1031,7,0)</f>
        <v>0.52</v>
      </c>
      <c r="M53" s="1132">
        <f>+VLOOKUP(I53,차량정보!$D$877:$R$1031,8,0)</f>
        <v>0.45</v>
      </c>
      <c r="O53" s="1131">
        <f t="shared" si="2"/>
        <v>0.57000000000000006</v>
      </c>
      <c r="P53" s="1131">
        <f t="shared" si="3"/>
        <v>0.49999999999999994</v>
      </c>
      <c r="Q53" s="1132">
        <f t="shared" si="4"/>
        <v>0.43</v>
      </c>
      <c r="R53" s="1129"/>
      <c r="S53" s="1130">
        <f t="shared" si="5"/>
        <v>0.57000000000000006</v>
      </c>
      <c r="T53" s="1131">
        <f t="shared" si="6"/>
        <v>0.49999999999999994</v>
      </c>
      <c r="U53" s="1131">
        <f t="shared" si="7"/>
        <v>0.43</v>
      </c>
      <c r="V53" s="1129"/>
      <c r="W53" s="1131">
        <f t="shared" si="8"/>
        <v>-1.9999999999999907E-2</v>
      </c>
      <c r="X53" s="1131">
        <f t="shared" si="9"/>
        <v>-2.0000000000000073E-2</v>
      </c>
      <c r="Y53" s="1131">
        <f t="shared" si="10"/>
        <v>-2.0000000000000018E-2</v>
      </c>
      <c r="Z53" s="1129"/>
      <c r="AA53" s="1131">
        <f t="shared" si="11"/>
        <v>-1.9999999999999907E-2</v>
      </c>
      <c r="AB53" s="1131">
        <f t="shared" si="12"/>
        <v>-2.0000000000000073E-2</v>
      </c>
      <c r="AC53" s="1131">
        <f t="shared" si="13"/>
        <v>-2.0000000000000018E-2</v>
      </c>
      <c r="AD53" s="606">
        <f t="shared" si="14"/>
        <v>1</v>
      </c>
    </row>
    <row r="54" spans="2:30" ht="17.25" thickBot="1">
      <c r="B54" s="1175">
        <v>0.67</v>
      </c>
      <c r="C54" s="1176">
        <v>0.6</v>
      </c>
      <c r="D54" s="1177">
        <v>0.53</v>
      </c>
      <c r="E54" s="1178"/>
      <c r="F54" s="1179" t="s">
        <v>2699</v>
      </c>
      <c r="G54" s="1180" t="s">
        <v>3023</v>
      </c>
      <c r="H54" s="1180" t="s">
        <v>2989</v>
      </c>
      <c r="I54" s="1181" t="s">
        <v>3026</v>
      </c>
      <c r="J54" s="1134">
        <v>6.6E-3</v>
      </c>
      <c r="K54" s="1131">
        <f>+VLOOKUP(I54,차량정보!$D$877:$R$1031,6,0)</f>
        <v>0.62</v>
      </c>
      <c r="L54" s="1131">
        <f>+VLOOKUP(I54,차량정보!$D$877:$R$1031,7,0)</f>
        <v>0.55000000000000004</v>
      </c>
      <c r="M54" s="1132">
        <f>+VLOOKUP(I54,차량정보!$D$877:$R$1031,8,0)</f>
        <v>0.48</v>
      </c>
      <c r="O54" s="1131">
        <f t="shared" si="2"/>
        <v>0.60000000000000009</v>
      </c>
      <c r="P54" s="1131">
        <f t="shared" si="3"/>
        <v>0.53</v>
      </c>
      <c r="Q54" s="1132">
        <f t="shared" si="4"/>
        <v>0.46</v>
      </c>
      <c r="R54" s="1129"/>
      <c r="S54" s="1130">
        <f t="shared" si="5"/>
        <v>0.60000000000000009</v>
      </c>
      <c r="T54" s="1131">
        <f t="shared" si="6"/>
        <v>0.53</v>
      </c>
      <c r="U54" s="1131">
        <f t="shared" si="7"/>
        <v>0.46</v>
      </c>
      <c r="V54" s="1129"/>
      <c r="W54" s="1131">
        <f t="shared" si="8"/>
        <v>-1.9999999999999907E-2</v>
      </c>
      <c r="X54" s="1131">
        <f t="shared" si="9"/>
        <v>-2.0000000000000018E-2</v>
      </c>
      <c r="Y54" s="1131">
        <f t="shared" si="10"/>
        <v>-1.9999999999999962E-2</v>
      </c>
      <c r="Z54" s="1129"/>
      <c r="AA54" s="1131">
        <f t="shared" si="11"/>
        <v>-1.9999999999999907E-2</v>
      </c>
      <c r="AB54" s="1131">
        <f t="shared" si="12"/>
        <v>-2.0000000000000018E-2</v>
      </c>
      <c r="AC54" s="1131">
        <f t="shared" si="13"/>
        <v>-1.9999999999999962E-2</v>
      </c>
      <c r="AD54" s="606">
        <f t="shared" si="14"/>
        <v>1</v>
      </c>
    </row>
    <row r="55" spans="2:30" ht="17.25" thickBot="1">
      <c r="B55" s="1175">
        <v>0.67</v>
      </c>
      <c r="C55" s="1176">
        <v>0.6</v>
      </c>
      <c r="D55" s="1177">
        <v>0.53</v>
      </c>
      <c r="E55" s="1178"/>
      <c r="F55" s="1179" t="s">
        <v>2699</v>
      </c>
      <c r="G55" s="1180" t="s">
        <v>3023</v>
      </c>
      <c r="H55" s="1180" t="s">
        <v>2989</v>
      </c>
      <c r="I55" s="1181" t="s">
        <v>3027</v>
      </c>
      <c r="J55" s="1134">
        <v>6.6E-3</v>
      </c>
      <c r="K55" s="1131">
        <f>+VLOOKUP(I55,차량정보!$D$877:$R$1031,6,0)</f>
        <v>0.62</v>
      </c>
      <c r="L55" s="1131">
        <f>+VLOOKUP(I55,차량정보!$D$877:$R$1031,7,0)</f>
        <v>0.55000000000000004</v>
      </c>
      <c r="M55" s="1132">
        <f>+VLOOKUP(I55,차량정보!$D$877:$R$1031,8,0)</f>
        <v>0.48</v>
      </c>
      <c r="O55" s="1131">
        <f t="shared" si="2"/>
        <v>0.60000000000000009</v>
      </c>
      <c r="P55" s="1131">
        <f t="shared" si="3"/>
        <v>0.53</v>
      </c>
      <c r="Q55" s="1132">
        <f t="shared" si="4"/>
        <v>0.46</v>
      </c>
      <c r="R55" s="1129"/>
      <c r="S55" s="1130">
        <f t="shared" si="5"/>
        <v>0.60000000000000009</v>
      </c>
      <c r="T55" s="1131">
        <f t="shared" si="6"/>
        <v>0.53</v>
      </c>
      <c r="U55" s="1131">
        <f t="shared" si="7"/>
        <v>0.46</v>
      </c>
      <c r="V55" s="1129"/>
      <c r="W55" s="1131">
        <f t="shared" si="8"/>
        <v>-1.9999999999999907E-2</v>
      </c>
      <c r="X55" s="1131">
        <f t="shared" si="9"/>
        <v>-2.0000000000000018E-2</v>
      </c>
      <c r="Y55" s="1131">
        <f t="shared" si="10"/>
        <v>-1.9999999999999962E-2</v>
      </c>
      <c r="Z55" s="1129"/>
      <c r="AA55" s="1131">
        <f t="shared" si="11"/>
        <v>-1.9999999999999907E-2</v>
      </c>
      <c r="AB55" s="1131">
        <f t="shared" si="12"/>
        <v>-2.0000000000000018E-2</v>
      </c>
      <c r="AC55" s="1131">
        <f t="shared" si="13"/>
        <v>-1.9999999999999962E-2</v>
      </c>
      <c r="AD55" s="606">
        <f t="shared" si="14"/>
        <v>1</v>
      </c>
    </row>
    <row r="56" spans="2:30" ht="17.25" thickBot="1">
      <c r="B56" s="1130">
        <v>0.64</v>
      </c>
      <c r="C56" s="1131">
        <v>0.56999999999999995</v>
      </c>
      <c r="D56" s="1132">
        <v>0.5</v>
      </c>
      <c r="F56" s="1174" t="s">
        <v>2699</v>
      </c>
      <c r="G56" s="1141" t="s">
        <v>3023</v>
      </c>
      <c r="H56" s="1141" t="s">
        <v>158</v>
      </c>
      <c r="I56" s="1133" t="s">
        <v>3028</v>
      </c>
      <c r="J56" s="1135">
        <v>1.21E-2</v>
      </c>
      <c r="K56" s="1131">
        <f>+VLOOKUP(I56,차량정보!$D$877:$R$1031,6,0)</f>
        <v>0.59</v>
      </c>
      <c r="L56" s="1131">
        <f>+VLOOKUP(I56,차량정보!$D$877:$R$1031,7,0)</f>
        <v>0.52</v>
      </c>
      <c r="M56" s="1132">
        <f>+VLOOKUP(I56,차량정보!$D$877:$R$1031,8,0)</f>
        <v>0.45</v>
      </c>
      <c r="N56" s="792"/>
      <c r="O56" s="1136">
        <f t="shared" ref="O56:Q64" si="15">B56-$R$4</f>
        <v>0.57000000000000006</v>
      </c>
      <c r="P56" s="1136">
        <f t="shared" si="15"/>
        <v>0.49999999999999994</v>
      </c>
      <c r="Q56" s="1137">
        <f t="shared" si="15"/>
        <v>0.43</v>
      </c>
      <c r="R56" s="1138"/>
      <c r="S56" s="1139">
        <f>+O56-$V$56</f>
        <v>0.54</v>
      </c>
      <c r="T56" s="1139">
        <f t="shared" ref="T56:U63" si="16">+P56-$V$56</f>
        <v>0.47</v>
      </c>
      <c r="U56" s="1139">
        <f t="shared" si="16"/>
        <v>0.4</v>
      </c>
      <c r="V56" s="1138">
        <v>0.03</v>
      </c>
      <c r="W56" s="1136">
        <f t="shared" ref="W56:Y63" si="17">+O56-K56</f>
        <v>-1.9999999999999907E-2</v>
      </c>
      <c r="X56" s="1136">
        <f t="shared" si="17"/>
        <v>-2.0000000000000073E-2</v>
      </c>
      <c r="Y56" s="1136">
        <f t="shared" si="17"/>
        <v>-2.0000000000000018E-2</v>
      </c>
      <c r="Z56" s="1138"/>
      <c r="AA56" s="1136">
        <f t="shared" ref="AA56:AC63" si="18">+S56-K56</f>
        <v>-4.9999999999999933E-2</v>
      </c>
      <c r="AB56" s="1136">
        <f t="shared" si="18"/>
        <v>-5.0000000000000044E-2</v>
      </c>
      <c r="AC56" s="1136">
        <f t="shared" si="18"/>
        <v>-4.9999999999999989E-2</v>
      </c>
      <c r="AD56" s="606">
        <f t="shared" si="14"/>
        <v>2</v>
      </c>
    </row>
    <row r="57" spans="2:30" ht="17.25" thickBot="1">
      <c r="B57" s="1130">
        <v>0.64</v>
      </c>
      <c r="C57" s="1131">
        <v>0.56999999999999995</v>
      </c>
      <c r="D57" s="1132">
        <v>0.5</v>
      </c>
      <c r="F57" s="1174" t="s">
        <v>2699</v>
      </c>
      <c r="G57" s="1141" t="s">
        <v>3023</v>
      </c>
      <c r="H57" s="1141" t="s">
        <v>158</v>
      </c>
      <c r="I57" s="1133" t="s">
        <v>3029</v>
      </c>
      <c r="J57" s="1135">
        <v>1.21E-2</v>
      </c>
      <c r="K57" s="1131">
        <f>+VLOOKUP(I57,차량정보!$D$877:$R$1031,6,0)</f>
        <v>0.59</v>
      </c>
      <c r="L57" s="1131">
        <f>+VLOOKUP(I57,차량정보!$D$877:$R$1031,7,0)</f>
        <v>0.52</v>
      </c>
      <c r="M57" s="1132">
        <f>+VLOOKUP(I57,차량정보!$D$877:$R$1031,8,0)</f>
        <v>0.45</v>
      </c>
      <c r="N57" s="792"/>
      <c r="O57" s="1136">
        <f t="shared" si="15"/>
        <v>0.57000000000000006</v>
      </c>
      <c r="P57" s="1136">
        <f t="shared" si="15"/>
        <v>0.49999999999999994</v>
      </c>
      <c r="Q57" s="1137">
        <f t="shared" si="15"/>
        <v>0.43</v>
      </c>
      <c r="R57" s="1138"/>
      <c r="S57" s="1139">
        <f t="shared" ref="S57:S63" si="19">+O57-$V$56</f>
        <v>0.54</v>
      </c>
      <c r="T57" s="1139">
        <f t="shared" si="16"/>
        <v>0.47</v>
      </c>
      <c r="U57" s="1139">
        <f t="shared" si="16"/>
        <v>0.4</v>
      </c>
      <c r="V57" s="1138"/>
      <c r="W57" s="1136">
        <f t="shared" si="17"/>
        <v>-1.9999999999999907E-2</v>
      </c>
      <c r="X57" s="1136">
        <f t="shared" si="17"/>
        <v>-2.0000000000000073E-2</v>
      </c>
      <c r="Y57" s="1136">
        <f t="shared" si="17"/>
        <v>-2.0000000000000018E-2</v>
      </c>
      <c r="Z57" s="1138"/>
      <c r="AA57" s="1136">
        <f t="shared" si="18"/>
        <v>-4.9999999999999933E-2</v>
      </c>
      <c r="AB57" s="1136">
        <f t="shared" si="18"/>
        <v>-5.0000000000000044E-2</v>
      </c>
      <c r="AC57" s="1136">
        <f t="shared" si="18"/>
        <v>-4.9999999999999989E-2</v>
      </c>
      <c r="AD57" s="606">
        <f t="shared" si="14"/>
        <v>2</v>
      </c>
    </row>
    <row r="58" spans="2:30" ht="17.25" thickBot="1">
      <c r="B58" s="1175">
        <v>0.62</v>
      </c>
      <c r="C58" s="1176">
        <v>0.56000000000000005</v>
      </c>
      <c r="D58" s="1177">
        <v>0.47</v>
      </c>
      <c r="E58" s="1178"/>
      <c r="F58" s="1179" t="s">
        <v>2699</v>
      </c>
      <c r="G58" s="1180" t="s">
        <v>3023</v>
      </c>
      <c r="H58" s="1180" t="s">
        <v>158</v>
      </c>
      <c r="I58" s="1181" t="s">
        <v>3030</v>
      </c>
      <c r="J58" s="1135">
        <v>1.21E-2</v>
      </c>
      <c r="K58" s="1131">
        <f>+VLOOKUP(I58,차량정보!$D$877:$R$1031,6,0)</f>
        <v>0.56999999999999995</v>
      </c>
      <c r="L58" s="1131">
        <f>+VLOOKUP(I58,차량정보!$D$877:$R$1031,7,0)</f>
        <v>0.51</v>
      </c>
      <c r="M58" s="1132">
        <f>+VLOOKUP(I58,차량정보!$D$877:$R$1031,8,0)</f>
        <v>0.42</v>
      </c>
      <c r="N58" s="792"/>
      <c r="O58" s="1136">
        <f t="shared" si="15"/>
        <v>0.55000000000000004</v>
      </c>
      <c r="P58" s="1136">
        <f t="shared" si="15"/>
        <v>0.49000000000000005</v>
      </c>
      <c r="Q58" s="1137">
        <f t="shared" si="15"/>
        <v>0.39999999999999997</v>
      </c>
      <c r="R58" s="1138"/>
      <c r="S58" s="1139">
        <f t="shared" si="19"/>
        <v>0.52</v>
      </c>
      <c r="T58" s="1139">
        <f t="shared" si="16"/>
        <v>0.46000000000000008</v>
      </c>
      <c r="U58" s="1139">
        <f t="shared" si="16"/>
        <v>0.37</v>
      </c>
      <c r="V58" s="1138"/>
      <c r="W58" s="1136">
        <f t="shared" si="17"/>
        <v>-1.9999999999999907E-2</v>
      </c>
      <c r="X58" s="1136">
        <f t="shared" si="17"/>
        <v>-1.9999999999999962E-2</v>
      </c>
      <c r="Y58" s="1136">
        <f t="shared" si="17"/>
        <v>-2.0000000000000018E-2</v>
      </c>
      <c r="Z58" s="1138"/>
      <c r="AA58" s="1136">
        <f t="shared" si="18"/>
        <v>-4.9999999999999933E-2</v>
      </c>
      <c r="AB58" s="1136">
        <f t="shared" si="18"/>
        <v>-4.9999999999999933E-2</v>
      </c>
      <c r="AC58" s="1136">
        <f t="shared" si="18"/>
        <v>-4.9999999999999989E-2</v>
      </c>
      <c r="AD58" s="606">
        <f t="shared" si="14"/>
        <v>2</v>
      </c>
    </row>
    <row r="59" spans="2:30" ht="17.25" thickBot="1">
      <c r="B59" s="1175">
        <v>0.62</v>
      </c>
      <c r="C59" s="1176">
        <v>0.56000000000000005</v>
      </c>
      <c r="D59" s="1177">
        <v>0.47</v>
      </c>
      <c r="E59" s="1178"/>
      <c r="F59" s="1179" t="s">
        <v>2699</v>
      </c>
      <c r="G59" s="1180" t="s">
        <v>3023</v>
      </c>
      <c r="H59" s="1180" t="s">
        <v>158</v>
      </c>
      <c r="I59" s="1181" t="s">
        <v>3031</v>
      </c>
      <c r="J59" s="1135">
        <v>1.21E-2</v>
      </c>
      <c r="K59" s="1131">
        <f>+VLOOKUP(I59,차량정보!$D$877:$R$1031,6,0)</f>
        <v>0.56999999999999995</v>
      </c>
      <c r="L59" s="1131">
        <f>+VLOOKUP(I59,차량정보!$D$877:$R$1031,7,0)</f>
        <v>0.51</v>
      </c>
      <c r="M59" s="1132">
        <f>+VLOOKUP(I59,차량정보!$D$877:$R$1031,8,0)</f>
        <v>0.42</v>
      </c>
      <c r="N59" s="792"/>
      <c r="O59" s="1136">
        <f t="shared" si="15"/>
        <v>0.55000000000000004</v>
      </c>
      <c r="P59" s="1136">
        <f t="shared" si="15"/>
        <v>0.49000000000000005</v>
      </c>
      <c r="Q59" s="1137">
        <f t="shared" si="15"/>
        <v>0.39999999999999997</v>
      </c>
      <c r="R59" s="1138"/>
      <c r="S59" s="1139">
        <f t="shared" si="19"/>
        <v>0.52</v>
      </c>
      <c r="T59" s="1139">
        <f t="shared" si="16"/>
        <v>0.46000000000000008</v>
      </c>
      <c r="U59" s="1139">
        <f t="shared" si="16"/>
        <v>0.37</v>
      </c>
      <c r="V59" s="1138"/>
      <c r="W59" s="1136">
        <f t="shared" si="17"/>
        <v>-1.9999999999999907E-2</v>
      </c>
      <c r="X59" s="1136">
        <f t="shared" si="17"/>
        <v>-1.9999999999999962E-2</v>
      </c>
      <c r="Y59" s="1136">
        <f t="shared" si="17"/>
        <v>-2.0000000000000018E-2</v>
      </c>
      <c r="Z59" s="1138"/>
      <c r="AA59" s="1136">
        <f t="shared" si="18"/>
        <v>-4.9999999999999933E-2</v>
      </c>
      <c r="AB59" s="1136">
        <f t="shared" si="18"/>
        <v>-4.9999999999999933E-2</v>
      </c>
      <c r="AC59" s="1136">
        <f t="shared" si="18"/>
        <v>-4.9999999999999989E-2</v>
      </c>
      <c r="AD59" s="606">
        <f t="shared" si="14"/>
        <v>2</v>
      </c>
    </row>
    <row r="60" spans="2:30" ht="17.25" thickBot="1">
      <c r="B60" s="1130">
        <v>0.62</v>
      </c>
      <c r="C60" s="1131">
        <v>0.56000000000000005</v>
      </c>
      <c r="D60" s="1132">
        <v>0.47</v>
      </c>
      <c r="F60" s="1174" t="s">
        <v>2699</v>
      </c>
      <c r="G60" s="1141" t="s">
        <v>3023</v>
      </c>
      <c r="H60" s="1141" t="s">
        <v>2995</v>
      </c>
      <c r="I60" s="1133" t="s">
        <v>3032</v>
      </c>
      <c r="J60" s="1135">
        <v>1.21E-2</v>
      </c>
      <c r="K60" s="1131">
        <f>+VLOOKUP(I60,차량정보!$D$877:$R$1031,6,0)</f>
        <v>0.56999999999999995</v>
      </c>
      <c r="L60" s="1131">
        <f>+VLOOKUP(I60,차량정보!$D$877:$R$1031,7,0)</f>
        <v>0.51</v>
      </c>
      <c r="M60" s="1132">
        <f>+VLOOKUP(I60,차량정보!$D$877:$R$1031,8,0)</f>
        <v>0.42</v>
      </c>
      <c r="N60" s="792"/>
      <c r="O60" s="1136">
        <f t="shared" si="15"/>
        <v>0.55000000000000004</v>
      </c>
      <c r="P60" s="1136">
        <f t="shared" si="15"/>
        <v>0.49000000000000005</v>
      </c>
      <c r="Q60" s="1137">
        <f t="shared" si="15"/>
        <v>0.39999999999999997</v>
      </c>
      <c r="R60" s="1138"/>
      <c r="S60" s="1139">
        <f t="shared" si="19"/>
        <v>0.52</v>
      </c>
      <c r="T60" s="1139">
        <f t="shared" si="16"/>
        <v>0.46000000000000008</v>
      </c>
      <c r="U60" s="1139">
        <f t="shared" si="16"/>
        <v>0.37</v>
      </c>
      <c r="V60" s="1138"/>
      <c r="W60" s="1136">
        <f t="shared" si="17"/>
        <v>-1.9999999999999907E-2</v>
      </c>
      <c r="X60" s="1136">
        <f t="shared" si="17"/>
        <v>-1.9999999999999962E-2</v>
      </c>
      <c r="Y60" s="1136">
        <f t="shared" si="17"/>
        <v>-2.0000000000000018E-2</v>
      </c>
      <c r="Z60" s="1138"/>
      <c r="AA60" s="1136">
        <f t="shared" si="18"/>
        <v>-4.9999999999999933E-2</v>
      </c>
      <c r="AB60" s="1136">
        <f t="shared" si="18"/>
        <v>-4.9999999999999933E-2</v>
      </c>
      <c r="AC60" s="1136">
        <f t="shared" si="18"/>
        <v>-4.9999999999999989E-2</v>
      </c>
      <c r="AD60" s="606">
        <f t="shared" si="14"/>
        <v>2</v>
      </c>
    </row>
    <row r="61" spans="2:30" ht="17.25" thickBot="1">
      <c r="B61" s="1130">
        <v>0.62</v>
      </c>
      <c r="C61" s="1131">
        <v>0.56000000000000005</v>
      </c>
      <c r="D61" s="1132">
        <v>0.47</v>
      </c>
      <c r="F61" s="1174" t="s">
        <v>2699</v>
      </c>
      <c r="G61" s="1141" t="s">
        <v>3023</v>
      </c>
      <c r="H61" s="1141" t="s">
        <v>2995</v>
      </c>
      <c r="I61" s="1133" t="s">
        <v>3033</v>
      </c>
      <c r="J61" s="1135">
        <v>1.21E-2</v>
      </c>
      <c r="K61" s="1131">
        <f>+VLOOKUP(I61,차량정보!$D$877:$R$1031,6,0)</f>
        <v>0.56999999999999995</v>
      </c>
      <c r="L61" s="1131">
        <f>+VLOOKUP(I61,차량정보!$D$877:$R$1031,7,0)</f>
        <v>0.51</v>
      </c>
      <c r="M61" s="1132">
        <f>+VLOOKUP(I61,차량정보!$D$877:$R$1031,8,0)</f>
        <v>0.42</v>
      </c>
      <c r="N61" s="792"/>
      <c r="O61" s="1136">
        <f t="shared" si="15"/>
        <v>0.55000000000000004</v>
      </c>
      <c r="P61" s="1136">
        <f t="shared" si="15"/>
        <v>0.49000000000000005</v>
      </c>
      <c r="Q61" s="1137">
        <f t="shared" si="15"/>
        <v>0.39999999999999997</v>
      </c>
      <c r="R61" s="1138"/>
      <c r="S61" s="1139">
        <f t="shared" si="19"/>
        <v>0.52</v>
      </c>
      <c r="T61" s="1139">
        <f t="shared" si="16"/>
        <v>0.46000000000000008</v>
      </c>
      <c r="U61" s="1139">
        <f t="shared" si="16"/>
        <v>0.37</v>
      </c>
      <c r="V61" s="1138"/>
      <c r="W61" s="1136">
        <f t="shared" si="17"/>
        <v>-1.9999999999999907E-2</v>
      </c>
      <c r="X61" s="1136">
        <f t="shared" si="17"/>
        <v>-1.9999999999999962E-2</v>
      </c>
      <c r="Y61" s="1136">
        <f t="shared" si="17"/>
        <v>-2.0000000000000018E-2</v>
      </c>
      <c r="Z61" s="1138"/>
      <c r="AA61" s="1136">
        <f t="shared" si="18"/>
        <v>-4.9999999999999933E-2</v>
      </c>
      <c r="AB61" s="1136">
        <f t="shared" si="18"/>
        <v>-4.9999999999999933E-2</v>
      </c>
      <c r="AC61" s="1136">
        <f t="shared" si="18"/>
        <v>-4.9999999999999989E-2</v>
      </c>
      <c r="AD61" s="606">
        <f t="shared" si="14"/>
        <v>2</v>
      </c>
    </row>
    <row r="62" spans="2:30" ht="17.25" thickBot="1">
      <c r="B62" s="1175">
        <v>0.63</v>
      </c>
      <c r="C62" s="1176">
        <v>0.56000000000000005</v>
      </c>
      <c r="D62" s="1177">
        <v>0.47</v>
      </c>
      <c r="E62" s="1178"/>
      <c r="F62" s="1179" t="s">
        <v>2699</v>
      </c>
      <c r="G62" s="1180" t="s">
        <v>3023</v>
      </c>
      <c r="H62" s="1180" t="s">
        <v>2986</v>
      </c>
      <c r="I62" s="1181" t="s">
        <v>3034</v>
      </c>
      <c r="J62" s="1135">
        <v>1.21E-2</v>
      </c>
      <c r="K62" s="1131">
        <f>+VLOOKUP(I62,차량정보!$D$877:$R$1031,6,0)</f>
        <v>0.57999999999999996</v>
      </c>
      <c r="L62" s="1131">
        <f>+VLOOKUP(I62,차량정보!$D$877:$R$1031,7,0)</f>
        <v>0.51</v>
      </c>
      <c r="M62" s="1132">
        <f>+VLOOKUP(I62,차량정보!$D$877:$R$1031,8,0)</f>
        <v>0.42</v>
      </c>
      <c r="N62" s="792"/>
      <c r="O62" s="1136">
        <f t="shared" si="15"/>
        <v>0.56000000000000005</v>
      </c>
      <c r="P62" s="1136">
        <f t="shared" si="15"/>
        <v>0.49000000000000005</v>
      </c>
      <c r="Q62" s="1137">
        <f t="shared" si="15"/>
        <v>0.39999999999999997</v>
      </c>
      <c r="R62" s="1138"/>
      <c r="S62" s="1139">
        <f t="shared" si="19"/>
        <v>0.53</v>
      </c>
      <c r="T62" s="1139">
        <f t="shared" si="16"/>
        <v>0.46000000000000008</v>
      </c>
      <c r="U62" s="1139">
        <f t="shared" si="16"/>
        <v>0.37</v>
      </c>
      <c r="V62" s="1138"/>
      <c r="W62" s="1136">
        <f t="shared" si="17"/>
        <v>-1.9999999999999907E-2</v>
      </c>
      <c r="X62" s="1136">
        <f t="shared" si="17"/>
        <v>-1.9999999999999962E-2</v>
      </c>
      <c r="Y62" s="1136">
        <f t="shared" si="17"/>
        <v>-2.0000000000000018E-2</v>
      </c>
      <c r="Z62" s="1138"/>
      <c r="AA62" s="1136">
        <f t="shared" si="18"/>
        <v>-4.9999999999999933E-2</v>
      </c>
      <c r="AB62" s="1136">
        <f t="shared" si="18"/>
        <v>-4.9999999999999933E-2</v>
      </c>
      <c r="AC62" s="1136">
        <f t="shared" si="18"/>
        <v>-4.9999999999999989E-2</v>
      </c>
      <c r="AD62" s="606">
        <f t="shared" si="14"/>
        <v>2</v>
      </c>
    </row>
    <row r="63" spans="2:30" ht="17.25" thickBot="1">
      <c r="B63" s="1175">
        <v>0.63</v>
      </c>
      <c r="C63" s="1176">
        <v>0.56000000000000005</v>
      </c>
      <c r="D63" s="1177">
        <v>0.47</v>
      </c>
      <c r="E63" s="1178"/>
      <c r="F63" s="1179" t="s">
        <v>2699</v>
      </c>
      <c r="G63" s="1180" t="s">
        <v>3023</v>
      </c>
      <c r="H63" s="1180" t="s">
        <v>2986</v>
      </c>
      <c r="I63" s="1181" t="s">
        <v>3035</v>
      </c>
      <c r="J63" s="1135">
        <v>1.21E-2</v>
      </c>
      <c r="K63" s="1131">
        <f>+VLOOKUP(I63,차량정보!$D$877:$R$1031,6,0)</f>
        <v>0.57999999999999996</v>
      </c>
      <c r="L63" s="1131">
        <f>+VLOOKUP(I63,차량정보!$D$877:$R$1031,7,0)</f>
        <v>0.51</v>
      </c>
      <c r="M63" s="1132">
        <f>+VLOOKUP(I63,차량정보!$D$877:$R$1031,8,0)</f>
        <v>0.42</v>
      </c>
      <c r="N63" s="792"/>
      <c r="O63" s="1136">
        <f t="shared" si="15"/>
        <v>0.56000000000000005</v>
      </c>
      <c r="P63" s="1136">
        <f t="shared" si="15"/>
        <v>0.49000000000000005</v>
      </c>
      <c r="Q63" s="1137">
        <f t="shared" si="15"/>
        <v>0.39999999999999997</v>
      </c>
      <c r="R63" s="1138"/>
      <c r="S63" s="1139">
        <f t="shared" si="19"/>
        <v>0.53</v>
      </c>
      <c r="T63" s="1139">
        <f t="shared" si="16"/>
        <v>0.46000000000000008</v>
      </c>
      <c r="U63" s="1139">
        <f t="shared" si="16"/>
        <v>0.37</v>
      </c>
      <c r="V63" s="1138">
        <v>-0.01</v>
      </c>
      <c r="W63" s="1136">
        <f t="shared" si="17"/>
        <v>-1.9999999999999907E-2</v>
      </c>
      <c r="X63" s="1136">
        <f t="shared" si="17"/>
        <v>-1.9999999999999962E-2</v>
      </c>
      <c r="Y63" s="1136">
        <f t="shared" si="17"/>
        <v>-2.0000000000000018E-2</v>
      </c>
      <c r="Z63" s="1138"/>
      <c r="AA63" s="1136">
        <f>+S63-K63</f>
        <v>-4.9999999999999933E-2</v>
      </c>
      <c r="AB63" s="1136">
        <f t="shared" si="18"/>
        <v>-4.9999999999999933E-2</v>
      </c>
      <c r="AC63" s="1136">
        <f t="shared" si="18"/>
        <v>-4.9999999999999989E-2</v>
      </c>
      <c r="AD63" s="606">
        <f t="shared" si="14"/>
        <v>2</v>
      </c>
    </row>
    <row r="64" spans="2:30" ht="17.25" thickBot="1">
      <c r="B64" s="1175">
        <v>0.6</v>
      </c>
      <c r="C64" s="1176">
        <v>0.53</v>
      </c>
      <c r="D64" s="1177">
        <v>0.45</v>
      </c>
      <c r="E64" s="1178"/>
      <c r="F64" s="1179" t="s">
        <v>1163</v>
      </c>
      <c r="G64" s="1180" t="s">
        <v>3042</v>
      </c>
      <c r="H64" s="1180" t="s">
        <v>3043</v>
      </c>
      <c r="I64" s="1181" t="s">
        <v>3045</v>
      </c>
      <c r="J64" s="1184">
        <v>6.6E-3</v>
      </c>
      <c r="K64" s="1131">
        <f>+VLOOKUP(I64,차량정보!$D$877:$R$1031,6,0)</f>
        <v>0.56000000000000005</v>
      </c>
      <c r="L64" s="1131">
        <f>+VLOOKUP(I64,차량정보!$D$877:$R$1031,7,0)</f>
        <v>0.48</v>
      </c>
      <c r="M64" s="1132">
        <f>+VLOOKUP(I64,차량정보!$D$877:$R$1031,8,0)</f>
        <v>0.42</v>
      </c>
      <c r="O64" s="1182">
        <f t="shared" si="15"/>
        <v>0.53</v>
      </c>
      <c r="P64" s="1182">
        <f t="shared" si="15"/>
        <v>0.46</v>
      </c>
      <c r="Q64" s="1183">
        <f>D64-$R$4</f>
        <v>0.38</v>
      </c>
      <c r="S64" s="1185">
        <f>+O64-$V$64</f>
        <v>0.53</v>
      </c>
      <c r="T64" s="1185">
        <f>+P64-$V$63</f>
        <v>0.47000000000000003</v>
      </c>
      <c r="U64" s="1185">
        <f>+Q64-$V$64</f>
        <v>0.38</v>
      </c>
      <c r="V64" s="1186">
        <v>0</v>
      </c>
      <c r="W64" s="1187">
        <f>+O64-K64</f>
        <v>-3.0000000000000027E-2</v>
      </c>
      <c r="X64" s="1187">
        <f t="shared" ref="X64" si="20">+P64-L64</f>
        <v>-1.9999999999999962E-2</v>
      </c>
      <c r="Y64" s="1187">
        <f>+Q64-M64</f>
        <v>-3.999999999999998E-2</v>
      </c>
      <c r="Z64" s="1186"/>
      <c r="AA64" s="1187">
        <f>+S64-K64</f>
        <v>-3.0000000000000027E-2</v>
      </c>
      <c r="AB64" s="1187">
        <f t="shared" ref="AB64" si="21">+T64-L64</f>
        <v>-9.9999999999999534E-3</v>
      </c>
      <c r="AC64" s="1187">
        <f t="shared" ref="AC64" si="22">+U64-M64</f>
        <v>-3.999999999999998E-2</v>
      </c>
      <c r="AD64" s="606">
        <f t="shared" si="14"/>
        <v>1</v>
      </c>
    </row>
    <row r="65" spans="2:30" ht="17.25" thickBot="1">
      <c r="B65" s="1280"/>
      <c r="C65" s="1281"/>
      <c r="D65" s="1282"/>
      <c r="E65" s="1178"/>
      <c r="F65" s="1179"/>
      <c r="G65" s="1283"/>
      <c r="H65" s="1283"/>
      <c r="I65" s="1284"/>
      <c r="J65" s="1184"/>
      <c r="K65" s="1131"/>
      <c r="L65" s="1131"/>
      <c r="M65" s="1132"/>
      <c r="O65" s="1182"/>
      <c r="P65" s="1182"/>
      <c r="Q65" s="1183"/>
      <c r="S65" s="1185"/>
      <c r="T65" s="1185"/>
      <c r="U65" s="1185"/>
      <c r="V65" s="1186"/>
      <c r="W65" s="1187"/>
      <c r="X65" s="1187"/>
      <c r="Y65" s="1187"/>
      <c r="Z65" s="1186"/>
      <c r="AA65" s="1187"/>
      <c r="AB65" s="1187"/>
      <c r="AC65" s="1187"/>
      <c r="AD65" s="606"/>
    </row>
    <row r="66" spans="2:30" ht="17.25" thickBot="1">
      <c r="B66" s="1280"/>
      <c r="C66" s="1281"/>
      <c r="D66" s="1282"/>
      <c r="E66" s="1178"/>
      <c r="F66" s="1179"/>
      <c r="G66" s="1283"/>
      <c r="H66" s="1283"/>
      <c r="I66" s="1284"/>
      <c r="J66" s="1184"/>
      <c r="K66" s="1131"/>
      <c r="L66" s="1131"/>
      <c r="M66" s="1132"/>
      <c r="O66" s="1182"/>
      <c r="P66" s="1182"/>
      <c r="Q66" s="1183"/>
      <c r="S66" s="1185"/>
      <c r="T66" s="1185"/>
      <c r="U66" s="1185"/>
      <c r="V66" s="1186"/>
      <c r="W66" s="1187"/>
      <c r="X66" s="1187"/>
      <c r="Y66" s="1187"/>
      <c r="Z66" s="1186"/>
      <c r="AA66" s="1187"/>
      <c r="AB66" s="1187"/>
      <c r="AC66" s="1187"/>
      <c r="AD66" s="606"/>
    </row>
    <row r="67" spans="2:30" ht="17.25" thickBot="1">
      <c r="B67" s="1280"/>
      <c r="C67" s="1281"/>
      <c r="D67" s="1282"/>
      <c r="E67" s="1178"/>
      <c r="F67" s="1179"/>
      <c r="G67" s="1283"/>
      <c r="H67" s="1283"/>
      <c r="I67" s="1284"/>
      <c r="J67" s="1184"/>
      <c r="K67" s="1131"/>
      <c r="L67" s="1131"/>
      <c r="M67" s="1132"/>
      <c r="O67" s="1182"/>
      <c r="P67" s="1182"/>
      <c r="Q67" s="1183"/>
      <c r="S67" s="1185"/>
      <c r="T67" s="1185"/>
      <c r="U67" s="1185"/>
      <c r="V67" s="1186"/>
      <c r="W67" s="1187"/>
      <c r="X67" s="1187"/>
      <c r="Y67" s="1187"/>
      <c r="Z67" s="1186"/>
      <c r="AA67" s="1187"/>
      <c r="AB67" s="1187"/>
      <c r="AC67" s="1187"/>
      <c r="AD67" s="606"/>
    </row>
  </sheetData>
  <mergeCells count="6">
    <mergeCell ref="AA3:AC3"/>
    <mergeCell ref="B3:D3"/>
    <mergeCell ref="K3:M3"/>
    <mergeCell ref="O3:Q3"/>
    <mergeCell ref="S3:U3"/>
    <mergeCell ref="W3:Y3"/>
  </mergeCells>
  <phoneticPr fontId="2"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pageSetUpPr fitToPage="1"/>
  </sheetPr>
  <dimension ref="A1:AM75"/>
  <sheetViews>
    <sheetView showGridLines="0" workbookViewId="0">
      <selection activeCell="AM12" sqref="AM12"/>
    </sheetView>
  </sheetViews>
  <sheetFormatPr defaultRowHeight="16.5"/>
  <cols>
    <col min="1" max="15" width="1.625" customWidth="1"/>
    <col min="16" max="16" width="2.875" customWidth="1"/>
    <col min="17" max="34" width="1.625" customWidth="1"/>
    <col min="35" max="35" width="31.75" bestFit="1" customWidth="1"/>
    <col min="36" max="36" width="14.75" bestFit="1" customWidth="1"/>
    <col min="37" max="37" width="13.5" customWidth="1"/>
    <col min="39" max="39" width="35.25" customWidth="1"/>
  </cols>
  <sheetData>
    <row r="1" spans="1:39" ht="17.25" thickBot="1">
      <c r="A1" s="602" t="s">
        <v>951</v>
      </c>
      <c r="B1" s="603"/>
      <c r="C1" s="603"/>
      <c r="D1" s="603"/>
      <c r="E1" s="603"/>
      <c r="F1" s="603"/>
      <c r="G1" s="603"/>
      <c r="H1" s="603"/>
      <c r="I1" s="603"/>
      <c r="J1" s="603"/>
      <c r="K1" s="603"/>
      <c r="L1" s="603"/>
      <c r="M1" s="603"/>
      <c r="N1" s="603"/>
      <c r="O1" s="603"/>
      <c r="P1" s="603"/>
      <c r="Q1" s="603"/>
      <c r="R1" s="603"/>
      <c r="S1" s="603"/>
      <c r="T1" s="603"/>
      <c r="U1" s="603"/>
      <c r="V1" s="603"/>
      <c r="W1" s="603"/>
      <c r="X1" s="603"/>
      <c r="Y1" s="603"/>
      <c r="Z1" s="603"/>
      <c r="AA1" s="603"/>
      <c r="AB1" s="603"/>
      <c r="AC1" s="603"/>
      <c r="AD1" s="603"/>
      <c r="AE1" s="603"/>
      <c r="AF1" s="603"/>
      <c r="AG1" s="603"/>
      <c r="AH1" s="603"/>
      <c r="AI1" s="603"/>
    </row>
    <row r="2" spans="1:39" ht="7.5" customHeight="1" thickTop="1">
      <c r="A2" s="47"/>
    </row>
    <row r="3" spans="1:39" ht="19.5" customHeight="1">
      <c r="A3" s="47"/>
      <c r="B3" s="2308" t="s">
        <v>952</v>
      </c>
      <c r="C3" s="2308"/>
      <c r="D3" s="2308"/>
      <c r="E3" s="2308"/>
      <c r="F3" s="2308"/>
      <c r="G3" s="2308"/>
      <c r="H3" s="2308"/>
      <c r="I3" s="2308"/>
      <c r="J3" s="2308"/>
      <c r="K3" s="2308"/>
      <c r="L3" s="2308"/>
      <c r="M3" s="2308"/>
      <c r="N3" s="2308"/>
      <c r="O3" s="2308"/>
      <c r="P3" s="2308"/>
      <c r="Q3" s="2309">
        <f>계산_운용리스_단일!C29</f>
        <v>0</v>
      </c>
      <c r="R3" s="2308"/>
      <c r="S3" s="2308"/>
      <c r="T3" s="2308"/>
      <c r="U3" s="2308"/>
      <c r="V3" s="2308"/>
      <c r="W3" s="2308"/>
      <c r="X3" s="2308"/>
      <c r="Y3" s="2308"/>
      <c r="Z3" s="2308"/>
      <c r="AA3" s="2308"/>
      <c r="AB3" s="2308"/>
      <c r="AC3" s="2308"/>
      <c r="AD3" s="2308"/>
      <c r="AE3" s="2308"/>
      <c r="AF3" s="2308"/>
      <c r="AG3" s="2308"/>
      <c r="AH3" s="2308"/>
    </row>
    <row r="4" spans="1:39">
      <c r="B4" s="2310" t="s">
        <v>953</v>
      </c>
      <c r="C4" s="2311"/>
      <c r="D4" s="2311"/>
      <c r="E4" s="2311"/>
      <c r="F4" s="2311"/>
      <c r="G4" s="2311"/>
      <c r="H4" s="2311"/>
      <c r="I4" s="2311"/>
      <c r="J4" s="2311"/>
      <c r="K4" s="2311"/>
      <c r="L4" s="2311"/>
      <c r="M4" s="2311"/>
      <c r="N4" s="2311"/>
      <c r="O4" s="2311"/>
      <c r="P4" s="2311"/>
      <c r="Q4" s="2312">
        <f>계산_운용리스_단일!C13</f>
        <v>60</v>
      </c>
      <c r="R4" s="2313"/>
      <c r="S4" s="2313"/>
      <c r="T4" s="2313"/>
      <c r="U4" s="2313"/>
      <c r="V4" s="2313"/>
      <c r="W4" s="2313"/>
      <c r="X4" s="2313"/>
      <c r="Y4" s="2313"/>
      <c r="Z4" s="2313"/>
      <c r="AA4" s="2314"/>
      <c r="AB4" s="2315" t="e">
        <f>계산_운용리스_단일!N20</f>
        <v>#DIV/0!</v>
      </c>
      <c r="AC4" s="2316"/>
      <c r="AD4" s="2316"/>
      <c r="AE4" s="2316"/>
      <c r="AF4" s="2316"/>
      <c r="AG4" s="2316"/>
      <c r="AH4" s="2317"/>
    </row>
    <row r="5" spans="1:39">
      <c r="B5" s="610"/>
      <c r="C5" s="2245" t="s">
        <v>954</v>
      </c>
      <c r="D5" s="2318"/>
      <c r="E5" s="2318"/>
      <c r="F5" s="2318"/>
      <c r="G5" s="2318"/>
      <c r="H5" s="2318"/>
      <c r="I5" s="2318"/>
      <c r="J5" s="2318"/>
      <c r="K5" s="2318"/>
      <c r="L5" s="2318"/>
      <c r="M5" s="2318"/>
      <c r="N5" s="2318"/>
      <c r="O5" s="2318"/>
      <c r="P5" s="2319"/>
      <c r="Q5" s="2320" t="e">
        <f ca="1">운용리스_단일!AA27</f>
        <v>#DIV/0!</v>
      </c>
      <c r="R5" s="2250"/>
      <c r="S5" s="2250"/>
      <c r="T5" s="2250"/>
      <c r="U5" s="2250"/>
      <c r="V5" s="2250"/>
      <c r="W5" s="2250"/>
      <c r="X5" s="2250"/>
      <c r="Y5" s="2250"/>
      <c r="Z5" s="2250"/>
      <c r="AA5" s="2251"/>
      <c r="AB5" s="2249" t="s">
        <v>955</v>
      </c>
      <c r="AC5" s="2250"/>
      <c r="AD5" s="2250"/>
      <c r="AE5" s="2250"/>
      <c r="AF5" s="2250"/>
      <c r="AG5" s="2250"/>
      <c r="AH5" s="2251"/>
    </row>
    <row r="6" spans="1:39">
      <c r="B6" s="610"/>
      <c r="C6" s="610"/>
      <c r="D6" s="604"/>
      <c r="E6" s="2297" t="s">
        <v>957</v>
      </c>
      <c r="F6" s="2306"/>
      <c r="G6" s="2306"/>
      <c r="H6" s="2306"/>
      <c r="I6" s="2306"/>
      <c r="J6" s="2306"/>
      <c r="K6" s="2306"/>
      <c r="L6" s="2306"/>
      <c r="M6" s="2306"/>
      <c r="N6" s="2306"/>
      <c r="O6" s="2306"/>
      <c r="P6" s="2307"/>
      <c r="Q6" s="2243" t="e">
        <f>+계산_운용리스_단일!N25</f>
        <v>#DIV/0!</v>
      </c>
      <c r="R6" s="2241"/>
      <c r="S6" s="2241"/>
      <c r="T6" s="2241"/>
      <c r="U6" s="2241"/>
      <c r="V6" s="2241"/>
      <c r="W6" s="2241"/>
      <c r="X6" s="2241"/>
      <c r="Y6" s="2241"/>
      <c r="Z6" s="2241"/>
      <c r="AA6" s="2242"/>
      <c r="AB6" s="2240"/>
      <c r="AC6" s="2241"/>
      <c r="AD6" s="2241"/>
      <c r="AE6" s="2241"/>
      <c r="AF6" s="2241"/>
      <c r="AG6" s="2241"/>
      <c r="AH6" s="2242"/>
    </row>
    <row r="7" spans="1:39">
      <c r="B7" s="610"/>
      <c r="C7" s="610"/>
      <c r="D7" s="604"/>
      <c r="E7" s="2297" t="s">
        <v>958</v>
      </c>
      <c r="F7" s="2306"/>
      <c r="G7" s="2306"/>
      <c r="H7" s="2306"/>
      <c r="I7" s="2306"/>
      <c r="J7" s="2306"/>
      <c r="K7" s="2306"/>
      <c r="L7" s="2306"/>
      <c r="M7" s="2306"/>
      <c r="N7" s="2306"/>
      <c r="O7" s="2306"/>
      <c r="P7" s="2307"/>
      <c r="Q7" s="2321">
        <f>IF(운용리스_단일!BR22=TRUE,ROUNDUP(계산_운용리스_단일!C18/12,-1),0)</f>
        <v>0</v>
      </c>
      <c r="R7" s="2322"/>
      <c r="S7" s="2322"/>
      <c r="T7" s="2322"/>
      <c r="U7" s="2322"/>
      <c r="V7" s="2322"/>
      <c r="W7" s="2322"/>
      <c r="X7" s="2322"/>
      <c r="Y7" s="2322"/>
      <c r="Z7" s="2322"/>
      <c r="AA7" s="2323"/>
      <c r="AB7" s="2243">
        <f>Q7*12</f>
        <v>0</v>
      </c>
      <c r="AC7" s="2241"/>
      <c r="AD7" s="2241"/>
      <c r="AE7" s="2241"/>
      <c r="AF7" s="2241"/>
      <c r="AG7" s="2241"/>
      <c r="AH7" s="2242"/>
      <c r="AM7" s="606"/>
    </row>
    <row r="8" spans="1:39">
      <c r="B8" s="610"/>
      <c r="C8" s="611"/>
      <c r="D8" s="2302" t="s">
        <v>1018</v>
      </c>
      <c r="E8" s="2303"/>
      <c r="F8" s="2303"/>
      <c r="G8" s="2303"/>
      <c r="H8" s="2303"/>
      <c r="I8" s="2303"/>
      <c r="J8" s="2303"/>
      <c r="K8" s="2303"/>
      <c r="L8" s="2303"/>
      <c r="M8" s="2303"/>
      <c r="N8" s="2303"/>
      <c r="O8" s="2303"/>
      <c r="P8" s="2304"/>
      <c r="Q8" s="2286" t="e">
        <f>SUM(Q6:AA7)</f>
        <v>#DIV/0!</v>
      </c>
      <c r="R8" s="2258"/>
      <c r="S8" s="2258"/>
      <c r="T8" s="2258"/>
      <c r="U8" s="2258"/>
      <c r="V8" s="2258"/>
      <c r="W8" s="2258"/>
      <c r="X8" s="2258"/>
      <c r="Y8" s="2258"/>
      <c r="Z8" s="2258"/>
      <c r="AA8" s="2259"/>
      <c r="AB8" s="2257"/>
      <c r="AC8" s="2258"/>
      <c r="AD8" s="2258"/>
      <c r="AE8" s="2258"/>
      <c r="AF8" s="2258"/>
      <c r="AG8" s="2258"/>
      <c r="AH8" s="2259"/>
    </row>
    <row r="9" spans="1:39">
      <c r="B9" s="610"/>
      <c r="C9" s="2252" t="s">
        <v>960</v>
      </c>
      <c r="D9" s="2253"/>
      <c r="E9" s="2253"/>
      <c r="F9" s="2253"/>
      <c r="G9" s="2253"/>
      <c r="H9" s="2253"/>
      <c r="I9" s="2253"/>
      <c r="J9" s="2253"/>
      <c r="K9" s="2253"/>
      <c r="L9" s="2253"/>
      <c r="M9" s="2253"/>
      <c r="N9" s="2253"/>
      <c r="O9" s="2253"/>
      <c r="P9" s="2254"/>
      <c r="Q9" s="2286">
        <f>SUM(Q10:AA11)</f>
        <v>0</v>
      </c>
      <c r="R9" s="2258"/>
      <c r="S9" s="2258"/>
      <c r="T9" s="2258"/>
      <c r="U9" s="2258"/>
      <c r="V9" s="2258"/>
      <c r="W9" s="2258"/>
      <c r="X9" s="2258"/>
      <c r="Y9" s="2258"/>
      <c r="Z9" s="2258"/>
      <c r="AA9" s="2259"/>
      <c r="AB9" s="2305" t="e">
        <f>SUM(AB10:AH11)</f>
        <v>#DIV/0!</v>
      </c>
      <c r="AC9" s="2258"/>
      <c r="AD9" s="2258"/>
      <c r="AE9" s="2258"/>
      <c r="AF9" s="2258"/>
      <c r="AG9" s="2258"/>
      <c r="AH9" s="2259"/>
      <c r="AM9" s="605"/>
    </row>
    <row r="10" spans="1:39">
      <c r="B10" s="610"/>
      <c r="C10" s="2325"/>
      <c r="D10" s="2297" t="s">
        <v>961</v>
      </c>
      <c r="E10" s="2298"/>
      <c r="F10" s="2298"/>
      <c r="G10" s="2298"/>
      <c r="H10" s="2298"/>
      <c r="I10" s="2298"/>
      <c r="J10" s="2298"/>
      <c r="K10" s="2298"/>
      <c r="L10" s="2298"/>
      <c r="M10" s="2298"/>
      <c r="N10" s="2298"/>
      <c r="O10" s="2298"/>
      <c r="P10" s="2299"/>
      <c r="Q10" s="2243">
        <f>계산_운용리스_단일!C14</f>
        <v>0</v>
      </c>
      <c r="R10" s="2241"/>
      <c r="S10" s="2241"/>
      <c r="T10" s="2241"/>
      <c r="U10" s="2241"/>
      <c r="V10" s="2241"/>
      <c r="W10" s="2241"/>
      <c r="X10" s="2241"/>
      <c r="Y10" s="2241"/>
      <c r="Z10" s="2241"/>
      <c r="AA10" s="2242"/>
      <c r="AB10" s="2244" t="e">
        <f>계산_운용리스_단일!D14</f>
        <v>#DIV/0!</v>
      </c>
      <c r="AC10" s="2241"/>
      <c r="AD10" s="2241"/>
      <c r="AE10" s="2241"/>
      <c r="AF10" s="2241"/>
      <c r="AG10" s="2241"/>
      <c r="AH10" s="2242"/>
    </row>
    <row r="11" spans="1:39">
      <c r="B11" s="610"/>
      <c r="C11" s="2326"/>
      <c r="D11" s="2297" t="s">
        <v>962</v>
      </c>
      <c r="E11" s="2298"/>
      <c r="F11" s="2298"/>
      <c r="G11" s="2298"/>
      <c r="H11" s="2298"/>
      <c r="I11" s="2298"/>
      <c r="J11" s="2298"/>
      <c r="K11" s="2298"/>
      <c r="L11" s="2298"/>
      <c r="M11" s="2298"/>
      <c r="N11" s="2298"/>
      <c r="O11" s="2298"/>
      <c r="P11" s="2299"/>
      <c r="Q11" s="2243">
        <f>계산_운용리스_단일!C15</f>
        <v>0</v>
      </c>
      <c r="R11" s="2241"/>
      <c r="S11" s="2241"/>
      <c r="T11" s="2241"/>
      <c r="U11" s="2241"/>
      <c r="V11" s="2241"/>
      <c r="W11" s="2241"/>
      <c r="X11" s="2241"/>
      <c r="Y11" s="2241"/>
      <c r="Z11" s="2241"/>
      <c r="AA11" s="2242"/>
      <c r="AB11" s="2244" t="e">
        <f>계산_운용리스_단일!D15</f>
        <v>#DIV/0!</v>
      </c>
      <c r="AC11" s="2241"/>
      <c r="AD11" s="2241"/>
      <c r="AE11" s="2241"/>
      <c r="AF11" s="2241"/>
      <c r="AG11" s="2241"/>
      <c r="AH11" s="2242"/>
    </row>
    <row r="12" spans="1:39">
      <c r="B12" s="610"/>
      <c r="C12" s="2252" t="s">
        <v>963</v>
      </c>
      <c r="D12" s="2253"/>
      <c r="E12" s="2253"/>
      <c r="F12" s="2253"/>
      <c r="G12" s="2253"/>
      <c r="H12" s="2253"/>
      <c r="I12" s="2253"/>
      <c r="J12" s="2253"/>
      <c r="K12" s="2253"/>
      <c r="L12" s="2253"/>
      <c r="M12" s="2253"/>
      <c r="N12" s="2253"/>
      <c r="O12" s="2253"/>
      <c r="P12" s="2254"/>
      <c r="Q12" s="2286" t="e">
        <f>SUM(Q13:AA15)</f>
        <v>#DIV/0!</v>
      </c>
      <c r="R12" s="2258"/>
      <c r="S12" s="2258"/>
      <c r="T12" s="2258"/>
      <c r="U12" s="2258"/>
      <c r="V12" s="2258"/>
      <c r="W12" s="2258"/>
      <c r="X12" s="2258"/>
      <c r="Y12" s="2258"/>
      <c r="Z12" s="2258"/>
      <c r="AA12" s="2259"/>
      <c r="AB12" s="2305" t="e">
        <f>SUM(AB13:AH15)</f>
        <v>#DIV/0!</v>
      </c>
      <c r="AC12" s="2258"/>
      <c r="AD12" s="2258"/>
      <c r="AE12" s="2258"/>
      <c r="AF12" s="2258"/>
      <c r="AG12" s="2258"/>
      <c r="AH12" s="2259"/>
    </row>
    <row r="13" spans="1:39">
      <c r="B13" s="610"/>
      <c r="C13" s="2218"/>
      <c r="D13" s="2297" t="s">
        <v>135</v>
      </c>
      <c r="E13" s="2298"/>
      <c r="F13" s="2298"/>
      <c r="G13" s="2298"/>
      <c r="H13" s="2298"/>
      <c r="I13" s="2298"/>
      <c r="J13" s="2298"/>
      <c r="K13" s="2298"/>
      <c r="L13" s="2298"/>
      <c r="M13" s="2298"/>
      <c r="N13" s="2298"/>
      <c r="O13" s="2298"/>
      <c r="P13" s="2299"/>
      <c r="Q13" s="2243">
        <f>+계산_운용리스_단일!E41</f>
        <v>0</v>
      </c>
      <c r="R13" s="2241"/>
      <c r="S13" s="2241"/>
      <c r="T13" s="2241"/>
      <c r="U13" s="2241"/>
      <c r="V13" s="2241"/>
      <c r="W13" s="2241"/>
      <c r="X13" s="2241"/>
      <c r="Y13" s="2241"/>
      <c r="Z13" s="2241"/>
      <c r="AA13" s="2242"/>
      <c r="AB13" s="2244">
        <f>+계산_운용리스_단일!D41</f>
        <v>0</v>
      </c>
      <c r="AC13" s="2241"/>
      <c r="AD13" s="2241"/>
      <c r="AE13" s="2241"/>
      <c r="AF13" s="2241"/>
      <c r="AG13" s="2241"/>
      <c r="AH13" s="2242"/>
    </row>
    <row r="14" spans="1:39">
      <c r="B14" s="610"/>
      <c r="C14" s="2218"/>
      <c r="D14" s="2297" t="s">
        <v>540</v>
      </c>
      <c r="E14" s="2298"/>
      <c r="F14" s="2298"/>
      <c r="G14" s="2298"/>
      <c r="H14" s="2298"/>
      <c r="I14" s="2298"/>
      <c r="J14" s="2298"/>
      <c r="K14" s="2298"/>
      <c r="L14" s="2298"/>
      <c r="M14" s="2298"/>
      <c r="N14" s="2298"/>
      <c r="O14" s="2298"/>
      <c r="P14" s="2299"/>
      <c r="Q14" s="2243">
        <f>계산_운용리스_단일!E40</f>
        <v>0</v>
      </c>
      <c r="R14" s="2241"/>
      <c r="S14" s="2241"/>
      <c r="T14" s="2241"/>
      <c r="U14" s="2241"/>
      <c r="V14" s="2241"/>
      <c r="W14" s="2241"/>
      <c r="X14" s="2241"/>
      <c r="Y14" s="2241"/>
      <c r="Z14" s="2241"/>
      <c r="AA14" s="2242"/>
      <c r="AB14" s="2244">
        <f>계산_운용리스_단일!D40</f>
        <v>0.03</v>
      </c>
      <c r="AC14" s="2241"/>
      <c r="AD14" s="2241"/>
      <c r="AE14" s="2241"/>
      <c r="AF14" s="2241"/>
      <c r="AG14" s="2241"/>
      <c r="AH14" s="2242"/>
    </row>
    <row r="15" spans="1:39">
      <c r="B15" s="610"/>
      <c r="C15" s="2219"/>
      <c r="D15" s="2297" t="s">
        <v>106</v>
      </c>
      <c r="E15" s="2298"/>
      <c r="F15" s="2298"/>
      <c r="G15" s="2298"/>
      <c r="H15" s="2298"/>
      <c r="I15" s="2298"/>
      <c r="J15" s="2298"/>
      <c r="K15" s="2298"/>
      <c r="L15" s="2298"/>
      <c r="M15" s="2298"/>
      <c r="N15" s="2298"/>
      <c r="O15" s="2298"/>
      <c r="P15" s="2299"/>
      <c r="Q15" s="2243" t="e">
        <f>계산_운용리스_단일!$E$48</f>
        <v>#DIV/0!</v>
      </c>
      <c r="R15" s="2241"/>
      <c r="S15" s="2241"/>
      <c r="T15" s="2241"/>
      <c r="U15" s="2241"/>
      <c r="V15" s="2241"/>
      <c r="W15" s="2241"/>
      <c r="X15" s="2241"/>
      <c r="Y15" s="2241"/>
      <c r="Z15" s="2241"/>
      <c r="AA15" s="2242"/>
      <c r="AB15" s="2244" t="e">
        <f>계산_운용리스_단일!$D$48</f>
        <v>#DIV/0!</v>
      </c>
      <c r="AC15" s="2241"/>
      <c r="AD15" s="2241"/>
      <c r="AE15" s="2241"/>
      <c r="AF15" s="2241"/>
      <c r="AG15" s="2241"/>
      <c r="AH15" s="2242"/>
    </row>
    <row r="16" spans="1:39">
      <c r="B16" s="612"/>
      <c r="C16" s="2324"/>
      <c r="D16" s="2324"/>
      <c r="E16" s="2324"/>
      <c r="F16" s="2324"/>
      <c r="G16" s="2324"/>
      <c r="H16" s="2324"/>
      <c r="I16" s="2324"/>
      <c r="J16" s="2324"/>
      <c r="K16" s="2324"/>
      <c r="L16" s="2324"/>
      <c r="M16" s="2324"/>
      <c r="N16" s="2324"/>
      <c r="O16" s="2324"/>
      <c r="P16" s="2324"/>
      <c r="Q16" s="2324"/>
      <c r="R16" s="2324"/>
      <c r="S16" s="2324"/>
      <c r="T16" s="2324"/>
      <c r="U16" s="2324"/>
      <c r="V16" s="2324"/>
      <c r="W16" s="2324"/>
      <c r="X16" s="2324"/>
      <c r="Y16" s="2324"/>
      <c r="Z16" s="2324"/>
      <c r="AA16" s="2324"/>
      <c r="AB16" s="2324"/>
      <c r="AC16" s="2324"/>
      <c r="AD16" s="2324"/>
      <c r="AE16" s="2324"/>
      <c r="AF16" s="2324"/>
      <c r="AG16" s="2324"/>
      <c r="AH16" s="2324"/>
    </row>
    <row r="17" spans="2:37">
      <c r="B17" s="610"/>
      <c r="C17" s="2245" t="s">
        <v>964</v>
      </c>
      <c r="D17" s="2246"/>
      <c r="E17" s="2246"/>
      <c r="F17" s="2246"/>
      <c r="G17" s="2246"/>
      <c r="H17" s="2246"/>
      <c r="I17" s="2246"/>
      <c r="J17" s="2246"/>
      <c r="K17" s="2246"/>
      <c r="L17" s="2246"/>
      <c r="M17" s="2246"/>
      <c r="N17" s="2246"/>
      <c r="O17" s="2246"/>
      <c r="P17" s="2247"/>
      <c r="Q17" s="2249"/>
      <c r="R17" s="2250"/>
      <c r="S17" s="2250"/>
      <c r="T17" s="2250"/>
      <c r="U17" s="2250"/>
      <c r="V17" s="2250"/>
      <c r="W17" s="2250"/>
      <c r="X17" s="2250"/>
      <c r="Y17" s="2250"/>
      <c r="Z17" s="2250"/>
      <c r="AA17" s="2251"/>
      <c r="AB17" s="2249"/>
      <c r="AC17" s="2250"/>
      <c r="AD17" s="2250"/>
      <c r="AE17" s="2250"/>
      <c r="AF17" s="2250"/>
      <c r="AG17" s="2250"/>
      <c r="AH17" s="2251"/>
    </row>
    <row r="18" spans="2:37">
      <c r="B18" s="610"/>
      <c r="C18" s="610"/>
      <c r="D18" s="2252" t="s">
        <v>965</v>
      </c>
      <c r="E18" s="2253"/>
      <c r="F18" s="2253"/>
      <c r="G18" s="2253"/>
      <c r="H18" s="2253"/>
      <c r="I18" s="2253"/>
      <c r="J18" s="2253"/>
      <c r="K18" s="2253"/>
      <c r="L18" s="2253"/>
      <c r="M18" s="2253"/>
      <c r="N18" s="2253"/>
      <c r="O18" s="2253"/>
      <c r="P18" s="2254"/>
      <c r="Q18" s="2286">
        <f>SUM(Q19:AA20)</f>
        <v>0</v>
      </c>
      <c r="R18" s="2258"/>
      <c r="S18" s="2258"/>
      <c r="T18" s="2258"/>
      <c r="U18" s="2258"/>
      <c r="V18" s="2258"/>
      <c r="W18" s="2258"/>
      <c r="X18" s="2258"/>
      <c r="Y18" s="2258"/>
      <c r="Z18" s="2258"/>
      <c r="AA18" s="2259"/>
      <c r="AB18" s="2257"/>
      <c r="AC18" s="2258"/>
      <c r="AD18" s="2258"/>
      <c r="AE18" s="2258"/>
      <c r="AF18" s="2258"/>
      <c r="AG18" s="2258"/>
      <c r="AH18" s="2259"/>
    </row>
    <row r="19" spans="2:37">
      <c r="B19" s="610"/>
      <c r="C19" s="610"/>
      <c r="D19" s="604"/>
      <c r="E19" s="2287" t="s">
        <v>979</v>
      </c>
      <c r="F19" s="2287"/>
      <c r="G19" s="2287"/>
      <c r="H19" s="2287"/>
      <c r="I19" s="2287"/>
      <c r="J19" s="2287"/>
      <c r="K19" s="2287"/>
      <c r="L19" s="2287"/>
      <c r="M19" s="2287"/>
      <c r="N19" s="2287"/>
      <c r="O19" s="2287"/>
      <c r="P19" s="2287"/>
      <c r="Q19" s="2243">
        <f>운용리스_단일!AS11</f>
        <v>0</v>
      </c>
      <c r="R19" s="2241"/>
      <c r="S19" s="2241"/>
      <c r="T19" s="2241"/>
      <c r="U19" s="2241"/>
      <c r="V19" s="2241"/>
      <c r="W19" s="2241"/>
      <c r="X19" s="2241"/>
      <c r="Y19" s="2241"/>
      <c r="Z19" s="2241"/>
      <c r="AA19" s="2242"/>
      <c r="AB19" s="2240"/>
      <c r="AC19" s="2241"/>
      <c r="AD19" s="2241"/>
      <c r="AE19" s="2241"/>
      <c r="AF19" s="2241"/>
      <c r="AG19" s="2241"/>
      <c r="AH19" s="2242"/>
    </row>
    <row r="20" spans="2:37">
      <c r="B20" s="610"/>
      <c r="C20" s="610"/>
      <c r="D20" s="604"/>
      <c r="E20" s="2287" t="s">
        <v>966</v>
      </c>
      <c r="F20" s="2287"/>
      <c r="G20" s="2287"/>
      <c r="H20" s="2287"/>
      <c r="I20" s="2287"/>
      <c r="J20" s="2287"/>
      <c r="K20" s="2287"/>
      <c r="L20" s="2287"/>
      <c r="M20" s="2287"/>
      <c r="N20" s="2287"/>
      <c r="O20" s="2287"/>
      <c r="P20" s="2287"/>
      <c r="Q20" s="2243">
        <f>운용리스_단일!BF12</f>
        <v>0</v>
      </c>
      <c r="R20" s="2241"/>
      <c r="S20" s="2241"/>
      <c r="T20" s="2241"/>
      <c r="U20" s="2241"/>
      <c r="V20" s="2241"/>
      <c r="W20" s="2241"/>
      <c r="X20" s="2241"/>
      <c r="Y20" s="2241"/>
      <c r="Z20" s="2241"/>
      <c r="AA20" s="2242"/>
      <c r="AB20" s="2240"/>
      <c r="AC20" s="2241"/>
      <c r="AD20" s="2241"/>
      <c r="AE20" s="2241"/>
      <c r="AF20" s="2241"/>
      <c r="AG20" s="2241"/>
      <c r="AH20" s="2242"/>
    </row>
    <row r="21" spans="2:37">
      <c r="B21" s="610"/>
      <c r="C21" s="610"/>
      <c r="D21" s="604"/>
      <c r="E21" s="2297" t="s">
        <v>1486</v>
      </c>
      <c r="F21" s="2298"/>
      <c r="G21" s="2298"/>
      <c r="H21" s="2298"/>
      <c r="I21" s="2298"/>
      <c r="J21" s="2298"/>
      <c r="K21" s="2298"/>
      <c r="L21" s="2298"/>
      <c r="M21" s="2298"/>
      <c r="N21" s="2298"/>
      <c r="O21" s="2298"/>
      <c r="P21" s="2299"/>
      <c r="Q21" s="2243">
        <f>+계산_운용리스_단일!C20</f>
        <v>0</v>
      </c>
      <c r="R21" s="2300"/>
      <c r="S21" s="2300"/>
      <c r="T21" s="2300"/>
      <c r="U21" s="2300"/>
      <c r="V21" s="2300"/>
      <c r="W21" s="2300"/>
      <c r="X21" s="2300"/>
      <c r="Y21" s="2300"/>
      <c r="Z21" s="2300"/>
      <c r="AA21" s="2301"/>
      <c r="AB21" s="2240"/>
      <c r="AC21" s="2241"/>
      <c r="AD21" s="2241"/>
      <c r="AE21" s="2241"/>
      <c r="AF21" s="2241"/>
      <c r="AG21" s="2241"/>
      <c r="AH21" s="2242"/>
    </row>
    <row r="22" spans="2:37">
      <c r="B22" s="610"/>
      <c r="C22" s="610"/>
      <c r="D22" s="604"/>
      <c r="E22" s="2297" t="s">
        <v>1021</v>
      </c>
      <c r="F22" s="2298"/>
      <c r="G22" s="2298"/>
      <c r="H22" s="2298"/>
      <c r="I22" s="2298"/>
      <c r="J22" s="2298"/>
      <c r="K22" s="2298"/>
      <c r="L22" s="2298"/>
      <c r="M22" s="2298"/>
      <c r="N22" s="2298"/>
      <c r="O22" s="2298"/>
      <c r="P22" s="2299"/>
      <c r="Q22" s="2243">
        <f>+운용리스_단일!AS13</f>
        <v>0</v>
      </c>
      <c r="R22" s="2300"/>
      <c r="S22" s="2300"/>
      <c r="T22" s="2300"/>
      <c r="U22" s="2300"/>
      <c r="V22" s="2300"/>
      <c r="W22" s="2300"/>
      <c r="X22" s="2300"/>
      <c r="Y22" s="2300"/>
      <c r="Z22" s="2300"/>
      <c r="AA22" s="2301"/>
      <c r="AB22" s="2294" t="e">
        <f>+Q22/$Q$18*1</f>
        <v>#DIV/0!</v>
      </c>
      <c r="AC22" s="2295"/>
      <c r="AD22" s="2295"/>
      <c r="AE22" s="2295"/>
      <c r="AF22" s="2295"/>
      <c r="AG22" s="2295"/>
      <c r="AH22" s="2296"/>
    </row>
    <row r="23" spans="2:37">
      <c r="B23" s="610"/>
      <c r="C23" s="610"/>
      <c r="D23" s="604"/>
      <c r="E23" s="2297" t="s">
        <v>1019</v>
      </c>
      <c r="F23" s="2298"/>
      <c r="G23" s="2298"/>
      <c r="H23" s="2298"/>
      <c r="I23" s="2298"/>
      <c r="J23" s="2298"/>
      <c r="K23" s="2298"/>
      <c r="L23" s="2298"/>
      <c r="M23" s="2298"/>
      <c r="N23" s="2298"/>
      <c r="O23" s="2298"/>
      <c r="P23" s="2299"/>
      <c r="Q23" s="2243">
        <f>+계산_운용리스_단일!C70</f>
        <v>0</v>
      </c>
      <c r="R23" s="2300"/>
      <c r="S23" s="2300"/>
      <c r="T23" s="2300"/>
      <c r="U23" s="2300"/>
      <c r="V23" s="2300"/>
      <c r="W23" s="2300"/>
      <c r="X23" s="2300"/>
      <c r="Y23" s="2300"/>
      <c r="Z23" s="2300"/>
      <c r="AA23" s="2301"/>
      <c r="AB23" s="2294" t="e">
        <f>+Q23/$Q$18*1</f>
        <v>#DIV/0!</v>
      </c>
      <c r="AC23" s="2295"/>
      <c r="AD23" s="2295"/>
      <c r="AE23" s="2295"/>
      <c r="AF23" s="2295"/>
      <c r="AG23" s="2295"/>
      <c r="AH23" s="2296"/>
    </row>
    <row r="24" spans="2:37">
      <c r="B24" s="610"/>
      <c r="C24" s="610"/>
      <c r="D24" s="604"/>
      <c r="E24" s="2287" t="s">
        <v>1020</v>
      </c>
      <c r="F24" s="2287"/>
      <c r="G24" s="2287"/>
      <c r="H24" s="2287"/>
      <c r="I24" s="2287"/>
      <c r="J24" s="2287"/>
      <c r="K24" s="2287"/>
      <c r="L24" s="2287"/>
      <c r="M24" s="2287"/>
      <c r="N24" s="2287"/>
      <c r="O24" s="2287"/>
      <c r="P24" s="2287"/>
      <c r="Q24" s="2243">
        <f>IF(OR(운용리스_단일!AS6="현대특판",운용리스_단일!AS6="기아특판"),계산_운용리스_단일!C72,0)</f>
        <v>0</v>
      </c>
      <c r="R24" s="2241"/>
      <c r="S24" s="2241"/>
      <c r="T24" s="2241"/>
      <c r="U24" s="2241"/>
      <c r="V24" s="2241"/>
      <c r="W24" s="2241"/>
      <c r="X24" s="2241"/>
      <c r="Y24" s="2241"/>
      <c r="Z24" s="2241"/>
      <c r="AA24" s="2242"/>
      <c r="AB24" s="2294" t="e">
        <f>+Q24/$Q$18*1</f>
        <v>#DIV/0!</v>
      </c>
      <c r="AC24" s="2295"/>
      <c r="AD24" s="2295"/>
      <c r="AE24" s="2295"/>
      <c r="AF24" s="2295"/>
      <c r="AG24" s="2295"/>
      <c r="AH24" s="2296"/>
    </row>
    <row r="25" spans="2:37">
      <c r="B25" s="610"/>
      <c r="C25" s="610"/>
      <c r="D25" s="604"/>
      <c r="E25" s="2287" t="s">
        <v>967</v>
      </c>
      <c r="F25" s="2287"/>
      <c r="G25" s="2287"/>
      <c r="H25" s="2287"/>
      <c r="I25" s="2287"/>
      <c r="J25" s="2287"/>
      <c r="K25" s="2287"/>
      <c r="L25" s="2287"/>
      <c r="M25" s="2287"/>
      <c r="N25" s="2287"/>
      <c r="O25" s="2287"/>
      <c r="P25" s="2287"/>
      <c r="Q25" s="2243">
        <v>0</v>
      </c>
      <c r="R25" s="2241"/>
      <c r="S25" s="2241"/>
      <c r="T25" s="2241"/>
      <c r="U25" s="2241"/>
      <c r="V25" s="2241"/>
      <c r="W25" s="2241"/>
      <c r="X25" s="2241"/>
      <c r="Y25" s="2241"/>
      <c r="Z25" s="2241"/>
      <c r="AA25" s="2242"/>
      <c r="AB25" s="2294" t="e">
        <f>+Q25/$Q$18*1</f>
        <v>#DIV/0!</v>
      </c>
      <c r="AC25" s="2295"/>
      <c r="AD25" s="2295"/>
      <c r="AE25" s="2295"/>
      <c r="AF25" s="2295"/>
      <c r="AG25" s="2295"/>
      <c r="AH25" s="2296"/>
      <c r="AK25" s="605"/>
    </row>
    <row r="26" spans="2:37">
      <c r="B26" s="610"/>
      <c r="C26" s="610"/>
      <c r="D26" s="604"/>
      <c r="E26" s="2287" t="s">
        <v>968</v>
      </c>
      <c r="F26" s="2287"/>
      <c r="G26" s="2287"/>
      <c r="H26" s="2287"/>
      <c r="I26" s="2287"/>
      <c r="J26" s="2287"/>
      <c r="K26" s="2287"/>
      <c r="L26" s="2287"/>
      <c r="M26" s="2287"/>
      <c r="N26" s="2287"/>
      <c r="O26" s="2287"/>
      <c r="P26" s="2287"/>
      <c r="Q26" s="2243">
        <f>계산_운용리스_단일!C11</f>
        <v>0</v>
      </c>
      <c r="R26" s="2241"/>
      <c r="S26" s="2241"/>
      <c r="T26" s="2241"/>
      <c r="U26" s="2241"/>
      <c r="V26" s="2241"/>
      <c r="W26" s="2241"/>
      <c r="X26" s="2241"/>
      <c r="Y26" s="2241"/>
      <c r="Z26" s="2241"/>
      <c r="AA26" s="2242"/>
      <c r="AB26" s="2294"/>
      <c r="AC26" s="2295"/>
      <c r="AD26" s="2295"/>
      <c r="AE26" s="2295"/>
      <c r="AF26" s="2295"/>
      <c r="AG26" s="2295"/>
      <c r="AH26" s="2296"/>
    </row>
    <row r="27" spans="2:37">
      <c r="B27" s="610"/>
      <c r="C27" s="610"/>
      <c r="D27" s="604"/>
      <c r="E27" s="2284" t="s">
        <v>969</v>
      </c>
      <c r="F27" s="2285"/>
      <c r="G27" s="2285"/>
      <c r="H27" s="2285"/>
      <c r="I27" s="2285"/>
      <c r="J27" s="2285"/>
      <c r="K27" s="2285"/>
      <c r="L27" s="2285"/>
      <c r="M27" s="2285"/>
      <c r="N27" s="2285"/>
      <c r="O27" s="2285"/>
      <c r="P27" s="2285"/>
      <c r="Q27" s="2286">
        <f>Q18+Q26-Q24+운용리스_단일!CH5-Q23</f>
        <v>0</v>
      </c>
      <c r="R27" s="2258"/>
      <c r="S27" s="2258"/>
      <c r="T27" s="2258"/>
      <c r="U27" s="2258"/>
      <c r="V27" s="2258"/>
      <c r="W27" s="2258"/>
      <c r="X27" s="2258"/>
      <c r="Y27" s="2258"/>
      <c r="Z27" s="2258"/>
      <c r="AA27" s="2259"/>
      <c r="AB27" s="2286">
        <v>0</v>
      </c>
      <c r="AC27" s="2258"/>
      <c r="AD27" s="2258"/>
      <c r="AE27" s="2258"/>
      <c r="AF27" s="2258"/>
      <c r="AG27" s="2258"/>
      <c r="AH27" s="2259"/>
      <c r="AI27" t="s">
        <v>988</v>
      </c>
      <c r="AK27" s="605">
        <f>+Q27-Q26</f>
        <v>0</v>
      </c>
    </row>
    <row r="28" spans="2:37">
      <c r="B28" s="610"/>
      <c r="C28" s="610"/>
      <c r="D28" s="604"/>
      <c r="E28" s="2218"/>
      <c r="F28" s="2287" t="s">
        <v>956</v>
      </c>
      <c r="G28" s="2287"/>
      <c r="H28" s="2287"/>
      <c r="I28" s="2287"/>
      <c r="J28" s="2287"/>
      <c r="K28" s="2287"/>
      <c r="L28" s="2287"/>
      <c r="M28" s="2287"/>
      <c r="N28" s="2287"/>
      <c r="O28" s="2287"/>
      <c r="P28" s="2287"/>
      <c r="Q28" s="2288">
        <f>ROUNDDOWN(Q27/1.1,0)</f>
        <v>0</v>
      </c>
      <c r="R28" s="2289"/>
      <c r="S28" s="2289"/>
      <c r="T28" s="2289"/>
      <c r="U28" s="2289"/>
      <c r="V28" s="2289"/>
      <c r="W28" s="2289"/>
      <c r="X28" s="2289"/>
      <c r="Y28" s="2289"/>
      <c r="Z28" s="2289"/>
      <c r="AA28" s="2290"/>
      <c r="AB28" s="2291">
        <f>AB27/1.1</f>
        <v>0</v>
      </c>
      <c r="AC28" s="2292"/>
      <c r="AD28" s="2292"/>
      <c r="AE28" s="2292"/>
      <c r="AF28" s="2292"/>
      <c r="AG28" s="2292"/>
      <c r="AH28" s="2293"/>
      <c r="AI28" s="615"/>
    </row>
    <row r="29" spans="2:37">
      <c r="B29" s="610"/>
      <c r="C29" s="612"/>
      <c r="D29" s="614"/>
      <c r="E29" s="2219"/>
      <c r="F29" s="2287" t="s">
        <v>943</v>
      </c>
      <c r="G29" s="2287"/>
      <c r="H29" s="2287"/>
      <c r="I29" s="2287"/>
      <c r="J29" s="2287"/>
      <c r="K29" s="2287"/>
      <c r="L29" s="2287"/>
      <c r="M29" s="2287"/>
      <c r="N29" s="2287"/>
      <c r="O29" s="2287"/>
      <c r="P29" s="2287"/>
      <c r="Q29" s="2278">
        <f>Q28*10%</f>
        <v>0</v>
      </c>
      <c r="R29" s="2279"/>
      <c r="S29" s="2279"/>
      <c r="T29" s="2279"/>
      <c r="U29" s="2279"/>
      <c r="V29" s="2279"/>
      <c r="W29" s="2279"/>
      <c r="X29" s="2279"/>
      <c r="Y29" s="2279"/>
      <c r="Z29" s="2279"/>
      <c r="AA29" s="2280"/>
      <c r="AB29" s="2281">
        <f>AB27-AB28</f>
        <v>0</v>
      </c>
      <c r="AC29" s="2282"/>
      <c r="AD29" s="2282"/>
      <c r="AE29" s="2282"/>
      <c r="AF29" s="2282"/>
      <c r="AG29" s="2282"/>
      <c r="AH29" s="2283"/>
      <c r="AI29" s="615"/>
    </row>
    <row r="30" spans="2:37">
      <c r="B30" s="610"/>
      <c r="C30" s="2245" t="s">
        <v>970</v>
      </c>
      <c r="D30" s="2246"/>
      <c r="E30" s="2246"/>
      <c r="F30" s="2246"/>
      <c r="G30" s="2246"/>
      <c r="H30" s="2246"/>
      <c r="I30" s="2246"/>
      <c r="J30" s="2246"/>
      <c r="K30" s="2246"/>
      <c r="L30" s="2246"/>
      <c r="M30" s="2246"/>
      <c r="N30" s="2246"/>
      <c r="O30" s="2246"/>
      <c r="P30" s="2247"/>
      <c r="Q30" s="2249"/>
      <c r="R30" s="2250"/>
      <c r="S30" s="2250"/>
      <c r="T30" s="2250"/>
      <c r="U30" s="2250"/>
      <c r="V30" s="2250"/>
      <c r="W30" s="2250"/>
      <c r="X30" s="2250"/>
      <c r="Y30" s="2250"/>
      <c r="Z30" s="2250"/>
      <c r="AA30" s="2251"/>
      <c r="AB30" s="2249"/>
      <c r="AC30" s="2250"/>
      <c r="AD30" s="2250"/>
      <c r="AE30" s="2250"/>
      <c r="AF30" s="2250"/>
      <c r="AG30" s="2250"/>
      <c r="AH30" s="2251"/>
      <c r="AI30" s="615"/>
    </row>
    <row r="31" spans="2:37">
      <c r="B31" s="610"/>
      <c r="C31" s="610"/>
      <c r="D31" s="2252" t="s">
        <v>971</v>
      </c>
      <c r="E31" s="2253"/>
      <c r="F31" s="2253"/>
      <c r="G31" s="2253"/>
      <c r="H31" s="2253"/>
      <c r="I31" s="2253"/>
      <c r="J31" s="2253"/>
      <c r="K31" s="2253"/>
      <c r="L31" s="2253"/>
      <c r="M31" s="2253"/>
      <c r="N31" s="2253"/>
      <c r="O31" s="2253"/>
      <c r="P31" s="2254"/>
      <c r="Q31" s="2257"/>
      <c r="R31" s="2258"/>
      <c r="S31" s="2258"/>
      <c r="T31" s="2258"/>
      <c r="U31" s="2258"/>
      <c r="V31" s="2258"/>
      <c r="W31" s="2258"/>
      <c r="X31" s="2258"/>
      <c r="Y31" s="2258"/>
      <c r="Z31" s="2258"/>
      <c r="AA31" s="2259"/>
      <c r="AB31" s="2257"/>
      <c r="AC31" s="2258"/>
      <c r="AD31" s="2258"/>
      <c r="AE31" s="2258"/>
      <c r="AF31" s="2258"/>
      <c r="AG31" s="2258"/>
      <c r="AH31" s="2259"/>
      <c r="AI31" s="615"/>
    </row>
    <row r="32" spans="2:37">
      <c r="B32" s="610"/>
      <c r="C32" s="610"/>
      <c r="D32" s="604"/>
      <c r="E32" s="2265" t="s">
        <v>972</v>
      </c>
      <c r="F32" s="2229"/>
      <c r="G32" s="2229"/>
      <c r="H32" s="2229"/>
      <c r="I32" s="2229"/>
      <c r="J32" s="2229"/>
      <c r="K32" s="2229"/>
      <c r="L32" s="2229"/>
      <c r="M32" s="2229"/>
      <c r="N32" s="2229"/>
      <c r="O32" s="2229"/>
      <c r="P32" s="2230"/>
      <c r="Q32" s="2225">
        <f>SUM(Q33:AA39)</f>
        <v>0</v>
      </c>
      <c r="R32" s="2262"/>
      <c r="S32" s="2262"/>
      <c r="T32" s="2262"/>
      <c r="U32" s="2262"/>
      <c r="V32" s="2262"/>
      <c r="W32" s="2262"/>
      <c r="X32" s="2262"/>
      <c r="Y32" s="2262"/>
      <c r="Z32" s="2262"/>
      <c r="AA32" s="2263"/>
      <c r="AB32" s="2264"/>
      <c r="AC32" s="2262"/>
      <c r="AD32" s="2262"/>
      <c r="AE32" s="2262"/>
      <c r="AF32" s="2262"/>
      <c r="AG32" s="2262"/>
      <c r="AH32" s="2263"/>
      <c r="AI32" s="615"/>
    </row>
    <row r="33" spans="2:37">
      <c r="B33" s="610"/>
      <c r="C33" s="610"/>
      <c r="D33" s="604"/>
      <c r="E33" s="617"/>
      <c r="F33" s="2228" t="s">
        <v>973</v>
      </c>
      <c r="G33" s="2229"/>
      <c r="H33" s="2229"/>
      <c r="I33" s="2229"/>
      <c r="J33" s="2229"/>
      <c r="K33" s="2229"/>
      <c r="L33" s="2229"/>
      <c r="M33" s="2229"/>
      <c r="N33" s="2229"/>
      <c r="O33" s="2229"/>
      <c r="P33" s="2230"/>
      <c r="Q33" s="2225">
        <f>계산_운용리스_단일!C8</f>
        <v>0</v>
      </c>
      <c r="R33" s="2262"/>
      <c r="S33" s="2262"/>
      <c r="T33" s="2262"/>
      <c r="U33" s="2262"/>
      <c r="V33" s="2262"/>
      <c r="W33" s="2262"/>
      <c r="X33" s="2262"/>
      <c r="Y33" s="2262"/>
      <c r="Z33" s="2262"/>
      <c r="AA33" s="2263"/>
      <c r="AB33" s="2264"/>
      <c r="AC33" s="2262"/>
      <c r="AD33" s="2262"/>
      <c r="AE33" s="2262"/>
      <c r="AF33" s="2262"/>
      <c r="AG33" s="2262"/>
      <c r="AH33" s="2263"/>
      <c r="AI33" s="615"/>
    </row>
    <row r="34" spans="2:37">
      <c r="B34" s="610"/>
      <c r="C34" s="610"/>
      <c r="D34" s="604"/>
      <c r="E34" s="617"/>
      <c r="F34" s="2275" t="s">
        <v>974</v>
      </c>
      <c r="G34" s="2276"/>
      <c r="H34" s="2276"/>
      <c r="I34" s="2276"/>
      <c r="J34" s="2276"/>
      <c r="K34" s="2276"/>
      <c r="L34" s="2276"/>
      <c r="M34" s="2276"/>
      <c r="N34" s="2276"/>
      <c r="O34" s="2276"/>
      <c r="P34" s="2277"/>
      <c r="Q34" s="2231">
        <f>운용리스_단일!DZ26</f>
        <v>0</v>
      </c>
      <c r="R34" s="2270"/>
      <c r="S34" s="2270"/>
      <c r="T34" s="2270"/>
      <c r="U34" s="2270"/>
      <c r="V34" s="2270"/>
      <c r="W34" s="2270"/>
      <c r="X34" s="2270"/>
      <c r="Y34" s="2270"/>
      <c r="Z34" s="2270"/>
      <c r="AA34" s="2271"/>
      <c r="AB34" s="2225"/>
      <c r="AC34" s="2226"/>
      <c r="AD34" s="2226"/>
      <c r="AE34" s="2226"/>
      <c r="AF34" s="2226"/>
      <c r="AG34" s="2226"/>
      <c r="AH34" s="2227"/>
      <c r="AI34" s="615"/>
    </row>
    <row r="35" spans="2:37">
      <c r="B35" s="610"/>
      <c r="C35" s="610"/>
      <c r="D35" s="604"/>
      <c r="E35" s="617"/>
      <c r="F35" s="2275" t="s">
        <v>1132</v>
      </c>
      <c r="G35" s="2276"/>
      <c r="H35" s="2276"/>
      <c r="I35" s="2276"/>
      <c r="J35" s="2276"/>
      <c r="K35" s="2276"/>
      <c r="L35" s="2276"/>
      <c r="M35" s="2276"/>
      <c r="N35" s="2276"/>
      <c r="O35" s="2276"/>
      <c r="P35" s="2277"/>
      <c r="Q35" s="2231">
        <f>+(운용리스_단일!DZ28)</f>
        <v>0</v>
      </c>
      <c r="R35" s="2232"/>
      <c r="S35" s="2232"/>
      <c r="T35" s="2232"/>
      <c r="U35" s="2232"/>
      <c r="V35" s="2232"/>
      <c r="W35" s="2232"/>
      <c r="X35" s="2232"/>
      <c r="Y35" s="2232"/>
      <c r="Z35" s="2232"/>
      <c r="AA35" s="2233"/>
      <c r="AB35" s="616"/>
      <c r="AC35" s="622"/>
      <c r="AD35" s="622"/>
      <c r="AE35" s="622"/>
      <c r="AF35" s="622"/>
      <c r="AG35" s="622"/>
      <c r="AH35" s="623"/>
      <c r="AI35" s="615"/>
    </row>
    <row r="36" spans="2:37">
      <c r="B36" s="610"/>
      <c r="C36" s="610"/>
      <c r="D36" s="604"/>
      <c r="E36" s="617"/>
      <c r="F36" s="2228" t="s">
        <v>759</v>
      </c>
      <c r="G36" s="2229"/>
      <c r="H36" s="2229"/>
      <c r="I36" s="2229"/>
      <c r="J36" s="2229"/>
      <c r="K36" s="2229"/>
      <c r="L36" s="2229"/>
      <c r="M36" s="2229"/>
      <c r="N36" s="2229"/>
      <c r="O36" s="2229"/>
      <c r="P36" s="2230"/>
      <c r="Q36" s="2231" t="str">
        <f>(운용리스_단일!DZ29)</f>
        <v/>
      </c>
      <c r="R36" s="2270"/>
      <c r="S36" s="2270"/>
      <c r="T36" s="2270"/>
      <c r="U36" s="2270"/>
      <c r="V36" s="2270"/>
      <c r="W36" s="2270"/>
      <c r="X36" s="2270"/>
      <c r="Y36" s="2270"/>
      <c r="Z36" s="2270"/>
      <c r="AA36" s="2271"/>
      <c r="AB36" s="2234"/>
      <c r="AC36" s="2235"/>
      <c r="AD36" s="2235"/>
      <c r="AE36" s="2235"/>
      <c r="AF36" s="2235"/>
      <c r="AG36" s="2235"/>
      <c r="AH36" s="2236"/>
    </row>
    <row r="37" spans="2:37">
      <c r="B37" s="610"/>
      <c r="C37" s="610"/>
      <c r="D37" s="604"/>
      <c r="E37" s="617"/>
      <c r="F37" s="2228" t="s">
        <v>975</v>
      </c>
      <c r="G37" s="2229"/>
      <c r="H37" s="2229"/>
      <c r="I37" s="2229"/>
      <c r="J37" s="2229"/>
      <c r="K37" s="2229"/>
      <c r="L37" s="2229"/>
      <c r="M37" s="2229"/>
      <c r="N37" s="2229"/>
      <c r="O37" s="2229"/>
      <c r="P37" s="2230"/>
      <c r="Q37" s="2231">
        <f>운용리스_단일!DZ27</f>
        <v>0</v>
      </c>
      <c r="R37" s="2270"/>
      <c r="S37" s="2270"/>
      <c r="T37" s="2270"/>
      <c r="U37" s="2270"/>
      <c r="V37" s="2270"/>
      <c r="W37" s="2270"/>
      <c r="X37" s="2270"/>
      <c r="Y37" s="2270"/>
      <c r="Z37" s="2270"/>
      <c r="AA37" s="2271"/>
      <c r="AB37" s="2234"/>
      <c r="AC37" s="2235"/>
      <c r="AD37" s="2235"/>
      <c r="AE37" s="2235"/>
      <c r="AF37" s="2235"/>
      <c r="AG37" s="2235"/>
      <c r="AH37" s="2236"/>
    </row>
    <row r="38" spans="2:37">
      <c r="B38" s="610"/>
      <c r="C38" s="610"/>
      <c r="D38" s="604"/>
      <c r="E38" s="617"/>
      <c r="F38" s="2228" t="s">
        <v>944</v>
      </c>
      <c r="G38" s="2229"/>
      <c r="H38" s="2229"/>
      <c r="I38" s="2229"/>
      <c r="J38" s="2229"/>
      <c r="K38" s="2229"/>
      <c r="L38" s="2229"/>
      <c r="M38" s="2229"/>
      <c r="N38" s="2229"/>
      <c r="O38" s="2229"/>
      <c r="P38" s="2230"/>
      <c r="Q38" s="2231">
        <f>+운용리스_단일!DZ30</f>
        <v>0</v>
      </c>
      <c r="R38" s="2232"/>
      <c r="S38" s="2232"/>
      <c r="T38" s="2232"/>
      <c r="U38" s="2232"/>
      <c r="V38" s="2232"/>
      <c r="W38" s="2232"/>
      <c r="X38" s="2232"/>
      <c r="Y38" s="2232"/>
      <c r="Z38" s="2232"/>
      <c r="AA38" s="2233"/>
      <c r="AB38" s="619"/>
      <c r="AC38" s="620"/>
      <c r="AD38" s="620"/>
      <c r="AE38" s="620"/>
      <c r="AF38" s="620"/>
      <c r="AG38" s="620"/>
      <c r="AH38" s="621"/>
    </row>
    <row r="39" spans="2:37">
      <c r="B39" s="610"/>
      <c r="C39" s="610"/>
      <c r="D39" s="604"/>
      <c r="E39" s="617"/>
      <c r="F39" s="2228" t="s">
        <v>758</v>
      </c>
      <c r="G39" s="2229"/>
      <c r="H39" s="2229"/>
      <c r="I39" s="2229"/>
      <c r="J39" s="2229"/>
      <c r="K39" s="2229"/>
      <c r="L39" s="2229"/>
      <c r="M39" s="2229"/>
      <c r="N39" s="2229"/>
      <c r="O39" s="2229"/>
      <c r="P39" s="2230"/>
      <c r="Q39" s="2231">
        <f>+운용리스_단일!DZ31</f>
        <v>0</v>
      </c>
      <c r="R39" s="2232"/>
      <c r="S39" s="2232"/>
      <c r="T39" s="2232"/>
      <c r="U39" s="2232"/>
      <c r="V39" s="2232"/>
      <c r="W39" s="2232"/>
      <c r="X39" s="2232"/>
      <c r="Y39" s="2232"/>
      <c r="Z39" s="2232"/>
      <c r="AA39" s="2233"/>
      <c r="AB39" s="2234"/>
      <c r="AC39" s="2235"/>
      <c r="AD39" s="2235"/>
      <c r="AE39" s="2235"/>
      <c r="AF39" s="2235"/>
      <c r="AG39" s="2235"/>
      <c r="AH39" s="2236"/>
    </row>
    <row r="40" spans="2:37">
      <c r="B40" s="610"/>
      <c r="C40" s="613"/>
      <c r="D40" s="604"/>
      <c r="E40" s="618"/>
      <c r="F40" s="2272" t="s">
        <v>989</v>
      </c>
      <c r="G40" s="2273"/>
      <c r="H40" s="2273"/>
      <c r="I40" s="2273"/>
      <c r="J40" s="2273"/>
      <c r="K40" s="2273"/>
      <c r="L40" s="2273"/>
      <c r="M40" s="2273"/>
      <c r="N40" s="2273"/>
      <c r="O40" s="2273"/>
      <c r="P40" s="2274"/>
      <c r="Q40" s="2231">
        <f>+SUM(Q34:AA39)</f>
        <v>0</v>
      </c>
      <c r="R40" s="2270"/>
      <c r="S40" s="2270"/>
      <c r="T40" s="2270"/>
      <c r="U40" s="2270"/>
      <c r="V40" s="2270"/>
      <c r="W40" s="2270"/>
      <c r="X40" s="2270"/>
      <c r="Y40" s="2270"/>
      <c r="Z40" s="2270"/>
      <c r="AA40" s="2271"/>
      <c r="AB40" s="2264"/>
      <c r="AC40" s="2262"/>
      <c r="AD40" s="2262"/>
      <c r="AE40" s="2262"/>
      <c r="AF40" s="2262"/>
      <c r="AG40" s="2262"/>
      <c r="AH40" s="2263"/>
    </row>
    <row r="41" spans="2:37">
      <c r="B41" s="610"/>
      <c r="C41" s="610"/>
      <c r="D41" s="604"/>
      <c r="E41" s="2265" t="s">
        <v>941</v>
      </c>
      <c r="F41" s="2266"/>
      <c r="G41" s="2266"/>
      <c r="H41" s="2266"/>
      <c r="I41" s="2266"/>
      <c r="J41" s="2266"/>
      <c r="K41" s="2266"/>
      <c r="L41" s="2266"/>
      <c r="M41" s="2266"/>
      <c r="N41" s="2266"/>
      <c r="O41" s="2266"/>
      <c r="P41" s="2267"/>
      <c r="Q41" s="2225">
        <f>SUM(Q42:AA43)</f>
        <v>0</v>
      </c>
      <c r="R41" s="2262"/>
      <c r="S41" s="2262"/>
      <c r="T41" s="2262"/>
      <c r="U41" s="2262"/>
      <c r="V41" s="2262"/>
      <c r="W41" s="2262"/>
      <c r="X41" s="2262"/>
      <c r="Y41" s="2262"/>
      <c r="Z41" s="2262"/>
      <c r="AA41" s="2263"/>
      <c r="AB41" s="2264"/>
      <c r="AC41" s="2262"/>
      <c r="AD41" s="2262"/>
      <c r="AE41" s="2262"/>
      <c r="AF41" s="2262"/>
      <c r="AG41" s="2262"/>
      <c r="AH41" s="2263"/>
    </row>
    <row r="42" spans="2:37">
      <c r="B42" s="610"/>
      <c r="C42" s="610"/>
      <c r="D42" s="604"/>
      <c r="E42" s="2268"/>
      <c r="F42" s="2228" t="s">
        <v>956</v>
      </c>
      <c r="G42" s="2229"/>
      <c r="H42" s="2229"/>
      <c r="I42" s="2229"/>
      <c r="J42" s="2229"/>
      <c r="K42" s="2229"/>
      <c r="L42" s="2229"/>
      <c r="M42" s="2229"/>
      <c r="N42" s="2229"/>
      <c r="O42" s="2229"/>
      <c r="P42" s="2230"/>
      <c r="Q42" s="2225">
        <f>운용리스_단일!DZ24</f>
        <v>0</v>
      </c>
      <c r="R42" s="2262"/>
      <c r="S42" s="2262"/>
      <c r="T42" s="2262"/>
      <c r="U42" s="2262"/>
      <c r="V42" s="2262"/>
      <c r="W42" s="2262"/>
      <c r="X42" s="2262"/>
      <c r="Y42" s="2262"/>
      <c r="Z42" s="2262"/>
      <c r="AA42" s="2263"/>
      <c r="AB42" s="2264"/>
      <c r="AC42" s="2262"/>
      <c r="AD42" s="2262"/>
      <c r="AE42" s="2262"/>
      <c r="AF42" s="2262"/>
      <c r="AG42" s="2262"/>
      <c r="AH42" s="2263"/>
    </row>
    <row r="43" spans="2:37">
      <c r="B43" s="610"/>
      <c r="C43" s="610"/>
      <c r="D43" s="604"/>
      <c r="E43" s="2269"/>
      <c r="F43" s="2228" t="s">
        <v>959</v>
      </c>
      <c r="G43" s="2229"/>
      <c r="H43" s="2229"/>
      <c r="I43" s="2229"/>
      <c r="J43" s="2229"/>
      <c r="K43" s="2229"/>
      <c r="L43" s="2229"/>
      <c r="M43" s="2229"/>
      <c r="N43" s="2229"/>
      <c r="O43" s="2229"/>
      <c r="P43" s="2230"/>
      <c r="Q43" s="2225">
        <f>운용리스_단일!DZ25</f>
        <v>0</v>
      </c>
      <c r="R43" s="2262"/>
      <c r="S43" s="2262"/>
      <c r="T43" s="2262"/>
      <c r="U43" s="2262"/>
      <c r="V43" s="2262"/>
      <c r="W43" s="2262"/>
      <c r="X43" s="2262"/>
      <c r="Y43" s="2262"/>
      <c r="Z43" s="2262"/>
      <c r="AA43" s="2263"/>
      <c r="AB43" s="2264"/>
      <c r="AC43" s="2262"/>
      <c r="AD43" s="2262"/>
      <c r="AE43" s="2262"/>
      <c r="AF43" s="2262"/>
      <c r="AG43" s="2262"/>
      <c r="AH43" s="2263"/>
    </row>
    <row r="44" spans="2:37">
      <c r="B44" s="610"/>
      <c r="C44" s="610"/>
      <c r="D44" s="604"/>
      <c r="E44" s="2265" t="s">
        <v>976</v>
      </c>
      <c r="F44" s="2266"/>
      <c r="G44" s="2266"/>
      <c r="H44" s="2266"/>
      <c r="I44" s="2266"/>
      <c r="J44" s="2266"/>
      <c r="K44" s="2266"/>
      <c r="L44" s="2266"/>
      <c r="M44" s="2266"/>
      <c r="N44" s="2266"/>
      <c r="O44" s="2266"/>
      <c r="P44" s="2267"/>
      <c r="Q44" s="2225">
        <f>SUM(Q45:AA46)</f>
        <v>0</v>
      </c>
      <c r="R44" s="2262"/>
      <c r="S44" s="2262"/>
      <c r="T44" s="2262"/>
      <c r="U44" s="2262"/>
      <c r="V44" s="2262"/>
      <c r="W44" s="2262"/>
      <c r="X44" s="2262"/>
      <c r="Y44" s="2262"/>
      <c r="Z44" s="2262"/>
      <c r="AA44" s="2263"/>
      <c r="AB44" s="2225"/>
      <c r="AC44" s="2226"/>
      <c r="AD44" s="2226"/>
      <c r="AE44" s="2226"/>
      <c r="AF44" s="2226"/>
      <c r="AG44" s="2226"/>
      <c r="AH44" s="2227"/>
    </row>
    <row r="45" spans="2:37">
      <c r="B45" s="610"/>
      <c r="C45" s="610"/>
      <c r="D45" s="604"/>
      <c r="E45" s="2220"/>
      <c r="F45" s="2222" t="s">
        <v>947</v>
      </c>
      <c r="G45" s="2223"/>
      <c r="H45" s="2223"/>
      <c r="I45" s="2223"/>
      <c r="J45" s="2223"/>
      <c r="K45" s="2223"/>
      <c r="L45" s="2223"/>
      <c r="M45" s="2223"/>
      <c r="N45" s="2223"/>
      <c r="O45" s="2223"/>
      <c r="P45" s="2224"/>
      <c r="Q45" s="2225">
        <f>운용리스_단일!DZ33</f>
        <v>0</v>
      </c>
      <c r="R45" s="2226"/>
      <c r="S45" s="2226"/>
      <c r="T45" s="2226"/>
      <c r="U45" s="2226"/>
      <c r="V45" s="2226"/>
      <c r="W45" s="2226"/>
      <c r="X45" s="2226"/>
      <c r="Y45" s="2226"/>
      <c r="Z45" s="2226"/>
      <c r="AA45" s="2227"/>
      <c r="AB45" s="616"/>
      <c r="AC45" s="622"/>
      <c r="AD45" s="622"/>
      <c r="AE45" s="622"/>
      <c r="AF45" s="622"/>
      <c r="AG45" s="622"/>
      <c r="AH45" s="623"/>
    </row>
    <row r="46" spans="2:37">
      <c r="B46" s="610"/>
      <c r="C46" s="611"/>
      <c r="D46" s="614"/>
      <c r="E46" s="2221"/>
      <c r="F46" s="2229" t="s">
        <v>987</v>
      </c>
      <c r="G46" s="2229"/>
      <c r="H46" s="2229"/>
      <c r="I46" s="2229"/>
      <c r="J46" s="2229"/>
      <c r="K46" s="2229"/>
      <c r="L46" s="2229"/>
      <c r="M46" s="2229"/>
      <c r="N46" s="2229"/>
      <c r="O46" s="2229"/>
      <c r="P46" s="2230"/>
      <c r="Q46" s="2225">
        <f>운용리스_단일!DZ34</f>
        <v>0</v>
      </c>
      <c r="R46" s="2262"/>
      <c r="S46" s="2262"/>
      <c r="T46" s="2262"/>
      <c r="U46" s="2262"/>
      <c r="V46" s="2262"/>
      <c r="W46" s="2262"/>
      <c r="X46" s="2262"/>
      <c r="Y46" s="2262"/>
      <c r="Z46" s="2262"/>
      <c r="AA46" s="2263"/>
      <c r="AB46" s="2264"/>
      <c r="AC46" s="2262"/>
      <c r="AD46" s="2262"/>
      <c r="AE46" s="2262"/>
      <c r="AF46" s="2262"/>
      <c r="AG46" s="2262"/>
      <c r="AH46" s="2263"/>
      <c r="AK46" s="605"/>
    </row>
    <row r="47" spans="2:37">
      <c r="B47" s="610"/>
      <c r="C47" s="2245" t="s">
        <v>977</v>
      </c>
      <c r="D47" s="2246"/>
      <c r="E47" s="2246"/>
      <c r="F47" s="2246"/>
      <c r="G47" s="2246"/>
      <c r="H47" s="2246"/>
      <c r="I47" s="2246"/>
      <c r="J47" s="2246"/>
      <c r="K47" s="2246"/>
      <c r="L47" s="2246"/>
      <c r="M47" s="2246"/>
      <c r="N47" s="2246"/>
      <c r="O47" s="2246"/>
      <c r="P47" s="2247"/>
      <c r="Q47" s="2248"/>
      <c r="R47" s="2248"/>
      <c r="S47" s="2248"/>
      <c r="T47" s="2248"/>
      <c r="U47" s="2248"/>
      <c r="V47" s="2248"/>
      <c r="W47" s="2248"/>
      <c r="X47" s="2248"/>
      <c r="Y47" s="2248"/>
      <c r="Z47" s="2248"/>
      <c r="AA47" s="2248"/>
      <c r="AB47" s="2249"/>
      <c r="AC47" s="2250"/>
      <c r="AD47" s="2250"/>
      <c r="AE47" s="2250"/>
      <c r="AF47" s="2250"/>
      <c r="AG47" s="2250"/>
      <c r="AH47" s="2251"/>
    </row>
    <row r="48" spans="2:37">
      <c r="B48" s="610"/>
      <c r="C48" s="611"/>
      <c r="D48" s="2252" t="s">
        <v>978</v>
      </c>
      <c r="E48" s="2253"/>
      <c r="F48" s="2253"/>
      <c r="G48" s="2253"/>
      <c r="H48" s="2253"/>
      <c r="I48" s="2253"/>
      <c r="J48" s="2253"/>
      <c r="K48" s="2253"/>
      <c r="L48" s="2253"/>
      <c r="M48" s="2253"/>
      <c r="N48" s="2253"/>
      <c r="O48" s="2253"/>
      <c r="P48" s="2254"/>
      <c r="Q48" s="2255">
        <f>운용리스_단일!AD23</f>
        <v>0</v>
      </c>
      <c r="R48" s="2256"/>
      <c r="S48" s="2256"/>
      <c r="T48" s="2256"/>
      <c r="U48" s="2256"/>
      <c r="V48" s="2256"/>
      <c r="W48" s="2256"/>
      <c r="X48" s="2256"/>
      <c r="Y48" s="2256"/>
      <c r="Z48" s="2256"/>
      <c r="AA48" s="2256"/>
      <c r="AB48" s="2257" t="str">
        <f>VLOOKUP(운용리스_단일!$AS$7,차량정보!$D$758:$T$969,10,0)</f>
        <v>I</v>
      </c>
      <c r="AC48" s="2258"/>
      <c r="AD48" s="2258"/>
      <c r="AE48" s="2258"/>
      <c r="AF48" s="2258"/>
      <c r="AG48" s="2258"/>
      <c r="AH48" s="2259"/>
    </row>
    <row r="49" spans="1:35">
      <c r="A49" s="625"/>
      <c r="B49" s="610"/>
      <c r="C49" s="2215"/>
      <c r="D49" s="2218"/>
      <c r="E49" s="2237" t="s">
        <v>942</v>
      </c>
      <c r="F49" s="2238"/>
      <c r="G49" s="2238"/>
      <c r="H49" s="2238"/>
      <c r="I49" s="2238"/>
      <c r="J49" s="2238"/>
      <c r="K49" s="2238"/>
      <c r="L49" s="2238"/>
      <c r="M49" s="2238"/>
      <c r="N49" s="2238"/>
      <c r="O49" s="2238"/>
      <c r="P49" s="2239"/>
      <c r="Q49" s="2260">
        <f>Q48/1.1</f>
        <v>0</v>
      </c>
      <c r="R49" s="2260"/>
      <c r="S49" s="2260"/>
      <c r="T49" s="2260"/>
      <c r="U49" s="2260"/>
      <c r="V49" s="2260"/>
      <c r="W49" s="2260"/>
      <c r="X49" s="2260"/>
      <c r="Y49" s="2260"/>
      <c r="Z49" s="2260"/>
      <c r="AA49" s="2260"/>
      <c r="AB49" s="2240"/>
      <c r="AC49" s="2241"/>
      <c r="AD49" s="2241"/>
      <c r="AE49" s="2241"/>
      <c r="AF49" s="2241"/>
      <c r="AG49" s="2241"/>
      <c r="AH49" s="2242"/>
    </row>
    <row r="50" spans="1:35">
      <c r="B50" s="607"/>
      <c r="C50" s="2216"/>
      <c r="D50" s="2218"/>
      <c r="E50" s="2237" t="s">
        <v>959</v>
      </c>
      <c r="F50" s="2238"/>
      <c r="G50" s="2238"/>
      <c r="H50" s="2238"/>
      <c r="I50" s="2238"/>
      <c r="J50" s="2238"/>
      <c r="K50" s="2238"/>
      <c r="L50" s="2238"/>
      <c r="M50" s="2238"/>
      <c r="N50" s="2238"/>
      <c r="O50" s="2238"/>
      <c r="P50" s="2239"/>
      <c r="Q50" s="2261">
        <f>Q48-Q49</f>
        <v>0</v>
      </c>
      <c r="R50" s="1943"/>
      <c r="S50" s="1943"/>
      <c r="T50" s="1943"/>
      <c r="U50" s="1943"/>
      <c r="V50" s="1943"/>
      <c r="W50" s="1943"/>
      <c r="X50" s="1943"/>
      <c r="Y50" s="1943"/>
      <c r="Z50" s="1943"/>
      <c r="AA50" s="1943"/>
      <c r="AB50" s="2240"/>
      <c r="AC50" s="2241"/>
      <c r="AD50" s="2241"/>
      <c r="AE50" s="2241"/>
      <c r="AF50" s="2241"/>
      <c r="AG50" s="2241"/>
      <c r="AH50" s="2242"/>
    </row>
    <row r="51" spans="1:35">
      <c r="B51" s="607"/>
      <c r="C51" s="2217"/>
      <c r="D51" s="2219"/>
      <c r="E51" s="2237" t="s">
        <v>106</v>
      </c>
      <c r="F51" s="2238"/>
      <c r="G51" s="2238"/>
      <c r="H51" s="2238"/>
      <c r="I51" s="2238"/>
      <c r="J51" s="2238"/>
      <c r="K51" s="2238"/>
      <c r="L51" s="2238"/>
      <c r="M51" s="2238"/>
      <c r="N51" s="2238"/>
      <c r="O51" s="2238"/>
      <c r="P51" s="2239"/>
      <c r="Q51" s="2243" t="e">
        <f>계산_운용리스_단일!$E$48</f>
        <v>#DIV/0!</v>
      </c>
      <c r="R51" s="2241"/>
      <c r="S51" s="2241"/>
      <c r="T51" s="2241"/>
      <c r="U51" s="2241"/>
      <c r="V51" s="2241"/>
      <c r="W51" s="2241"/>
      <c r="X51" s="2241"/>
      <c r="Y51" s="2241"/>
      <c r="Z51" s="2241"/>
      <c r="AA51" s="2242"/>
      <c r="AB51" s="2244" t="e">
        <f>계산_운용리스_단일!$D$48</f>
        <v>#DIV/0!</v>
      </c>
      <c r="AC51" s="2241"/>
      <c r="AD51" s="2241"/>
      <c r="AE51" s="2241"/>
      <c r="AF51" s="2241"/>
      <c r="AG51" s="2241"/>
      <c r="AH51" s="2242"/>
    </row>
    <row r="52" spans="1:35">
      <c r="B52" s="608"/>
      <c r="C52" s="609"/>
      <c r="D52" s="609"/>
      <c r="E52" s="609"/>
      <c r="F52" s="609"/>
      <c r="G52" s="609"/>
      <c r="H52" s="609"/>
      <c r="I52" s="609"/>
      <c r="J52" s="609"/>
      <c r="K52" s="609"/>
      <c r="L52" s="609"/>
      <c r="M52" s="609"/>
      <c r="N52" s="609"/>
      <c r="O52" s="609"/>
      <c r="P52" s="609"/>
      <c r="Q52" s="609"/>
      <c r="R52" s="609"/>
      <c r="S52" s="609"/>
      <c r="T52" s="609"/>
      <c r="U52" s="609"/>
      <c r="V52" s="609"/>
      <c r="W52" s="609"/>
      <c r="X52" s="609"/>
      <c r="Y52" s="609"/>
      <c r="Z52" s="609"/>
      <c r="AA52" s="609"/>
      <c r="AB52" s="609"/>
      <c r="AC52" s="609"/>
      <c r="AD52" s="609"/>
      <c r="AE52" s="609"/>
      <c r="AF52" s="609"/>
      <c r="AG52" s="609"/>
      <c r="AH52" s="626"/>
    </row>
    <row r="55" spans="1:35">
      <c r="AI55" s="606"/>
    </row>
    <row r="56" spans="1:35" ht="16.5" customHeight="1">
      <c r="AI56" s="606"/>
    </row>
    <row r="57" spans="1:35" ht="16.5" customHeight="1"/>
    <row r="75" spans="35:35" hidden="1">
      <c r="AI75" s="609"/>
    </row>
  </sheetData>
  <mergeCells count="148">
    <mergeCell ref="E7:P7"/>
    <mergeCell ref="Q7:AA7"/>
    <mergeCell ref="AB7:AH7"/>
    <mergeCell ref="D15:P15"/>
    <mergeCell ref="Q15:AA15"/>
    <mergeCell ref="AB15:AH15"/>
    <mergeCell ref="C16:AH16"/>
    <mergeCell ref="C17:P17"/>
    <mergeCell ref="Q17:AA17"/>
    <mergeCell ref="AB17:AH17"/>
    <mergeCell ref="C12:P12"/>
    <mergeCell ref="Q12:AA12"/>
    <mergeCell ref="AB12:AH12"/>
    <mergeCell ref="C13:C15"/>
    <mergeCell ref="D13:P13"/>
    <mergeCell ref="Q13:AA13"/>
    <mergeCell ref="AB13:AH13"/>
    <mergeCell ref="C10:C11"/>
    <mergeCell ref="D10:P10"/>
    <mergeCell ref="Q10:AA10"/>
    <mergeCell ref="AB10:AH10"/>
    <mergeCell ref="D11:P11"/>
    <mergeCell ref="Q11:AA11"/>
    <mergeCell ref="AB11:AH11"/>
    <mergeCell ref="E6:P6"/>
    <mergeCell ref="Q6:AA6"/>
    <mergeCell ref="AB6:AH6"/>
    <mergeCell ref="B3:P3"/>
    <mergeCell ref="Q3:AH3"/>
    <mergeCell ref="B4:P4"/>
    <mergeCell ref="Q4:AA4"/>
    <mergeCell ref="AB4:AH4"/>
    <mergeCell ref="C5:P5"/>
    <mergeCell ref="Q5:AA5"/>
    <mergeCell ref="AB5:AH5"/>
    <mergeCell ref="D8:P8"/>
    <mergeCell ref="Q8:AA8"/>
    <mergeCell ref="AB8:AH8"/>
    <mergeCell ref="C9:P9"/>
    <mergeCell ref="Q9:AA9"/>
    <mergeCell ref="AB9:AH9"/>
    <mergeCell ref="D14:P14"/>
    <mergeCell ref="Q14:AA14"/>
    <mergeCell ref="AB14:AH14"/>
    <mergeCell ref="AB20:AH20"/>
    <mergeCell ref="E24:P24"/>
    <mergeCell ref="Q24:AA24"/>
    <mergeCell ref="AB24:AH24"/>
    <mergeCell ref="E25:P25"/>
    <mergeCell ref="Q25:AA25"/>
    <mergeCell ref="AB25:AH25"/>
    <mergeCell ref="D18:P18"/>
    <mergeCell ref="Q18:AA18"/>
    <mergeCell ref="AB18:AH18"/>
    <mergeCell ref="E19:P19"/>
    <mergeCell ref="Q19:AA19"/>
    <mergeCell ref="AB19:AH19"/>
    <mergeCell ref="E20:P20"/>
    <mergeCell ref="Q20:AA20"/>
    <mergeCell ref="E22:P22"/>
    <mergeCell ref="E23:P23"/>
    <mergeCell ref="Q22:AA22"/>
    <mergeCell ref="Q23:AA23"/>
    <mergeCell ref="AB22:AH22"/>
    <mergeCell ref="AB23:AH23"/>
    <mergeCell ref="E21:P21"/>
    <mergeCell ref="Q21:AA21"/>
    <mergeCell ref="AB21:AH21"/>
    <mergeCell ref="E27:P27"/>
    <mergeCell ref="Q27:AA27"/>
    <mergeCell ref="AB27:AH27"/>
    <mergeCell ref="E28:E29"/>
    <mergeCell ref="F28:P28"/>
    <mergeCell ref="Q28:AA28"/>
    <mergeCell ref="AB28:AH28"/>
    <mergeCell ref="F29:P29"/>
    <mergeCell ref="E26:P26"/>
    <mergeCell ref="Q26:AA26"/>
    <mergeCell ref="AB26:AH26"/>
    <mergeCell ref="E32:P32"/>
    <mergeCell ref="Q32:AA32"/>
    <mergeCell ref="AB32:AH32"/>
    <mergeCell ref="AB33:AH33"/>
    <mergeCell ref="F33:P33"/>
    <mergeCell ref="Q33:AA33"/>
    <mergeCell ref="Q29:AA29"/>
    <mergeCell ref="AB29:AH29"/>
    <mergeCell ref="C30:P30"/>
    <mergeCell ref="Q30:AA30"/>
    <mergeCell ref="AB30:AH30"/>
    <mergeCell ref="D31:P31"/>
    <mergeCell ref="Q31:AA31"/>
    <mergeCell ref="AB31:AH31"/>
    <mergeCell ref="F37:P37"/>
    <mergeCell ref="Q37:AA37"/>
    <mergeCell ref="AB37:AH37"/>
    <mergeCell ref="F40:P40"/>
    <mergeCell ref="Q40:AA40"/>
    <mergeCell ref="AB40:AH40"/>
    <mergeCell ref="F34:P34"/>
    <mergeCell ref="Q34:AA34"/>
    <mergeCell ref="AB34:AH34"/>
    <mergeCell ref="F36:P36"/>
    <mergeCell ref="Q36:AA36"/>
    <mergeCell ref="AB36:AH36"/>
    <mergeCell ref="F35:P35"/>
    <mergeCell ref="Q35:AA35"/>
    <mergeCell ref="Q50:AA50"/>
    <mergeCell ref="F46:P46"/>
    <mergeCell ref="Q46:AA46"/>
    <mergeCell ref="AB46:AH46"/>
    <mergeCell ref="E44:P44"/>
    <mergeCell ref="Q44:AA44"/>
    <mergeCell ref="AB44:AH44"/>
    <mergeCell ref="E41:P41"/>
    <mergeCell ref="Q41:AA41"/>
    <mergeCell ref="AB41:AH41"/>
    <mergeCell ref="E42:E43"/>
    <mergeCell ref="F42:P42"/>
    <mergeCell ref="Q42:AA42"/>
    <mergeCell ref="AB42:AH42"/>
    <mergeCell ref="F43:P43"/>
    <mergeCell ref="Q43:AA43"/>
    <mergeCell ref="AB43:AH43"/>
    <mergeCell ref="C49:C51"/>
    <mergeCell ref="D49:D51"/>
    <mergeCell ref="E45:E46"/>
    <mergeCell ref="F45:P45"/>
    <mergeCell ref="Q45:AA45"/>
    <mergeCell ref="F39:P39"/>
    <mergeCell ref="Q39:AA39"/>
    <mergeCell ref="AB39:AH39"/>
    <mergeCell ref="F38:P38"/>
    <mergeCell ref="Q38:AA38"/>
    <mergeCell ref="E51:P51"/>
    <mergeCell ref="AB49:AH49"/>
    <mergeCell ref="Q51:AA51"/>
    <mergeCell ref="AB51:AH51"/>
    <mergeCell ref="C47:P47"/>
    <mergeCell ref="Q47:AA47"/>
    <mergeCell ref="AB47:AH47"/>
    <mergeCell ref="D48:P48"/>
    <mergeCell ref="Q48:AA48"/>
    <mergeCell ref="AB48:AH48"/>
    <mergeCell ref="E49:P49"/>
    <mergeCell ref="Q49:AA49"/>
    <mergeCell ref="AB50:AH50"/>
    <mergeCell ref="E50:P50"/>
  </mergeCells>
  <phoneticPr fontId="2" type="noConversion"/>
  <pageMargins left="0.25" right="0.25" top="0.75" bottom="0.75" header="0.3" footer="0.3"/>
  <pageSetup paperSize="9" scale="78" orientation="portrait" horizontalDpi="4294967295"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pageSetUpPr fitToPage="1"/>
  </sheetPr>
  <dimension ref="A1:CL1094"/>
  <sheetViews>
    <sheetView showGridLines="0" zoomScaleNormal="100" workbookViewId="0">
      <pane xSplit="4" ySplit="3" topLeftCell="E1016" activePane="bottomRight" state="frozen"/>
      <selection pane="topRight" activeCell="E1" sqref="E1"/>
      <selection pane="bottomLeft" activeCell="A4" sqref="A4"/>
      <selection pane="bottomRight" activeCell="C1033" sqref="C1033"/>
    </sheetView>
  </sheetViews>
  <sheetFormatPr defaultColWidth="32.125" defaultRowHeight="11.25"/>
  <cols>
    <col min="1" max="1" width="4.875" style="1" customWidth="1"/>
    <col min="2" max="2" width="7.125" style="1" customWidth="1"/>
    <col min="3" max="3" width="10.375" style="1" customWidth="1"/>
    <col min="4" max="4" width="40.875" style="1" customWidth="1"/>
    <col min="5" max="5" width="11.5" style="1" bestFit="1" customWidth="1"/>
    <col min="6" max="6" width="13" style="1" bestFit="1" customWidth="1"/>
    <col min="7" max="7" width="8.25" style="1" customWidth="1"/>
    <col min="8" max="11" width="5.125" style="1" customWidth="1"/>
    <col min="12" max="12" width="10" style="1" customWidth="1"/>
    <col min="13" max="13" width="5.25" style="1" customWidth="1"/>
    <col min="14" max="14" width="8.25" style="382" customWidth="1"/>
    <col min="15" max="17" width="8.25" style="1" customWidth="1"/>
    <col min="18" max="20" width="9.25" style="1" customWidth="1"/>
    <col min="21" max="22" width="12.5" style="1" customWidth="1"/>
    <col min="23" max="23" width="17.5" style="1" customWidth="1"/>
    <col min="24" max="25" width="12.5" style="1" customWidth="1"/>
    <col min="26" max="26" width="17.625" style="1" bestFit="1" customWidth="1"/>
    <col min="27" max="27" width="14.75" style="1" bestFit="1" customWidth="1"/>
    <col min="28" max="30" width="12.5" style="1" customWidth="1"/>
    <col min="31" max="31" width="16.25" style="1" customWidth="1"/>
    <col min="32" max="33" width="21.75" style="1" bestFit="1" customWidth="1"/>
    <col min="34" max="35" width="12.25" style="1" customWidth="1"/>
    <col min="36" max="36" width="42.625" style="1" bestFit="1" customWidth="1"/>
    <col min="37" max="37" width="12.25" style="1" customWidth="1"/>
    <col min="38" max="40" width="12.625" style="1" customWidth="1"/>
    <col min="41" max="41" width="8.625" style="1" customWidth="1"/>
    <col min="42" max="44" width="7.75" style="1" customWidth="1"/>
    <col min="45" max="45" width="32.125" style="1" customWidth="1"/>
    <col min="46" max="48" width="10.125" style="1" customWidth="1"/>
    <col min="49" max="49" width="32.125" style="1"/>
    <col min="50" max="50" width="18.125" style="1" bestFit="1" customWidth="1"/>
    <col min="51" max="54" width="6.5" style="1" customWidth="1"/>
    <col min="55" max="55" width="18.125" style="1" bestFit="1" customWidth="1"/>
    <col min="56" max="85" width="6.5" style="1" customWidth="1"/>
    <col min="86" max="90" width="11.625" style="1" customWidth="1"/>
    <col min="91" max="16384" width="32.125" style="1"/>
  </cols>
  <sheetData>
    <row r="1" spans="1:90" ht="15" customHeight="1" thickBot="1">
      <c r="A1" s="1231" t="s">
        <v>3073</v>
      </c>
      <c r="B1" s="1231" t="s">
        <v>3074</v>
      </c>
      <c r="C1" s="1230" t="s">
        <v>3072</v>
      </c>
      <c r="H1" s="378" t="s">
        <v>617</v>
      </c>
      <c r="I1" s="379" t="e">
        <f>계산_운용리스!D20</f>
        <v>#N/A</v>
      </c>
      <c r="J1" s="380" t="s">
        <v>618</v>
      </c>
      <c r="K1" s="381" t="str">
        <f>계산_운용리스!C20</f>
        <v>기타</v>
      </c>
    </row>
    <row r="2" spans="1:90" s="383" customFormat="1">
      <c r="D2" s="383">
        <v>1</v>
      </c>
      <c r="E2" s="383">
        <v>2</v>
      </c>
      <c r="F2" s="383">
        <v>3</v>
      </c>
      <c r="G2" s="383">
        <v>4</v>
      </c>
      <c r="H2" s="383">
        <v>5</v>
      </c>
      <c r="I2" s="383">
        <v>6</v>
      </c>
      <c r="J2" s="383">
        <v>7</v>
      </c>
      <c r="K2" s="383">
        <v>8</v>
      </c>
      <c r="L2" s="383">
        <v>9</v>
      </c>
      <c r="M2" s="383">
        <v>10</v>
      </c>
      <c r="N2" s="383">
        <v>11</v>
      </c>
      <c r="O2" s="383">
        <v>12</v>
      </c>
      <c r="P2" s="383">
        <v>13</v>
      </c>
      <c r="Q2" s="383">
        <v>14</v>
      </c>
      <c r="R2" s="383">
        <v>15</v>
      </c>
      <c r="S2" s="383">
        <v>16</v>
      </c>
      <c r="T2" s="383">
        <v>17</v>
      </c>
      <c r="U2" s="383">
        <v>18</v>
      </c>
      <c r="V2" s="383">
        <v>19</v>
      </c>
      <c r="W2" s="383">
        <v>20</v>
      </c>
      <c r="X2" s="383">
        <v>21</v>
      </c>
      <c r="Y2" s="384" t="s">
        <v>125</v>
      </c>
      <c r="Z2" s="383">
        <v>21</v>
      </c>
      <c r="AA2" s="383">
        <v>22</v>
      </c>
      <c r="AB2" s="383">
        <v>23</v>
      </c>
      <c r="AC2" s="383" t="s">
        <v>126</v>
      </c>
      <c r="AE2" s="383" t="s">
        <v>127</v>
      </c>
      <c r="AK2" s="383" t="s">
        <v>213</v>
      </c>
      <c r="AU2" s="383" t="s">
        <v>128</v>
      </c>
      <c r="AY2" s="383" t="s">
        <v>128</v>
      </c>
      <c r="BA2" s="383" t="s">
        <v>677</v>
      </c>
    </row>
    <row r="3" spans="1:90" ht="15" customHeight="1">
      <c r="A3" s="5" t="s">
        <v>1439</v>
      </c>
      <c r="B3" s="5" t="s">
        <v>1440</v>
      </c>
      <c r="C3" s="5" t="s">
        <v>130</v>
      </c>
      <c r="D3" s="5" t="s">
        <v>131</v>
      </c>
      <c r="E3" s="6" t="s">
        <v>132</v>
      </c>
      <c r="F3" s="5" t="s">
        <v>133</v>
      </c>
      <c r="G3" s="5">
        <v>12</v>
      </c>
      <c r="H3" s="5">
        <v>24</v>
      </c>
      <c r="I3" s="5">
        <v>36</v>
      </c>
      <c r="J3" s="5">
        <v>48</v>
      </c>
      <c r="K3" s="5">
        <v>60</v>
      </c>
      <c r="L3" s="5" t="s">
        <v>1441</v>
      </c>
      <c r="M3" s="721" t="s">
        <v>1381</v>
      </c>
      <c r="N3" s="385" t="s">
        <v>1442</v>
      </c>
      <c r="O3" s="386" t="s">
        <v>1443</v>
      </c>
      <c r="P3" s="386" t="s">
        <v>1444</v>
      </c>
      <c r="Q3" s="386" t="s">
        <v>1445</v>
      </c>
      <c r="R3" s="386" t="s">
        <v>1446</v>
      </c>
      <c r="S3" s="386" t="s">
        <v>1447</v>
      </c>
      <c r="T3" s="386" t="s">
        <v>2152</v>
      </c>
      <c r="U3" s="386" t="s">
        <v>2158</v>
      </c>
      <c r="V3" s="386" t="s">
        <v>2153</v>
      </c>
      <c r="W3" s="386" t="s">
        <v>2154</v>
      </c>
      <c r="X3" s="386" t="s">
        <v>2329</v>
      </c>
      <c r="Y3" s="5"/>
      <c r="Z3" s="5" t="s">
        <v>130</v>
      </c>
      <c r="AA3" s="7" t="s">
        <v>134</v>
      </c>
      <c r="AB3" s="7" t="s">
        <v>135</v>
      </c>
      <c r="AC3" s="5" t="s">
        <v>136</v>
      </c>
      <c r="AD3" s="5" t="s">
        <v>137</v>
      </c>
      <c r="AE3" s="5" t="s">
        <v>136</v>
      </c>
      <c r="AF3" s="5" t="s">
        <v>137</v>
      </c>
      <c r="AG3" s="8" t="s">
        <v>138</v>
      </c>
      <c r="AH3" s="5" t="s">
        <v>139</v>
      </c>
      <c r="AI3" s="5" t="s">
        <v>140</v>
      </c>
      <c r="AK3" s="28" t="s">
        <v>214</v>
      </c>
      <c r="AL3" s="28" t="s">
        <v>215</v>
      </c>
      <c r="AM3" s="28" t="s">
        <v>530</v>
      </c>
      <c r="AN3" s="28" t="s">
        <v>531</v>
      </c>
      <c r="AO3" s="28" t="s">
        <v>585</v>
      </c>
      <c r="AP3" s="28" t="s">
        <v>583</v>
      </c>
      <c r="AQ3" s="28" t="s">
        <v>584</v>
      </c>
      <c r="AR3" s="28" t="s">
        <v>599</v>
      </c>
      <c r="AT3" s="387" t="s">
        <v>700</v>
      </c>
      <c r="AU3" s="387" t="s">
        <v>141</v>
      </c>
      <c r="AV3" s="388" t="s">
        <v>142</v>
      </c>
      <c r="AW3" s="388" t="s">
        <v>143</v>
      </c>
      <c r="AY3" s="387" t="s">
        <v>141</v>
      </c>
      <c r="AZ3" s="388" t="s">
        <v>142</v>
      </c>
      <c r="BA3" s="388" t="s">
        <v>143</v>
      </c>
      <c r="BC3" s="726" t="s">
        <v>128</v>
      </c>
      <c r="BD3" s="727" t="s">
        <v>163</v>
      </c>
      <c r="BE3" s="727" t="s">
        <v>159</v>
      </c>
      <c r="BF3" s="727" t="s">
        <v>166</v>
      </c>
      <c r="BG3" s="727" t="s">
        <v>170</v>
      </c>
      <c r="BH3" s="727" t="s">
        <v>176</v>
      </c>
      <c r="BI3" s="727" t="s">
        <v>320</v>
      </c>
      <c r="BJ3" s="727" t="s">
        <v>321</v>
      </c>
      <c r="BK3" s="727" t="s">
        <v>322</v>
      </c>
      <c r="BL3" s="727" t="s">
        <v>323</v>
      </c>
      <c r="BM3" s="727" t="s">
        <v>324</v>
      </c>
      <c r="BN3" s="727" t="s">
        <v>660</v>
      </c>
      <c r="BO3" s="727" t="s">
        <v>325</v>
      </c>
      <c r="BP3" s="727" t="s">
        <v>326</v>
      </c>
      <c r="BQ3" s="727" t="s">
        <v>327</v>
      </c>
      <c r="BR3" s="727" t="s">
        <v>328</v>
      </c>
      <c r="BS3" s="727" t="s">
        <v>664</v>
      </c>
      <c r="BT3" s="727" t="s">
        <v>665</v>
      </c>
      <c r="BU3" s="727" t="s">
        <v>329</v>
      </c>
      <c r="BV3" s="727" t="s">
        <v>666</v>
      </c>
      <c r="BW3" s="727" t="s">
        <v>662</v>
      </c>
      <c r="BX3" s="727" t="s">
        <v>330</v>
      </c>
      <c r="BY3" s="727" t="s">
        <v>661</v>
      </c>
      <c r="BZ3" s="727" t="s">
        <v>667</v>
      </c>
      <c r="CA3" s="727" t="s">
        <v>331</v>
      </c>
      <c r="CB3" s="727" t="s">
        <v>668</v>
      </c>
      <c r="CC3" s="727" t="s">
        <v>669</v>
      </c>
      <c r="CD3" s="727" t="s">
        <v>483</v>
      </c>
      <c r="CE3" s="727" t="s">
        <v>670</v>
      </c>
      <c r="CF3" s="727" t="s">
        <v>671</v>
      </c>
      <c r="CG3" s="727" t="s">
        <v>672</v>
      </c>
      <c r="CH3" s="727" t="s">
        <v>673</v>
      </c>
      <c r="CI3" s="727" t="s">
        <v>674</v>
      </c>
      <c r="CJ3" s="727" t="s">
        <v>675</v>
      </c>
      <c r="CK3" s="727" t="s">
        <v>676</v>
      </c>
      <c r="CL3" s="727" t="s">
        <v>1750</v>
      </c>
    </row>
    <row r="4" spans="1:90" ht="15" customHeight="1">
      <c r="A4" s="63">
        <f>ROW()-3</f>
        <v>1</v>
      </c>
      <c r="B4" s="63" t="s">
        <v>1867</v>
      </c>
      <c r="C4" s="63" t="s">
        <v>1856</v>
      </c>
      <c r="D4" s="63" t="s">
        <v>1382</v>
      </c>
      <c r="E4" s="64">
        <v>1950</v>
      </c>
      <c r="F4" s="65" t="s">
        <v>144</v>
      </c>
      <c r="G4" s="389">
        <f>+INDEX($AW$4:$AW$138,MATCH(G$3&amp;$M4,$AT$4:$AT$138,0))</f>
        <v>0.76</v>
      </c>
      <c r="H4" s="389">
        <f>+INDEX($AW$4:$AW$138,MATCH(H$3&amp;$M4,$AT$4:$AT$138,0))</f>
        <v>0.67999999999999994</v>
      </c>
      <c r="I4" s="389">
        <f>+INDEX($AW$4:$AW$138,MATCH(I$3&amp;$M4,$AT$4:$AT$138,0))</f>
        <v>0.59</v>
      </c>
      <c r="J4" s="389">
        <f>+INDEX($AW$4:$AW$138,MATCH(J$3&amp;$M4,$AT$4:$AT$138,0))</f>
        <v>0.51</v>
      </c>
      <c r="K4" s="389">
        <f>+INDEX($AW$4:$AW$138,MATCH(K$3&amp;$M4,$AT$4:$AT$138,0))</f>
        <v>0.44999999999999996</v>
      </c>
      <c r="L4" s="720">
        <v>0.06</v>
      </c>
      <c r="M4" s="63" t="s">
        <v>159</v>
      </c>
      <c r="N4" s="440">
        <v>4.3999999999999997E-2</v>
      </c>
      <c r="O4" s="390">
        <v>6.0000000000000001E-3</v>
      </c>
      <c r="P4" s="390">
        <v>0</v>
      </c>
      <c r="Q4" s="390">
        <v>0</v>
      </c>
      <c r="R4" s="390">
        <v>0</v>
      </c>
      <c r="S4" s="63" t="str">
        <f>+IF(LEFT(D4,1)="E","Y",IF(LEFT(D4,1)="S","Y",IF(LEFT(D4,1)="X","Y","N")))</f>
        <v>N</v>
      </c>
      <c r="T4" s="63"/>
      <c r="U4" s="1039"/>
      <c r="V4" s="1039"/>
      <c r="W4" s="1039"/>
      <c r="X4" s="64" t="s">
        <v>2364</v>
      </c>
      <c r="Y4" s="2">
        <v>1</v>
      </c>
      <c r="Z4" s="2" t="s">
        <v>481</v>
      </c>
      <c r="AA4" s="1046" t="s">
        <v>152</v>
      </c>
      <c r="AB4" s="391">
        <v>6.0000000000000001E-3</v>
      </c>
      <c r="AC4" s="296">
        <f t="shared" ref="AC4:AC29" si="0">VLOOKUP($AA4,$AA$46:$AE$53,2,0)</f>
        <v>0.06</v>
      </c>
      <c r="AD4" s="296">
        <f t="shared" ref="AD4:AD29" si="1">VLOOKUP($AA4,$AA$46:$AE$53,3,0)</f>
        <v>6.4500000000000002E-2</v>
      </c>
      <c r="AE4" s="296">
        <f t="shared" ref="AE4:AE29" si="2">VLOOKUP($AA4,$AA$46:$AE$53,4,0)</f>
        <v>7.1000000000000008E-2</v>
      </c>
      <c r="AF4" s="296">
        <f t="shared" ref="AF4:AF29" si="3">VLOOKUP($AA4,$AA$46:$AE$53,5,0)</f>
        <v>6.6500000000000004E-2</v>
      </c>
      <c r="AG4" s="296">
        <f t="shared" ref="AG4:AG29" si="4">VLOOKUP($AA4,$AA$46:$AH$53,6,0)</f>
        <v>4.7E-2</v>
      </c>
      <c r="AH4" s="296">
        <f t="shared" ref="AH4:AH29" si="5">VLOOKUP($AA4,$AA$46:$AH$53,7,0)</f>
        <v>4.9000000000000002E-2</v>
      </c>
      <c r="AI4" s="296">
        <f t="shared" ref="AI4:AI29" si="6">VLOOKUP($AA4,$AA$46:$AH$53,8,0)</f>
        <v>5.1000000000000004E-2</v>
      </c>
      <c r="AK4" s="392" t="s">
        <v>482</v>
      </c>
      <c r="AL4" s="392" t="s">
        <v>217</v>
      </c>
      <c r="AM4" s="393">
        <v>0</v>
      </c>
      <c r="AN4" s="393">
        <v>1E-3</v>
      </c>
      <c r="AO4" s="394">
        <v>0</v>
      </c>
      <c r="AP4" s="394">
        <v>0</v>
      </c>
      <c r="AQ4" s="394">
        <v>0</v>
      </c>
      <c r="AR4" s="1" t="s">
        <v>600</v>
      </c>
      <c r="AT4" s="400" t="str">
        <f t="shared" ref="AT4:AT9" si="7">AV4&amp;AU4</f>
        <v>12A</v>
      </c>
      <c r="AU4" s="1241" t="s">
        <v>163</v>
      </c>
      <c r="AV4" s="1242">
        <v>12</v>
      </c>
      <c r="AW4" s="1243">
        <v>0.77</v>
      </c>
      <c r="AY4" s="395" t="s">
        <v>145</v>
      </c>
      <c r="AZ4" s="396">
        <v>12</v>
      </c>
      <c r="BA4" s="397">
        <v>0.7</v>
      </c>
      <c r="BC4" s="727">
        <v>12</v>
      </c>
      <c r="BD4" s="728">
        <v>0.79</v>
      </c>
      <c r="BE4" s="728">
        <v>0.78</v>
      </c>
      <c r="BF4" s="728">
        <v>0.77</v>
      </c>
      <c r="BG4" s="728">
        <v>0.76</v>
      </c>
      <c r="BH4" s="728">
        <v>0.75</v>
      </c>
      <c r="BI4" s="728">
        <v>0.74</v>
      </c>
      <c r="BJ4" s="728">
        <v>0.73</v>
      </c>
      <c r="BK4" s="728">
        <v>0.72</v>
      </c>
      <c r="BL4" s="728">
        <v>0.71</v>
      </c>
      <c r="BM4" s="728">
        <v>0.7</v>
      </c>
      <c r="BN4" s="728">
        <v>0.69</v>
      </c>
      <c r="BO4" s="728">
        <v>0.68</v>
      </c>
      <c r="BP4" s="728">
        <v>0.67</v>
      </c>
      <c r="BQ4" s="728">
        <v>0.66</v>
      </c>
      <c r="BR4" s="728">
        <v>0.65</v>
      </c>
      <c r="BS4" s="728">
        <v>0.64</v>
      </c>
      <c r="BT4" s="728">
        <v>0.63</v>
      </c>
      <c r="BU4" s="728">
        <v>0.62</v>
      </c>
      <c r="BV4" s="728">
        <v>0.61</v>
      </c>
      <c r="BW4" s="728">
        <v>0.6</v>
      </c>
      <c r="BX4" s="728">
        <v>0.59</v>
      </c>
      <c r="BY4" s="728">
        <v>0.57999999999999996</v>
      </c>
      <c r="BZ4" s="728">
        <v>0.56999999999999995</v>
      </c>
      <c r="CA4" s="728">
        <v>0.56000000000000005</v>
      </c>
      <c r="CB4" s="728">
        <v>0.55000000000000004</v>
      </c>
      <c r="CC4" s="728">
        <v>0.54</v>
      </c>
      <c r="CD4" s="728">
        <v>0.53</v>
      </c>
      <c r="CE4" s="728">
        <v>0.52</v>
      </c>
      <c r="CF4" s="728">
        <v>0.51</v>
      </c>
      <c r="CG4" s="728">
        <v>0.5</v>
      </c>
      <c r="CH4" s="728">
        <v>0.49</v>
      </c>
      <c r="CI4" s="728">
        <v>0.48</v>
      </c>
      <c r="CJ4" s="728">
        <v>0.47</v>
      </c>
      <c r="CK4" s="728">
        <v>0.46</v>
      </c>
      <c r="CL4" s="728"/>
    </row>
    <row r="5" spans="1:90" ht="15" customHeight="1">
      <c r="A5" s="63">
        <f t="shared" ref="A5:A65" si="8">ROW()-3</f>
        <v>2</v>
      </c>
      <c r="B5" s="63" t="s">
        <v>1306</v>
      </c>
      <c r="C5" s="63" t="s">
        <v>1856</v>
      </c>
      <c r="D5" s="1234" t="s">
        <v>1857</v>
      </c>
      <c r="E5" s="64">
        <v>1991</v>
      </c>
      <c r="F5" s="65" t="s">
        <v>144</v>
      </c>
      <c r="G5" s="389">
        <f t="shared" ref="G5:K55" si="9">+INDEX($AW$4:$AW$138,MATCH(G$3&amp;$M5,$AT$4:$AT$138,0))</f>
        <v>0.76</v>
      </c>
      <c r="H5" s="389">
        <f t="shared" si="9"/>
        <v>0.67999999999999994</v>
      </c>
      <c r="I5" s="389">
        <f t="shared" si="9"/>
        <v>0.59</v>
      </c>
      <c r="J5" s="389">
        <f t="shared" si="9"/>
        <v>0.51</v>
      </c>
      <c r="K5" s="389">
        <f t="shared" si="9"/>
        <v>0.44999999999999996</v>
      </c>
      <c r="L5" s="720">
        <v>0.06</v>
      </c>
      <c r="M5" s="63" t="s">
        <v>159</v>
      </c>
      <c r="N5" s="440">
        <v>4.3999999999999997E-2</v>
      </c>
      <c r="O5" s="390">
        <v>6.0000000000000001E-3</v>
      </c>
      <c r="P5" s="390">
        <v>0</v>
      </c>
      <c r="Q5" s="390">
        <v>0</v>
      </c>
      <c r="R5" s="390">
        <v>0</v>
      </c>
      <c r="S5" s="63" t="str">
        <f t="shared" ref="S5:S56" si="10">+IF(LEFT(D5,1)="E","Y",IF(LEFT(D5,1)="S","Y",IF(LEFT(D5,1)="X","Y","N")))</f>
        <v>N</v>
      </c>
      <c r="T5" s="63"/>
      <c r="U5" s="1039"/>
      <c r="V5" s="1039"/>
      <c r="W5" s="1039"/>
      <c r="X5" s="64" t="s">
        <v>2364</v>
      </c>
      <c r="Y5" s="2">
        <v>2</v>
      </c>
      <c r="Z5" s="2" t="s">
        <v>146</v>
      </c>
      <c r="AA5" s="973" t="s">
        <v>2467</v>
      </c>
      <c r="AB5" s="296">
        <v>6.0000000000000001E-3</v>
      </c>
      <c r="AC5" s="296">
        <f t="shared" si="0"/>
        <v>0.06</v>
      </c>
      <c r="AD5" s="296">
        <f t="shared" si="1"/>
        <v>6.4500000000000002E-2</v>
      </c>
      <c r="AE5" s="296">
        <f t="shared" si="2"/>
        <v>7.1000000000000008E-2</v>
      </c>
      <c r="AF5" s="296">
        <f t="shared" si="3"/>
        <v>6.6500000000000004E-2</v>
      </c>
      <c r="AG5" s="296">
        <f t="shared" si="4"/>
        <v>4.7E-2</v>
      </c>
      <c r="AH5" s="296">
        <f t="shared" si="5"/>
        <v>4.9000000000000002E-2</v>
      </c>
      <c r="AI5" s="296">
        <f t="shared" si="6"/>
        <v>5.1000000000000004E-2</v>
      </c>
      <c r="AK5" s="392" t="s">
        <v>482</v>
      </c>
      <c r="AL5" s="392" t="s">
        <v>232</v>
      </c>
      <c r="AM5" s="393">
        <v>0</v>
      </c>
      <c r="AN5" s="393">
        <v>1E-3</v>
      </c>
      <c r="AO5" s="394">
        <v>0</v>
      </c>
      <c r="AP5" s="394">
        <v>0</v>
      </c>
      <c r="AQ5" s="394">
        <v>0</v>
      </c>
      <c r="AR5" s="1" t="s">
        <v>601</v>
      </c>
      <c r="AT5" s="400" t="str">
        <f t="shared" si="7"/>
        <v>24A</v>
      </c>
      <c r="AU5" s="1244" t="s">
        <v>163</v>
      </c>
      <c r="AV5" s="1245">
        <v>24</v>
      </c>
      <c r="AW5" s="1246">
        <v>0.69000000000000006</v>
      </c>
      <c r="AY5" s="398" t="s">
        <v>145</v>
      </c>
      <c r="AZ5" s="398">
        <v>24</v>
      </c>
      <c r="BA5" s="399">
        <v>0.62</v>
      </c>
      <c r="BC5" s="727">
        <v>24</v>
      </c>
      <c r="BD5" s="728">
        <v>0.71</v>
      </c>
      <c r="BE5" s="728">
        <v>0.7</v>
      </c>
      <c r="BF5" s="728">
        <v>0.69</v>
      </c>
      <c r="BG5" s="728">
        <v>0.68</v>
      </c>
      <c r="BH5" s="728">
        <v>0.67</v>
      </c>
      <c r="BI5" s="728">
        <v>0.66</v>
      </c>
      <c r="BJ5" s="728">
        <v>0.65</v>
      </c>
      <c r="BK5" s="728">
        <v>0.64</v>
      </c>
      <c r="BL5" s="728">
        <v>0.63</v>
      </c>
      <c r="BM5" s="728">
        <v>0.62</v>
      </c>
      <c r="BN5" s="728">
        <v>0.61</v>
      </c>
      <c r="BO5" s="728">
        <v>0.6</v>
      </c>
      <c r="BP5" s="728">
        <v>0.59</v>
      </c>
      <c r="BQ5" s="728">
        <v>0.57999999999999996</v>
      </c>
      <c r="BR5" s="728">
        <v>0.56999999999999995</v>
      </c>
      <c r="BS5" s="728">
        <v>0.56000000000000005</v>
      </c>
      <c r="BT5" s="728">
        <v>0.55000000000000004</v>
      </c>
      <c r="BU5" s="728">
        <v>0.54</v>
      </c>
      <c r="BV5" s="728">
        <v>0.53</v>
      </c>
      <c r="BW5" s="728">
        <v>0.52</v>
      </c>
      <c r="BX5" s="728">
        <v>0.51</v>
      </c>
      <c r="BY5" s="728">
        <v>0.5</v>
      </c>
      <c r="BZ5" s="728">
        <v>0.49</v>
      </c>
      <c r="CA5" s="728">
        <v>0.48</v>
      </c>
      <c r="CB5" s="728">
        <v>0.47</v>
      </c>
      <c r="CC5" s="728">
        <v>0.46</v>
      </c>
      <c r="CD5" s="728">
        <v>0.45</v>
      </c>
      <c r="CE5" s="728">
        <v>0.44</v>
      </c>
      <c r="CF5" s="728">
        <v>0.43</v>
      </c>
      <c r="CG5" s="728">
        <v>0.42</v>
      </c>
      <c r="CH5" s="728">
        <v>0.41</v>
      </c>
      <c r="CI5" s="728">
        <v>0.4</v>
      </c>
      <c r="CJ5" s="728">
        <v>0.39</v>
      </c>
      <c r="CK5" s="728">
        <v>0.38</v>
      </c>
      <c r="CL5" s="728"/>
    </row>
    <row r="6" spans="1:90" ht="15" customHeight="1">
      <c r="A6" s="63">
        <f t="shared" si="8"/>
        <v>3</v>
      </c>
      <c r="B6" s="63" t="s">
        <v>1308</v>
      </c>
      <c r="C6" s="63" t="s">
        <v>1856</v>
      </c>
      <c r="D6" s="1234" t="s">
        <v>2330</v>
      </c>
      <c r="E6" s="64">
        <v>1991</v>
      </c>
      <c r="F6" s="65" t="s">
        <v>144</v>
      </c>
      <c r="G6" s="389">
        <f t="shared" si="9"/>
        <v>0.76</v>
      </c>
      <c r="H6" s="389">
        <f t="shared" si="9"/>
        <v>0.67999999999999994</v>
      </c>
      <c r="I6" s="389">
        <f t="shared" si="9"/>
        <v>0.59</v>
      </c>
      <c r="J6" s="389">
        <f t="shared" si="9"/>
        <v>0.51</v>
      </c>
      <c r="K6" s="389">
        <f t="shared" si="9"/>
        <v>0.44999999999999996</v>
      </c>
      <c r="L6" s="720">
        <v>0.06</v>
      </c>
      <c r="M6" s="63" t="s">
        <v>159</v>
      </c>
      <c r="N6" s="440">
        <v>4.3999999999999997E-2</v>
      </c>
      <c r="O6" s="390">
        <v>6.0000000000000001E-3</v>
      </c>
      <c r="P6" s="390">
        <v>0</v>
      </c>
      <c r="Q6" s="390">
        <v>0</v>
      </c>
      <c r="R6" s="390">
        <v>0</v>
      </c>
      <c r="S6" s="63" t="str">
        <f t="shared" si="10"/>
        <v>N</v>
      </c>
      <c r="T6" s="63"/>
      <c r="U6" s="1039"/>
      <c r="V6" s="1039"/>
      <c r="W6" s="1039"/>
      <c r="X6" s="64" t="s">
        <v>2364</v>
      </c>
      <c r="Y6" s="2">
        <v>3</v>
      </c>
      <c r="Z6" s="2" t="s">
        <v>147</v>
      </c>
      <c r="AA6" s="973" t="s">
        <v>3243</v>
      </c>
      <c r="AB6" s="296">
        <v>6.0000000000000001E-3</v>
      </c>
      <c r="AC6" s="296">
        <f t="shared" si="0"/>
        <v>0.06</v>
      </c>
      <c r="AD6" s="296">
        <f t="shared" si="1"/>
        <v>6.4500000000000002E-2</v>
      </c>
      <c r="AE6" s="296">
        <f t="shared" si="2"/>
        <v>7.1000000000000008E-2</v>
      </c>
      <c r="AF6" s="296">
        <f t="shared" si="3"/>
        <v>6.6500000000000004E-2</v>
      </c>
      <c r="AG6" s="296">
        <f t="shared" si="4"/>
        <v>4.7E-2</v>
      </c>
      <c r="AH6" s="296">
        <f t="shared" si="5"/>
        <v>4.9000000000000002E-2</v>
      </c>
      <c r="AI6" s="296">
        <f t="shared" si="6"/>
        <v>5.1000000000000004E-2</v>
      </c>
      <c r="AK6" s="392" t="s">
        <v>482</v>
      </c>
      <c r="AL6" s="392" t="s">
        <v>1467</v>
      </c>
      <c r="AM6" s="393">
        <v>0</v>
      </c>
      <c r="AN6" s="393">
        <v>1E-3</v>
      </c>
      <c r="AO6" s="394">
        <v>0</v>
      </c>
      <c r="AP6" s="394">
        <v>0</v>
      </c>
      <c r="AQ6" s="394">
        <v>0</v>
      </c>
      <c r="AR6" s="1" t="s">
        <v>602</v>
      </c>
      <c r="AT6" s="400" t="str">
        <f t="shared" si="7"/>
        <v>36A</v>
      </c>
      <c r="AU6" s="1244" t="s">
        <v>163</v>
      </c>
      <c r="AV6" s="1245">
        <v>36</v>
      </c>
      <c r="AW6" s="1246">
        <v>0.6</v>
      </c>
      <c r="AY6" s="398" t="s">
        <v>149</v>
      </c>
      <c r="AZ6" s="398">
        <v>36</v>
      </c>
      <c r="BA6" s="399">
        <v>0.53</v>
      </c>
      <c r="BC6" s="727">
        <v>36</v>
      </c>
      <c r="BD6" s="728">
        <v>0.62</v>
      </c>
      <c r="BE6" s="728">
        <v>0.61</v>
      </c>
      <c r="BF6" s="728">
        <v>0.6</v>
      </c>
      <c r="BG6" s="728">
        <v>0.59</v>
      </c>
      <c r="BH6" s="728">
        <v>0.57999999999999996</v>
      </c>
      <c r="BI6" s="728">
        <v>0.56999999999999995</v>
      </c>
      <c r="BJ6" s="728">
        <v>0.56000000000000005</v>
      </c>
      <c r="BK6" s="728">
        <v>0.55000000000000004</v>
      </c>
      <c r="BL6" s="728">
        <v>0.54</v>
      </c>
      <c r="BM6" s="728">
        <v>0.53</v>
      </c>
      <c r="BN6" s="728">
        <v>0.52</v>
      </c>
      <c r="BO6" s="728">
        <v>0.51</v>
      </c>
      <c r="BP6" s="728">
        <v>0.5</v>
      </c>
      <c r="BQ6" s="728">
        <v>0.49</v>
      </c>
      <c r="BR6" s="728">
        <v>0.48</v>
      </c>
      <c r="BS6" s="728">
        <v>0.47</v>
      </c>
      <c r="BT6" s="728">
        <v>0.46</v>
      </c>
      <c r="BU6" s="728">
        <v>0.45</v>
      </c>
      <c r="BV6" s="728">
        <v>0.44</v>
      </c>
      <c r="BW6" s="728">
        <v>0.43</v>
      </c>
      <c r="BX6" s="728">
        <v>0.42</v>
      </c>
      <c r="BY6" s="728">
        <v>0.41</v>
      </c>
      <c r="BZ6" s="728">
        <v>0.4</v>
      </c>
      <c r="CA6" s="728">
        <v>0.39</v>
      </c>
      <c r="CB6" s="728">
        <v>0.38</v>
      </c>
      <c r="CC6" s="728">
        <v>0.37</v>
      </c>
      <c r="CD6" s="728">
        <v>0.36</v>
      </c>
      <c r="CE6" s="728">
        <v>0.35</v>
      </c>
      <c r="CF6" s="728">
        <v>0.34</v>
      </c>
      <c r="CG6" s="728">
        <v>0.33</v>
      </c>
      <c r="CH6" s="728">
        <v>0.32</v>
      </c>
      <c r="CI6" s="728">
        <v>0.31</v>
      </c>
      <c r="CJ6" s="728">
        <v>0.3</v>
      </c>
      <c r="CK6" s="728">
        <v>0.28999999999999998</v>
      </c>
      <c r="CL6" s="728">
        <v>0.44</v>
      </c>
    </row>
    <row r="7" spans="1:90" ht="15" customHeight="1">
      <c r="A7" s="63">
        <f t="shared" si="8"/>
        <v>4</v>
      </c>
      <c r="B7" s="63" t="s">
        <v>1308</v>
      </c>
      <c r="C7" s="63" t="s">
        <v>1856</v>
      </c>
      <c r="D7" s="63" t="s">
        <v>2331</v>
      </c>
      <c r="E7" s="64">
        <v>1991</v>
      </c>
      <c r="F7" s="65" t="s">
        <v>144</v>
      </c>
      <c r="G7" s="389">
        <f t="shared" si="9"/>
        <v>0.76</v>
      </c>
      <c r="H7" s="389">
        <f t="shared" si="9"/>
        <v>0.67999999999999994</v>
      </c>
      <c r="I7" s="389">
        <f t="shared" si="9"/>
        <v>0.59</v>
      </c>
      <c r="J7" s="389">
        <f t="shared" si="9"/>
        <v>0.51</v>
      </c>
      <c r="K7" s="389">
        <f t="shared" si="9"/>
        <v>0.44999999999999996</v>
      </c>
      <c r="L7" s="720">
        <v>0.06</v>
      </c>
      <c r="M7" s="63" t="s">
        <v>159</v>
      </c>
      <c r="N7" s="440">
        <v>4.3999999999999997E-2</v>
      </c>
      <c r="O7" s="390">
        <v>6.0000000000000001E-3</v>
      </c>
      <c r="P7" s="390">
        <v>0</v>
      </c>
      <c r="Q7" s="390">
        <v>0</v>
      </c>
      <c r="R7" s="390">
        <v>0</v>
      </c>
      <c r="S7" s="63" t="str">
        <f t="shared" si="10"/>
        <v>N</v>
      </c>
      <c r="T7" s="63"/>
      <c r="U7" s="1039"/>
      <c r="V7" s="1039"/>
      <c r="W7" s="1039"/>
      <c r="X7" s="64" t="s">
        <v>2364</v>
      </c>
      <c r="Y7" s="2">
        <v>4</v>
      </c>
      <c r="Z7" s="2" t="s">
        <v>150</v>
      </c>
      <c r="AA7" s="973" t="s">
        <v>2469</v>
      </c>
      <c r="AB7" s="296">
        <v>6.0000000000000001E-3</v>
      </c>
      <c r="AC7" s="296">
        <f t="shared" si="0"/>
        <v>6.2E-2</v>
      </c>
      <c r="AD7" s="296">
        <f t="shared" si="1"/>
        <v>7.1000000000000008E-2</v>
      </c>
      <c r="AE7" s="296">
        <f t="shared" si="2"/>
        <v>7.3000000000000009E-2</v>
      </c>
      <c r="AF7" s="296">
        <f t="shared" si="3"/>
        <v>7.3000000000000009E-2</v>
      </c>
      <c r="AG7" s="296">
        <f t="shared" si="4"/>
        <v>4.7E-2</v>
      </c>
      <c r="AH7" s="296">
        <f t="shared" si="5"/>
        <v>4.9000000000000002E-2</v>
      </c>
      <c r="AI7" s="296">
        <f t="shared" si="6"/>
        <v>5.1000000000000004E-2</v>
      </c>
      <c r="AK7" s="392" t="s">
        <v>482</v>
      </c>
      <c r="AL7" s="392" t="s">
        <v>222</v>
      </c>
      <c r="AM7" s="393">
        <v>0</v>
      </c>
      <c r="AN7" s="393">
        <v>1E-3</v>
      </c>
      <c r="AO7" s="394">
        <v>0</v>
      </c>
      <c r="AP7" s="394">
        <v>0</v>
      </c>
      <c r="AQ7" s="394">
        <v>0</v>
      </c>
      <c r="AR7" s="1" t="s">
        <v>603</v>
      </c>
      <c r="AT7" s="400" t="str">
        <f t="shared" si="7"/>
        <v>48A</v>
      </c>
      <c r="AU7" s="1244" t="s">
        <v>163</v>
      </c>
      <c r="AV7" s="1245">
        <v>48</v>
      </c>
      <c r="AW7" s="1246">
        <v>0.52</v>
      </c>
      <c r="AY7" s="398" t="s">
        <v>149</v>
      </c>
      <c r="AZ7" s="398">
        <v>48</v>
      </c>
      <c r="BA7" s="399">
        <v>0.45</v>
      </c>
      <c r="BC7" s="727">
        <v>48</v>
      </c>
      <c r="BD7" s="728">
        <v>0.54</v>
      </c>
      <c r="BE7" s="728">
        <v>0.53</v>
      </c>
      <c r="BF7" s="728">
        <v>0.52</v>
      </c>
      <c r="BG7" s="728">
        <v>0.51</v>
      </c>
      <c r="BH7" s="728">
        <v>0.5</v>
      </c>
      <c r="BI7" s="728">
        <v>0.49</v>
      </c>
      <c r="BJ7" s="728">
        <v>0.48</v>
      </c>
      <c r="BK7" s="728">
        <v>0.47</v>
      </c>
      <c r="BL7" s="728">
        <v>0.46</v>
      </c>
      <c r="BM7" s="728">
        <v>0.45</v>
      </c>
      <c r="BN7" s="728">
        <v>0.44</v>
      </c>
      <c r="BO7" s="728">
        <v>0.43</v>
      </c>
      <c r="BP7" s="728">
        <v>0.42</v>
      </c>
      <c r="BQ7" s="728">
        <v>0.41</v>
      </c>
      <c r="BR7" s="728">
        <v>0.4</v>
      </c>
      <c r="BS7" s="728">
        <v>0.39</v>
      </c>
      <c r="BT7" s="728">
        <v>0.38</v>
      </c>
      <c r="BU7" s="728">
        <v>0.37</v>
      </c>
      <c r="BV7" s="728">
        <v>0.36</v>
      </c>
      <c r="BW7" s="728">
        <v>0.35</v>
      </c>
      <c r="BX7" s="728">
        <v>0.34</v>
      </c>
      <c r="BY7" s="728">
        <v>0.33</v>
      </c>
      <c r="BZ7" s="728">
        <v>0.32</v>
      </c>
      <c r="CA7" s="728">
        <v>0.31</v>
      </c>
      <c r="CB7" s="728">
        <v>0.3</v>
      </c>
      <c r="CC7" s="728">
        <v>0.28999999999999998</v>
      </c>
      <c r="CD7" s="728">
        <v>0.28000000000000003</v>
      </c>
      <c r="CE7" s="728">
        <v>0.27</v>
      </c>
      <c r="CF7" s="728">
        <v>0.26</v>
      </c>
      <c r="CG7" s="728">
        <v>0.25</v>
      </c>
      <c r="CH7" s="728">
        <v>0.24</v>
      </c>
      <c r="CI7" s="728">
        <v>0.23</v>
      </c>
      <c r="CJ7" s="728">
        <v>0.22</v>
      </c>
      <c r="CK7" s="728">
        <v>0.21</v>
      </c>
      <c r="CL7" s="728">
        <v>0.38</v>
      </c>
    </row>
    <row r="8" spans="1:90" ht="15" customHeight="1">
      <c r="A8" s="63">
        <f t="shared" si="8"/>
        <v>5</v>
      </c>
      <c r="B8" s="63" t="s">
        <v>1308</v>
      </c>
      <c r="C8" s="63" t="s">
        <v>1856</v>
      </c>
      <c r="D8" s="1234" t="s">
        <v>1656</v>
      </c>
      <c r="E8" s="64">
        <v>1999</v>
      </c>
      <c r="F8" s="65" t="s">
        <v>144</v>
      </c>
      <c r="G8" s="389">
        <f t="shared" si="9"/>
        <v>0.75</v>
      </c>
      <c r="H8" s="389">
        <f t="shared" si="9"/>
        <v>0.66999999999999993</v>
      </c>
      <c r="I8" s="389">
        <f t="shared" si="9"/>
        <v>0.57999999999999996</v>
      </c>
      <c r="J8" s="389">
        <f t="shared" si="9"/>
        <v>0.5</v>
      </c>
      <c r="K8" s="389">
        <f t="shared" si="9"/>
        <v>0.44</v>
      </c>
      <c r="L8" s="720">
        <v>0.06</v>
      </c>
      <c r="M8" s="63" t="s">
        <v>3155</v>
      </c>
      <c r="N8" s="440">
        <v>4.3999999999999997E-2</v>
      </c>
      <c r="O8" s="390">
        <v>6.0000000000000001E-3</v>
      </c>
      <c r="P8" s="390">
        <v>0</v>
      </c>
      <c r="Q8" s="390">
        <v>0</v>
      </c>
      <c r="R8" s="390">
        <v>0</v>
      </c>
      <c r="S8" s="63" t="str">
        <f t="shared" si="10"/>
        <v>N</v>
      </c>
      <c r="T8" s="63"/>
      <c r="U8" s="1039"/>
      <c r="V8" s="1039"/>
      <c r="W8" s="1039"/>
      <c r="X8" s="64" t="s">
        <v>2364</v>
      </c>
      <c r="Y8" s="2">
        <v>5</v>
      </c>
      <c r="Z8" s="2" t="s">
        <v>561</v>
      </c>
      <c r="AA8" s="973" t="s">
        <v>2468</v>
      </c>
      <c r="AB8" s="296">
        <v>6.0000000000000001E-3</v>
      </c>
      <c r="AC8" s="296">
        <f t="shared" si="0"/>
        <v>6.2E-2</v>
      </c>
      <c r="AD8" s="296">
        <f t="shared" si="1"/>
        <v>7.1000000000000008E-2</v>
      </c>
      <c r="AE8" s="296">
        <f t="shared" si="2"/>
        <v>7.3000000000000009E-2</v>
      </c>
      <c r="AF8" s="296">
        <f t="shared" si="3"/>
        <v>7.3000000000000009E-2</v>
      </c>
      <c r="AG8" s="296">
        <f t="shared" si="4"/>
        <v>4.7E-2</v>
      </c>
      <c r="AH8" s="296">
        <f t="shared" si="5"/>
        <v>4.9000000000000002E-2</v>
      </c>
      <c r="AI8" s="296">
        <f t="shared" si="6"/>
        <v>5.1000000000000004E-2</v>
      </c>
      <c r="AK8" s="392" t="s">
        <v>482</v>
      </c>
      <c r="AL8" s="392" t="s">
        <v>239</v>
      </c>
      <c r="AM8" s="393">
        <v>0</v>
      </c>
      <c r="AN8" s="393">
        <v>1E-3</v>
      </c>
      <c r="AO8" s="394">
        <v>0</v>
      </c>
      <c r="AP8" s="394">
        <v>0</v>
      </c>
      <c r="AQ8" s="394">
        <v>0</v>
      </c>
      <c r="AR8" s="1" t="s">
        <v>602</v>
      </c>
      <c r="AT8" s="1030" t="str">
        <f t="shared" si="7"/>
        <v>60A</v>
      </c>
      <c r="AU8" s="1247" t="s">
        <v>163</v>
      </c>
      <c r="AV8" s="1248">
        <v>60</v>
      </c>
      <c r="AW8" s="1249">
        <v>0.46000000000000008</v>
      </c>
      <c r="AY8" s="398" t="s">
        <v>151</v>
      </c>
      <c r="AZ8" s="398">
        <v>60</v>
      </c>
      <c r="BA8" s="399">
        <v>0.39</v>
      </c>
      <c r="BC8" s="727">
        <v>60</v>
      </c>
      <c r="BD8" s="728">
        <v>0.48</v>
      </c>
      <c r="BE8" s="728">
        <v>0.47</v>
      </c>
      <c r="BF8" s="728">
        <v>0.46</v>
      </c>
      <c r="BG8" s="728">
        <v>0.45</v>
      </c>
      <c r="BH8" s="728">
        <v>0.44</v>
      </c>
      <c r="BI8" s="728">
        <v>0.43</v>
      </c>
      <c r="BJ8" s="728">
        <v>0.42</v>
      </c>
      <c r="BK8" s="728">
        <v>0.41</v>
      </c>
      <c r="BL8" s="728">
        <v>0.4</v>
      </c>
      <c r="BM8" s="728">
        <v>0.39</v>
      </c>
      <c r="BN8" s="728">
        <v>0.38</v>
      </c>
      <c r="BO8" s="728">
        <v>0.37</v>
      </c>
      <c r="BP8" s="728">
        <v>0.36</v>
      </c>
      <c r="BQ8" s="728">
        <v>0.35</v>
      </c>
      <c r="BR8" s="728">
        <v>0.34</v>
      </c>
      <c r="BS8" s="728">
        <v>0.33</v>
      </c>
      <c r="BT8" s="728">
        <v>0.32</v>
      </c>
      <c r="BU8" s="728">
        <v>0.31</v>
      </c>
      <c r="BV8" s="728">
        <v>0.3</v>
      </c>
      <c r="BW8" s="728">
        <v>0.28999999999999998</v>
      </c>
      <c r="BX8" s="728">
        <v>0.28000000000000003</v>
      </c>
      <c r="BY8" s="728">
        <v>0.27</v>
      </c>
      <c r="BZ8" s="728">
        <v>0.26</v>
      </c>
      <c r="CA8" s="728">
        <v>0.25</v>
      </c>
      <c r="CB8" s="728">
        <v>0.24</v>
      </c>
      <c r="CC8" s="728">
        <v>0.23</v>
      </c>
      <c r="CD8" s="728">
        <v>0.22</v>
      </c>
      <c r="CE8" s="728">
        <v>0.21</v>
      </c>
      <c r="CF8" s="728">
        <v>0.2</v>
      </c>
      <c r="CG8" s="728">
        <v>0.19</v>
      </c>
      <c r="CH8" s="728">
        <v>0.18</v>
      </c>
      <c r="CI8" s="728">
        <v>0.17</v>
      </c>
      <c r="CJ8" s="728">
        <v>0.16</v>
      </c>
      <c r="CK8" s="728">
        <v>0.15</v>
      </c>
      <c r="CL8" s="728">
        <v>0.32</v>
      </c>
    </row>
    <row r="9" spans="1:90" ht="15" customHeight="1">
      <c r="A9" s="1236">
        <f t="shared" si="8"/>
        <v>6</v>
      </c>
      <c r="B9" s="1236" t="s">
        <v>1306</v>
      </c>
      <c r="C9" s="1236" t="s">
        <v>1856</v>
      </c>
      <c r="D9" s="1236" t="s">
        <v>3131</v>
      </c>
      <c r="E9" s="1235">
        <v>1999</v>
      </c>
      <c r="F9" s="1237" t="s">
        <v>144</v>
      </c>
      <c r="G9" s="389">
        <f t="shared" si="9"/>
        <v>0.75</v>
      </c>
      <c r="H9" s="389">
        <f t="shared" si="9"/>
        <v>0.66999999999999993</v>
      </c>
      <c r="I9" s="389">
        <f t="shared" si="9"/>
        <v>0.57999999999999996</v>
      </c>
      <c r="J9" s="389">
        <f t="shared" si="9"/>
        <v>0.5</v>
      </c>
      <c r="K9" s="389">
        <f t="shared" si="9"/>
        <v>0.44</v>
      </c>
      <c r="L9" s="720">
        <v>0.06</v>
      </c>
      <c r="M9" s="63" t="s">
        <v>3156</v>
      </c>
      <c r="N9" s="1238">
        <v>4.3999999999999997E-2</v>
      </c>
      <c r="O9" s="1239">
        <v>6.0000000000000001E-3</v>
      </c>
      <c r="P9" s="1239">
        <v>0</v>
      </c>
      <c r="Q9" s="1239">
        <v>0</v>
      </c>
      <c r="R9" s="1239">
        <v>0</v>
      </c>
      <c r="S9" s="1236" t="str">
        <f t="shared" ref="S9:S11" si="11">+IF(LEFT(D9,1)="E","Y",IF(LEFT(D9,1)="S","Y",IF(LEFT(D9,1)="X","Y","N")))</f>
        <v>N</v>
      </c>
      <c r="T9" s="1236"/>
      <c r="U9" s="1240"/>
      <c r="V9" s="1240"/>
      <c r="W9" s="1240"/>
      <c r="X9" s="64" t="s">
        <v>2364</v>
      </c>
      <c r="Y9" s="2">
        <v>6</v>
      </c>
      <c r="Z9" s="2" t="s">
        <v>153</v>
      </c>
      <c r="AA9" s="973" t="s">
        <v>2632</v>
      </c>
      <c r="AB9" s="296">
        <v>6.0000000000000001E-3</v>
      </c>
      <c r="AC9" s="296">
        <f t="shared" si="0"/>
        <v>6.4000000000000001E-2</v>
      </c>
      <c r="AD9" s="296">
        <f t="shared" si="1"/>
        <v>7.0000000000000007E-2</v>
      </c>
      <c r="AE9" s="296">
        <f t="shared" si="2"/>
        <v>7.2000000000000008E-2</v>
      </c>
      <c r="AF9" s="296">
        <f t="shared" si="3"/>
        <v>7.2000000000000008E-2</v>
      </c>
      <c r="AG9" s="296">
        <f t="shared" si="4"/>
        <v>5.3000000000000005E-2</v>
      </c>
      <c r="AH9" s="296">
        <f t="shared" si="5"/>
        <v>5.5E-2</v>
      </c>
      <c r="AI9" s="296">
        <f t="shared" si="6"/>
        <v>5.7000000000000002E-2</v>
      </c>
      <c r="AK9" s="392" t="s">
        <v>482</v>
      </c>
      <c r="AL9" s="400" t="s">
        <v>615</v>
      </c>
      <c r="AM9" s="393">
        <v>0</v>
      </c>
      <c r="AN9" s="393">
        <v>1E-3</v>
      </c>
      <c r="AO9" s="394">
        <v>0</v>
      </c>
      <c r="AP9" s="394">
        <v>0</v>
      </c>
      <c r="AQ9" s="394">
        <v>0</v>
      </c>
      <c r="AR9" s="1" t="s">
        <v>587</v>
      </c>
      <c r="AT9" s="400" t="str">
        <f t="shared" si="7"/>
        <v>12A1</v>
      </c>
      <c r="AU9" s="1250" t="s">
        <v>3154</v>
      </c>
      <c r="AV9" s="1251">
        <v>12</v>
      </c>
      <c r="AW9" s="1252">
        <v>0.77500000000000002</v>
      </c>
      <c r="AY9" s="398" t="s">
        <v>152</v>
      </c>
      <c r="AZ9" s="398">
        <v>12</v>
      </c>
      <c r="BA9" s="399">
        <v>0.67</v>
      </c>
    </row>
    <row r="10" spans="1:90" ht="15" customHeight="1">
      <c r="A10" s="1236">
        <f t="shared" si="8"/>
        <v>7</v>
      </c>
      <c r="B10" s="1236" t="s">
        <v>1306</v>
      </c>
      <c r="C10" s="1236" t="s">
        <v>1856</v>
      </c>
      <c r="D10" s="1236" t="s">
        <v>3132</v>
      </c>
      <c r="E10" s="1235">
        <v>1999</v>
      </c>
      <c r="F10" s="1237" t="s">
        <v>144</v>
      </c>
      <c r="G10" s="389">
        <f t="shared" si="9"/>
        <v>0.75</v>
      </c>
      <c r="H10" s="389">
        <f t="shared" si="9"/>
        <v>0.66999999999999993</v>
      </c>
      <c r="I10" s="389">
        <f t="shared" si="9"/>
        <v>0.57999999999999996</v>
      </c>
      <c r="J10" s="389">
        <f t="shared" si="9"/>
        <v>0.5</v>
      </c>
      <c r="K10" s="389">
        <f t="shared" si="9"/>
        <v>0.44</v>
      </c>
      <c r="L10" s="720">
        <v>0.06</v>
      </c>
      <c r="M10" s="63" t="s">
        <v>3156</v>
      </c>
      <c r="N10" s="1238">
        <v>4.3999999999999997E-2</v>
      </c>
      <c r="O10" s="1239">
        <v>6.0000000000000001E-3</v>
      </c>
      <c r="P10" s="1239">
        <v>0</v>
      </c>
      <c r="Q10" s="1239">
        <v>0</v>
      </c>
      <c r="R10" s="1239">
        <v>0</v>
      </c>
      <c r="S10" s="1236" t="str">
        <f t="shared" si="11"/>
        <v>N</v>
      </c>
      <c r="T10" s="1236"/>
      <c r="U10" s="1240"/>
      <c r="V10" s="1240"/>
      <c r="W10" s="1240"/>
      <c r="X10" s="64" t="s">
        <v>2364</v>
      </c>
      <c r="Y10" s="2">
        <v>7</v>
      </c>
      <c r="Z10" s="2" t="s">
        <v>154</v>
      </c>
      <c r="AA10" s="973" t="s">
        <v>152</v>
      </c>
      <c r="AB10" s="296">
        <v>6.0000000000000001E-3</v>
      </c>
      <c r="AC10" s="296">
        <f t="shared" si="0"/>
        <v>0.06</v>
      </c>
      <c r="AD10" s="296">
        <f t="shared" si="1"/>
        <v>6.4500000000000002E-2</v>
      </c>
      <c r="AE10" s="296">
        <f t="shared" si="2"/>
        <v>7.1000000000000008E-2</v>
      </c>
      <c r="AF10" s="296">
        <f t="shared" si="3"/>
        <v>6.6500000000000004E-2</v>
      </c>
      <c r="AG10" s="296">
        <f t="shared" si="4"/>
        <v>4.7E-2</v>
      </c>
      <c r="AH10" s="296">
        <f t="shared" si="5"/>
        <v>4.9000000000000002E-2</v>
      </c>
      <c r="AI10" s="296">
        <f t="shared" si="6"/>
        <v>5.1000000000000004E-2</v>
      </c>
      <c r="AK10" s="392" t="s">
        <v>482</v>
      </c>
      <c r="AL10" s="400" t="s">
        <v>565</v>
      </c>
      <c r="AM10" s="393">
        <v>0</v>
      </c>
      <c r="AN10" s="394">
        <v>6.0000000000000001E-3</v>
      </c>
      <c r="AO10" s="394">
        <v>0</v>
      </c>
      <c r="AP10" s="394">
        <v>0</v>
      </c>
      <c r="AQ10" s="394">
        <v>0</v>
      </c>
      <c r="AR10" s="1" t="s">
        <v>604</v>
      </c>
      <c r="AT10" s="400" t="str">
        <f t="shared" ref="AT10:AT88" si="12">AV10&amp;AU10</f>
        <v>24A1</v>
      </c>
      <c r="AU10" s="1253" t="s">
        <v>3154</v>
      </c>
      <c r="AV10" s="1254">
        <v>24</v>
      </c>
      <c r="AW10" s="1255">
        <v>0.69499999999999995</v>
      </c>
      <c r="AY10" s="398" t="s">
        <v>152</v>
      </c>
      <c r="AZ10" s="398">
        <v>24</v>
      </c>
      <c r="BA10" s="399">
        <v>0.59</v>
      </c>
      <c r="CJ10"/>
    </row>
    <row r="11" spans="1:90" ht="15" customHeight="1">
      <c r="A11" s="63">
        <f t="shared" si="8"/>
        <v>8</v>
      </c>
      <c r="B11" s="63" t="s">
        <v>1306</v>
      </c>
      <c r="C11" s="63" t="s">
        <v>1856</v>
      </c>
      <c r="D11" s="63" t="s">
        <v>2162</v>
      </c>
      <c r="E11" s="64">
        <v>1991</v>
      </c>
      <c r="F11" s="65" t="s">
        <v>144</v>
      </c>
      <c r="G11" s="389">
        <f t="shared" si="9"/>
        <v>0.7</v>
      </c>
      <c r="H11" s="389">
        <f t="shared" si="9"/>
        <v>0.62</v>
      </c>
      <c r="I11" s="389">
        <f t="shared" si="9"/>
        <v>0.52999999999999992</v>
      </c>
      <c r="J11" s="389">
        <f t="shared" si="9"/>
        <v>0.45</v>
      </c>
      <c r="K11" s="389">
        <f t="shared" si="9"/>
        <v>0.39</v>
      </c>
      <c r="L11" s="720">
        <v>0.06</v>
      </c>
      <c r="M11" s="63" t="s">
        <v>322</v>
      </c>
      <c r="N11" s="440">
        <v>4.3999999999999997E-2</v>
      </c>
      <c r="O11" s="390">
        <v>6.0000000000000001E-3</v>
      </c>
      <c r="P11" s="390">
        <v>0</v>
      </c>
      <c r="Q11" s="390">
        <v>0</v>
      </c>
      <c r="R11" s="390">
        <v>0</v>
      </c>
      <c r="S11" s="63" t="str">
        <f t="shared" si="11"/>
        <v>N</v>
      </c>
      <c r="T11" s="63"/>
      <c r="U11" s="1039"/>
      <c r="V11" s="1039"/>
      <c r="W11" s="1039"/>
      <c r="X11" s="64" t="s">
        <v>2364</v>
      </c>
      <c r="Y11" s="2">
        <v>8</v>
      </c>
      <c r="Z11" s="2" t="s">
        <v>155</v>
      </c>
      <c r="AA11" s="973" t="s">
        <v>2470</v>
      </c>
      <c r="AB11" s="296">
        <v>6.0000000000000001E-3</v>
      </c>
      <c r="AC11" s="296">
        <f t="shared" si="0"/>
        <v>6.2E-2</v>
      </c>
      <c r="AD11" s="296">
        <f t="shared" si="1"/>
        <v>7.1000000000000008E-2</v>
      </c>
      <c r="AE11" s="296">
        <f t="shared" si="2"/>
        <v>7.3000000000000009E-2</v>
      </c>
      <c r="AF11" s="296">
        <f t="shared" si="3"/>
        <v>7.3000000000000009E-2</v>
      </c>
      <c r="AG11" s="296">
        <f t="shared" si="4"/>
        <v>4.7E-2</v>
      </c>
      <c r="AH11" s="296">
        <f t="shared" si="5"/>
        <v>4.9000000000000002E-2</v>
      </c>
      <c r="AI11" s="296">
        <f t="shared" si="6"/>
        <v>5.1000000000000004E-2</v>
      </c>
      <c r="AK11" s="401" t="s">
        <v>269</v>
      </c>
      <c r="AL11" s="401" t="s">
        <v>270</v>
      </c>
      <c r="AM11" s="402">
        <v>0</v>
      </c>
      <c r="AN11" s="402">
        <v>2E-3</v>
      </c>
      <c r="AO11" s="403">
        <v>0</v>
      </c>
      <c r="AP11" s="403">
        <v>0</v>
      </c>
      <c r="AQ11" s="403">
        <v>0</v>
      </c>
      <c r="AR11" s="1" t="s">
        <v>609</v>
      </c>
      <c r="AT11" s="400" t="str">
        <f t="shared" si="12"/>
        <v>36A1</v>
      </c>
      <c r="AU11" s="1253" t="s">
        <v>3154</v>
      </c>
      <c r="AV11" s="1254">
        <v>36</v>
      </c>
      <c r="AW11" s="1255">
        <v>0.60499999999999998</v>
      </c>
      <c r="AY11" s="398" t="s">
        <v>152</v>
      </c>
      <c r="AZ11" s="398">
        <v>36</v>
      </c>
      <c r="BA11" s="399">
        <v>0.49</v>
      </c>
      <c r="BT11" s="728">
        <v>0.46</v>
      </c>
      <c r="BV11" s="728">
        <v>0.44</v>
      </c>
    </row>
    <row r="12" spans="1:90" ht="15" customHeight="1">
      <c r="A12" s="63">
        <f t="shared" si="8"/>
        <v>9</v>
      </c>
      <c r="B12" s="63" t="s">
        <v>1306</v>
      </c>
      <c r="C12" s="63" t="s">
        <v>1856</v>
      </c>
      <c r="D12" s="1234" t="s">
        <v>2590</v>
      </c>
      <c r="E12" s="64">
        <v>1999</v>
      </c>
      <c r="F12" s="65" t="s">
        <v>144</v>
      </c>
      <c r="G12" s="389">
        <f t="shared" si="9"/>
        <v>0.76</v>
      </c>
      <c r="H12" s="389">
        <f t="shared" si="9"/>
        <v>0.67999999999999994</v>
      </c>
      <c r="I12" s="389">
        <f t="shared" si="9"/>
        <v>0.59</v>
      </c>
      <c r="J12" s="389">
        <f t="shared" si="9"/>
        <v>0.51</v>
      </c>
      <c r="K12" s="389">
        <f t="shared" si="9"/>
        <v>0.44999999999999996</v>
      </c>
      <c r="L12" s="720">
        <v>0.06</v>
      </c>
      <c r="M12" s="63" t="s">
        <v>159</v>
      </c>
      <c r="N12" s="440">
        <v>4.3999999999999997E-2</v>
      </c>
      <c r="O12" s="390">
        <v>6.0000000000000001E-3</v>
      </c>
      <c r="P12" s="390">
        <v>0</v>
      </c>
      <c r="Q12" s="390">
        <v>0</v>
      </c>
      <c r="R12" s="390">
        <v>0</v>
      </c>
      <c r="S12" s="63" t="str">
        <f t="shared" si="10"/>
        <v>N</v>
      </c>
      <c r="T12" s="63"/>
      <c r="U12" s="1039"/>
      <c r="V12" s="1039"/>
      <c r="W12" s="1039"/>
      <c r="X12" s="64" t="s">
        <v>2364</v>
      </c>
      <c r="Y12" s="2">
        <v>9</v>
      </c>
      <c r="Z12" s="2" t="s">
        <v>156</v>
      </c>
      <c r="AA12" s="973" t="s">
        <v>186</v>
      </c>
      <c r="AB12" s="296">
        <v>6.0000000000000001E-3</v>
      </c>
      <c r="AC12" s="296">
        <f t="shared" si="0"/>
        <v>6.2E-2</v>
      </c>
      <c r="AD12" s="296">
        <f t="shared" si="1"/>
        <v>7.1000000000000008E-2</v>
      </c>
      <c r="AE12" s="296">
        <f t="shared" si="2"/>
        <v>7.3000000000000009E-2</v>
      </c>
      <c r="AF12" s="296">
        <f t="shared" si="3"/>
        <v>7.3000000000000009E-2</v>
      </c>
      <c r="AG12" s="296">
        <f t="shared" si="4"/>
        <v>4.7E-2</v>
      </c>
      <c r="AH12" s="296">
        <f t="shared" si="5"/>
        <v>4.9000000000000002E-2</v>
      </c>
      <c r="AI12" s="296">
        <f t="shared" si="6"/>
        <v>5.1000000000000004E-2</v>
      </c>
      <c r="AK12" s="401" t="s">
        <v>269</v>
      </c>
      <c r="AL12" s="404" t="s">
        <v>1488</v>
      </c>
      <c r="AM12" s="402">
        <v>0</v>
      </c>
      <c r="AN12" s="402">
        <v>2E-3</v>
      </c>
      <c r="AO12" s="403">
        <v>0</v>
      </c>
      <c r="AP12" s="403">
        <v>0</v>
      </c>
      <c r="AQ12" s="403">
        <v>0</v>
      </c>
      <c r="AR12" s="1" t="s">
        <v>582</v>
      </c>
      <c r="AT12" s="400" t="str">
        <f t="shared" si="12"/>
        <v>48A1</v>
      </c>
      <c r="AU12" s="1253" t="s">
        <v>3154</v>
      </c>
      <c r="AV12" s="1254">
        <v>48</v>
      </c>
      <c r="AW12" s="1255">
        <v>0.52500000000000002</v>
      </c>
      <c r="AY12" s="398" t="s">
        <v>152</v>
      </c>
      <c r="AZ12" s="398">
        <v>48</v>
      </c>
      <c r="BA12" s="399">
        <v>0.43</v>
      </c>
      <c r="BT12" s="728">
        <v>0.38</v>
      </c>
      <c r="BV12" s="728">
        <v>0.36</v>
      </c>
    </row>
    <row r="13" spans="1:90" ht="15" customHeight="1">
      <c r="A13" s="63">
        <f t="shared" si="8"/>
        <v>10</v>
      </c>
      <c r="B13" s="63" t="s">
        <v>1308</v>
      </c>
      <c r="C13" s="63" t="s">
        <v>1856</v>
      </c>
      <c r="D13" s="63" t="s">
        <v>2163</v>
      </c>
      <c r="E13" s="64">
        <v>1991</v>
      </c>
      <c r="F13" s="65" t="s">
        <v>144</v>
      </c>
      <c r="G13" s="389">
        <f t="shared" si="9"/>
        <v>0.73</v>
      </c>
      <c r="H13" s="389">
        <f t="shared" si="9"/>
        <v>0.65</v>
      </c>
      <c r="I13" s="389">
        <f t="shared" si="9"/>
        <v>0.55999999999999994</v>
      </c>
      <c r="J13" s="389">
        <f t="shared" si="9"/>
        <v>0.48</v>
      </c>
      <c r="K13" s="389">
        <f t="shared" si="9"/>
        <v>0.42000000000000004</v>
      </c>
      <c r="L13" s="720">
        <v>0.06</v>
      </c>
      <c r="M13" s="63" t="s">
        <v>176</v>
      </c>
      <c r="N13" s="440">
        <v>4.3999999999999997E-2</v>
      </c>
      <c r="O13" s="390">
        <v>6.0000000000000001E-3</v>
      </c>
      <c r="P13" s="390">
        <v>0</v>
      </c>
      <c r="Q13" s="390">
        <v>0</v>
      </c>
      <c r="R13" s="390">
        <v>0</v>
      </c>
      <c r="S13" s="63" t="str">
        <f t="shared" si="10"/>
        <v>N</v>
      </c>
      <c r="T13" s="63"/>
      <c r="U13" s="1039"/>
      <c r="V13" s="1039"/>
      <c r="W13" s="1039"/>
      <c r="X13" s="64" t="s">
        <v>2364</v>
      </c>
      <c r="Y13" s="2">
        <v>10</v>
      </c>
      <c r="Z13" s="2" t="s">
        <v>157</v>
      </c>
      <c r="AA13" s="973" t="s">
        <v>2633</v>
      </c>
      <c r="AB13" s="296">
        <v>6.0000000000000001E-3</v>
      </c>
      <c r="AC13" s="296">
        <f t="shared" si="0"/>
        <v>6.4000000000000001E-2</v>
      </c>
      <c r="AD13" s="296">
        <f t="shared" si="1"/>
        <v>7.0000000000000007E-2</v>
      </c>
      <c r="AE13" s="296">
        <f t="shared" si="2"/>
        <v>7.2000000000000008E-2</v>
      </c>
      <c r="AF13" s="296">
        <f t="shared" si="3"/>
        <v>7.2000000000000008E-2</v>
      </c>
      <c r="AG13" s="296">
        <f t="shared" si="4"/>
        <v>5.3000000000000005E-2</v>
      </c>
      <c r="AH13" s="296">
        <f t="shared" si="5"/>
        <v>5.5E-2</v>
      </c>
      <c r="AI13" s="296">
        <f t="shared" si="6"/>
        <v>5.7000000000000002E-2</v>
      </c>
      <c r="AK13" s="401" t="s">
        <v>269</v>
      </c>
      <c r="AL13" s="404" t="s">
        <v>1130</v>
      </c>
      <c r="AM13" s="402">
        <v>0</v>
      </c>
      <c r="AN13" s="402">
        <v>6.0000000000000001E-3</v>
      </c>
      <c r="AO13" s="403">
        <v>0</v>
      </c>
      <c r="AP13" s="403">
        <v>0</v>
      </c>
      <c r="AQ13" s="403">
        <v>0</v>
      </c>
      <c r="AR13" s="1" t="s">
        <v>476</v>
      </c>
      <c r="AT13" s="1030" t="str">
        <f t="shared" si="12"/>
        <v>60A1</v>
      </c>
      <c r="AU13" s="1256" t="s">
        <v>3154</v>
      </c>
      <c r="AV13" s="1257">
        <v>60</v>
      </c>
      <c r="AW13" s="1258">
        <v>0.46499999999999997</v>
      </c>
      <c r="AY13" s="398" t="s">
        <v>152</v>
      </c>
      <c r="AZ13" s="398">
        <v>60</v>
      </c>
      <c r="BA13" s="399">
        <v>0.37</v>
      </c>
      <c r="BT13" s="728">
        <v>0.32</v>
      </c>
      <c r="BV13" s="728">
        <v>0.3</v>
      </c>
    </row>
    <row r="14" spans="1:90" ht="15" customHeight="1">
      <c r="A14" s="63">
        <f t="shared" si="8"/>
        <v>11</v>
      </c>
      <c r="B14" s="63" t="s">
        <v>1308</v>
      </c>
      <c r="C14" s="63" t="s">
        <v>1856</v>
      </c>
      <c r="D14" s="1234" t="s">
        <v>2164</v>
      </c>
      <c r="E14" s="64">
        <v>1991</v>
      </c>
      <c r="F14" s="65" t="s">
        <v>144</v>
      </c>
      <c r="G14" s="389">
        <f t="shared" si="9"/>
        <v>0.74</v>
      </c>
      <c r="H14" s="389">
        <f t="shared" si="9"/>
        <v>0.66</v>
      </c>
      <c r="I14" s="389">
        <f t="shared" si="9"/>
        <v>0.56999999999999995</v>
      </c>
      <c r="J14" s="389">
        <f t="shared" si="9"/>
        <v>0.49</v>
      </c>
      <c r="K14" s="389">
        <f t="shared" si="9"/>
        <v>0.43000000000000005</v>
      </c>
      <c r="L14" s="720">
        <v>0.06</v>
      </c>
      <c r="M14" s="63" t="s">
        <v>170</v>
      </c>
      <c r="N14" s="440">
        <v>4.3999999999999997E-2</v>
      </c>
      <c r="O14" s="390">
        <v>6.0000000000000001E-3</v>
      </c>
      <c r="P14" s="390">
        <v>0</v>
      </c>
      <c r="Q14" s="390">
        <v>0</v>
      </c>
      <c r="R14" s="390">
        <v>0</v>
      </c>
      <c r="S14" s="63" t="str">
        <f t="shared" si="10"/>
        <v>N</v>
      </c>
      <c r="T14" s="63"/>
      <c r="U14" s="1039"/>
      <c r="V14" s="1039"/>
      <c r="W14" s="1039"/>
      <c r="X14" s="64" t="s">
        <v>2364</v>
      </c>
      <c r="Y14" s="2">
        <v>11</v>
      </c>
      <c r="Z14" s="2" t="s">
        <v>160</v>
      </c>
      <c r="AA14" s="973" t="s">
        <v>148</v>
      </c>
      <c r="AB14" s="296">
        <v>6.0000000000000001E-3</v>
      </c>
      <c r="AC14" s="296">
        <f t="shared" si="0"/>
        <v>6.4000000000000001E-2</v>
      </c>
      <c r="AD14" s="296">
        <f t="shared" si="1"/>
        <v>7.0000000000000007E-2</v>
      </c>
      <c r="AE14" s="296">
        <f t="shared" si="2"/>
        <v>7.2000000000000008E-2</v>
      </c>
      <c r="AF14" s="296">
        <f t="shared" si="3"/>
        <v>7.2000000000000008E-2</v>
      </c>
      <c r="AG14" s="296">
        <f t="shared" si="4"/>
        <v>5.3000000000000005E-2</v>
      </c>
      <c r="AH14" s="296">
        <f t="shared" si="5"/>
        <v>5.5E-2</v>
      </c>
      <c r="AI14" s="296">
        <f t="shared" si="6"/>
        <v>5.7000000000000002E-2</v>
      </c>
      <c r="AK14" s="405" t="s">
        <v>224</v>
      </c>
      <c r="AL14" s="405" t="s">
        <v>226</v>
      </c>
      <c r="AM14" s="406">
        <v>0</v>
      </c>
      <c r="AN14" s="406">
        <v>2E-3</v>
      </c>
      <c r="AO14" s="407">
        <v>0</v>
      </c>
      <c r="AP14" s="407">
        <v>0</v>
      </c>
      <c r="AQ14" s="407"/>
      <c r="AR14" s="1" t="s">
        <v>595</v>
      </c>
      <c r="AT14" s="400" t="str">
        <f t="shared" si="12"/>
        <v>12B</v>
      </c>
      <c r="AU14" s="1250" t="s">
        <v>159</v>
      </c>
      <c r="AV14" s="1251">
        <v>12</v>
      </c>
      <c r="AW14" s="1252">
        <v>0.76</v>
      </c>
      <c r="AY14" s="398" t="s">
        <v>159</v>
      </c>
      <c r="AZ14" s="398">
        <v>12</v>
      </c>
      <c r="BA14" s="399">
        <v>0.65</v>
      </c>
    </row>
    <row r="15" spans="1:90" ht="15" customHeight="1">
      <c r="A15" s="63">
        <f t="shared" si="8"/>
        <v>12</v>
      </c>
      <c r="B15" s="63" t="s">
        <v>1306</v>
      </c>
      <c r="C15" s="63" t="s">
        <v>1856</v>
      </c>
      <c r="D15" s="1234" t="s">
        <v>2679</v>
      </c>
      <c r="E15" s="64">
        <v>1999</v>
      </c>
      <c r="F15" s="65" t="s">
        <v>144</v>
      </c>
      <c r="G15" s="389">
        <f t="shared" si="9"/>
        <v>0.73</v>
      </c>
      <c r="H15" s="389">
        <f t="shared" si="9"/>
        <v>0.65</v>
      </c>
      <c r="I15" s="389">
        <f t="shared" si="9"/>
        <v>0.55999999999999994</v>
      </c>
      <c r="J15" s="389">
        <f t="shared" si="9"/>
        <v>0.48</v>
      </c>
      <c r="K15" s="389">
        <f t="shared" si="9"/>
        <v>0.42000000000000004</v>
      </c>
      <c r="L15" s="720">
        <v>0.06</v>
      </c>
      <c r="M15" s="63" t="s">
        <v>176</v>
      </c>
      <c r="N15" s="440">
        <v>4.3999999999999997E-2</v>
      </c>
      <c r="O15" s="390">
        <v>6.0000000000000001E-3</v>
      </c>
      <c r="P15" s="390">
        <v>0</v>
      </c>
      <c r="Q15" s="390">
        <v>0</v>
      </c>
      <c r="R15" s="390">
        <v>0</v>
      </c>
      <c r="S15" s="63" t="str">
        <f t="shared" ref="S15:S18" si="13">+IF(LEFT(D15,1)="E","Y",IF(LEFT(D15,1)="S","Y",IF(LEFT(D15,1)="X","Y","N")))</f>
        <v>N</v>
      </c>
      <c r="T15" s="63"/>
      <c r="U15" s="1039"/>
      <c r="V15" s="1039"/>
      <c r="W15" s="1039"/>
      <c r="X15" s="64" t="s">
        <v>2364</v>
      </c>
      <c r="Y15" s="2">
        <v>12</v>
      </c>
      <c r="Z15" s="2" t="s">
        <v>161</v>
      </c>
      <c r="AA15" s="973" t="s">
        <v>186</v>
      </c>
      <c r="AB15" s="296">
        <v>6.0000000000000001E-3</v>
      </c>
      <c r="AC15" s="296">
        <f t="shared" si="0"/>
        <v>6.2E-2</v>
      </c>
      <c r="AD15" s="296">
        <f t="shared" si="1"/>
        <v>7.1000000000000008E-2</v>
      </c>
      <c r="AE15" s="296">
        <f t="shared" si="2"/>
        <v>7.3000000000000009E-2</v>
      </c>
      <c r="AF15" s="296">
        <f t="shared" si="3"/>
        <v>7.3000000000000009E-2</v>
      </c>
      <c r="AG15" s="296">
        <f t="shared" si="4"/>
        <v>4.7E-2</v>
      </c>
      <c r="AH15" s="296">
        <f t="shared" si="5"/>
        <v>4.9000000000000002E-2</v>
      </c>
      <c r="AI15" s="296">
        <f t="shared" si="6"/>
        <v>5.1000000000000004E-2</v>
      </c>
      <c r="AK15" s="405" t="s">
        <v>224</v>
      </c>
      <c r="AL15" s="408" t="s">
        <v>566</v>
      </c>
      <c r="AM15" s="406">
        <v>0</v>
      </c>
      <c r="AN15" s="406">
        <v>6.0000000000000001E-3</v>
      </c>
      <c r="AO15" s="407"/>
      <c r="AP15" s="407"/>
      <c r="AQ15" s="407"/>
      <c r="AT15" s="400" t="str">
        <f t="shared" si="12"/>
        <v>24B</v>
      </c>
      <c r="AU15" s="1253" t="s">
        <v>159</v>
      </c>
      <c r="AV15" s="1254">
        <v>24</v>
      </c>
      <c r="AW15" s="1255">
        <v>0.67999999999999994</v>
      </c>
      <c r="AY15" s="398" t="s">
        <v>159</v>
      </c>
      <c r="AZ15" s="398">
        <v>24</v>
      </c>
      <c r="BA15" s="399">
        <v>0.56999999999999995</v>
      </c>
    </row>
    <row r="16" spans="1:90" ht="15" customHeight="1">
      <c r="A16" s="63">
        <f t="shared" si="8"/>
        <v>13</v>
      </c>
      <c r="B16" s="63" t="s">
        <v>1306</v>
      </c>
      <c r="C16" s="63" t="s">
        <v>1856</v>
      </c>
      <c r="D16" s="1234" t="s">
        <v>2680</v>
      </c>
      <c r="E16" s="64">
        <v>2999</v>
      </c>
      <c r="F16" s="65" t="s">
        <v>144</v>
      </c>
      <c r="G16" s="389">
        <f t="shared" si="9"/>
        <v>0.73</v>
      </c>
      <c r="H16" s="389">
        <f t="shared" si="9"/>
        <v>0.65</v>
      </c>
      <c r="I16" s="389">
        <f t="shared" si="9"/>
        <v>0.55999999999999994</v>
      </c>
      <c r="J16" s="389">
        <f t="shared" si="9"/>
        <v>0.48</v>
      </c>
      <c r="K16" s="389">
        <f t="shared" si="9"/>
        <v>0.42000000000000004</v>
      </c>
      <c r="L16" s="720">
        <v>0.06</v>
      </c>
      <c r="M16" s="63" t="s">
        <v>176</v>
      </c>
      <c r="N16" s="440">
        <v>4.3999999999999997E-2</v>
      </c>
      <c r="O16" s="390">
        <v>6.0000000000000001E-3</v>
      </c>
      <c r="P16" s="390">
        <v>0</v>
      </c>
      <c r="Q16" s="390">
        <v>0</v>
      </c>
      <c r="R16" s="390">
        <v>0</v>
      </c>
      <c r="S16" s="63" t="str">
        <f t="shared" si="13"/>
        <v>N</v>
      </c>
      <c r="T16" s="63"/>
      <c r="U16" s="1039"/>
      <c r="V16" s="1039"/>
      <c r="W16" s="1039"/>
      <c r="X16" s="64" t="s">
        <v>2364</v>
      </c>
      <c r="Y16" s="2">
        <v>13</v>
      </c>
      <c r="Z16" s="2" t="s">
        <v>162</v>
      </c>
      <c r="AA16" s="973" t="s">
        <v>2634</v>
      </c>
      <c r="AB16" s="296">
        <v>6.0000000000000001E-3</v>
      </c>
      <c r="AC16" s="296">
        <f t="shared" si="0"/>
        <v>6.4000000000000001E-2</v>
      </c>
      <c r="AD16" s="296">
        <f t="shared" si="1"/>
        <v>7.0000000000000007E-2</v>
      </c>
      <c r="AE16" s="296">
        <f t="shared" si="2"/>
        <v>7.2000000000000008E-2</v>
      </c>
      <c r="AF16" s="296">
        <f t="shared" si="3"/>
        <v>7.2000000000000008E-2</v>
      </c>
      <c r="AG16" s="296">
        <f t="shared" si="4"/>
        <v>5.3000000000000005E-2</v>
      </c>
      <c r="AH16" s="296">
        <f t="shared" si="5"/>
        <v>5.5E-2</v>
      </c>
      <c r="AI16" s="296">
        <f t="shared" si="6"/>
        <v>5.7000000000000002E-2</v>
      </c>
      <c r="AK16" s="409" t="s">
        <v>227</v>
      </c>
      <c r="AL16" s="409" t="s">
        <v>229</v>
      </c>
      <c r="AM16" s="410">
        <v>0</v>
      </c>
      <c r="AN16" s="410">
        <v>6.0000000000000001E-3</v>
      </c>
      <c r="AO16" s="411"/>
      <c r="AP16" s="411"/>
      <c r="AQ16" s="411"/>
      <c r="AT16" s="400" t="str">
        <f t="shared" si="12"/>
        <v>36B</v>
      </c>
      <c r="AU16" s="1253" t="s">
        <v>159</v>
      </c>
      <c r="AV16" s="1254">
        <v>36</v>
      </c>
      <c r="AW16" s="1255">
        <v>0.59</v>
      </c>
      <c r="AY16" s="398" t="s">
        <v>159</v>
      </c>
      <c r="AZ16" s="398">
        <v>36</v>
      </c>
      <c r="BA16" s="399">
        <v>0.46</v>
      </c>
      <c r="BS16" s="431">
        <v>0.02</v>
      </c>
      <c r="BT16" s="439">
        <f>+BT11+$BS$16+$BS$17</f>
        <v>0.53</v>
      </c>
      <c r="BV16" s="439">
        <f>+BV11+$BS$16+$BS$17</f>
        <v>0.51</v>
      </c>
    </row>
    <row r="17" spans="1:90" ht="15" customHeight="1">
      <c r="A17" s="1236">
        <f t="shared" si="8"/>
        <v>14</v>
      </c>
      <c r="B17" s="1236" t="s">
        <v>1306</v>
      </c>
      <c r="C17" s="1236" t="s">
        <v>1856</v>
      </c>
      <c r="D17" s="1236" t="s">
        <v>3128</v>
      </c>
      <c r="E17" s="1235">
        <v>1999</v>
      </c>
      <c r="F17" s="1237" t="s">
        <v>3130</v>
      </c>
      <c r="G17" s="389">
        <f t="shared" si="9"/>
        <v>0.73</v>
      </c>
      <c r="H17" s="389">
        <f t="shared" si="9"/>
        <v>0.65</v>
      </c>
      <c r="I17" s="389">
        <f t="shared" si="9"/>
        <v>0.55999999999999994</v>
      </c>
      <c r="J17" s="389">
        <f t="shared" si="9"/>
        <v>0.48</v>
      </c>
      <c r="K17" s="389">
        <f t="shared" si="9"/>
        <v>0.42000000000000004</v>
      </c>
      <c r="L17" s="720">
        <v>0.06</v>
      </c>
      <c r="M17" s="63" t="s">
        <v>3157</v>
      </c>
      <c r="N17" s="440">
        <v>4.3999999999999997E-2</v>
      </c>
      <c r="O17" s="390">
        <v>6.0000000000000001E-3</v>
      </c>
      <c r="P17" s="390">
        <v>0</v>
      </c>
      <c r="Q17" s="390">
        <v>0</v>
      </c>
      <c r="R17" s="390">
        <v>0</v>
      </c>
      <c r="S17" s="1236" t="str">
        <f t="shared" si="13"/>
        <v>N</v>
      </c>
      <c r="T17" s="1236"/>
      <c r="U17" s="1240"/>
      <c r="V17" s="1240"/>
      <c r="W17" s="1240"/>
      <c r="X17" s="64" t="s">
        <v>2364</v>
      </c>
      <c r="Y17" s="2">
        <v>14</v>
      </c>
      <c r="Z17" s="2" t="s">
        <v>164</v>
      </c>
      <c r="AA17" s="973" t="s">
        <v>2635</v>
      </c>
      <c r="AB17" s="296">
        <v>6.0000000000000001E-3</v>
      </c>
      <c r="AC17" s="296">
        <f t="shared" si="0"/>
        <v>6.4000000000000001E-2</v>
      </c>
      <c r="AD17" s="296">
        <f t="shared" si="1"/>
        <v>7.0000000000000007E-2</v>
      </c>
      <c r="AE17" s="296">
        <f t="shared" si="2"/>
        <v>7.2000000000000008E-2</v>
      </c>
      <c r="AF17" s="296">
        <f t="shared" si="3"/>
        <v>7.2000000000000008E-2</v>
      </c>
      <c r="AG17" s="296">
        <f t="shared" si="4"/>
        <v>5.3000000000000005E-2</v>
      </c>
      <c r="AH17" s="296">
        <f t="shared" si="5"/>
        <v>5.5E-2</v>
      </c>
      <c r="AI17" s="296">
        <f t="shared" si="6"/>
        <v>5.7000000000000002E-2</v>
      </c>
      <c r="AK17" s="409" t="s">
        <v>554</v>
      </c>
      <c r="AL17" s="412" t="s">
        <v>567</v>
      </c>
      <c r="AM17" s="410">
        <v>0</v>
      </c>
      <c r="AN17" s="410">
        <v>6.0000000000000001E-3</v>
      </c>
      <c r="AO17" s="411"/>
      <c r="AP17" s="411"/>
      <c r="AQ17" s="411"/>
      <c r="AT17" s="400" t="str">
        <f t="shared" si="12"/>
        <v>48B</v>
      </c>
      <c r="AU17" s="1253" t="s">
        <v>159</v>
      </c>
      <c r="AV17" s="1254">
        <v>48</v>
      </c>
      <c r="AW17" s="1255">
        <v>0.51</v>
      </c>
      <c r="AY17" s="398" t="s">
        <v>159</v>
      </c>
      <c r="AZ17" s="398">
        <v>48</v>
      </c>
      <c r="BA17" s="399">
        <v>0.41</v>
      </c>
      <c r="BS17" s="431">
        <v>0.05</v>
      </c>
      <c r="BT17" s="439">
        <f>+BT12+$BS$16+$BS$17</f>
        <v>0.45</v>
      </c>
      <c r="BV17" s="439">
        <f>+BV12+$BS$16+$BS$17</f>
        <v>0.43</v>
      </c>
    </row>
    <row r="18" spans="1:90" ht="15" customHeight="1">
      <c r="A18" s="1236">
        <f t="shared" si="8"/>
        <v>15</v>
      </c>
      <c r="B18" s="1236" t="s">
        <v>1306</v>
      </c>
      <c r="C18" s="1236" t="s">
        <v>1856</v>
      </c>
      <c r="D18" s="1236" t="s">
        <v>3129</v>
      </c>
      <c r="E18" s="1235">
        <v>2999</v>
      </c>
      <c r="F18" s="1237" t="s">
        <v>3130</v>
      </c>
      <c r="G18" s="389">
        <f t="shared" si="9"/>
        <v>0.73</v>
      </c>
      <c r="H18" s="389">
        <f t="shared" si="9"/>
        <v>0.65</v>
      </c>
      <c r="I18" s="389">
        <f t="shared" si="9"/>
        <v>0.55999999999999994</v>
      </c>
      <c r="J18" s="389">
        <f t="shared" si="9"/>
        <v>0.48</v>
      </c>
      <c r="K18" s="389">
        <f t="shared" si="9"/>
        <v>0.42000000000000004</v>
      </c>
      <c r="L18" s="720">
        <v>0.06</v>
      </c>
      <c r="M18" s="63" t="s">
        <v>3158</v>
      </c>
      <c r="N18" s="440">
        <v>4.3999999999999997E-2</v>
      </c>
      <c r="O18" s="390">
        <v>6.0000000000000001E-3</v>
      </c>
      <c r="P18" s="390">
        <v>0</v>
      </c>
      <c r="Q18" s="390">
        <v>0</v>
      </c>
      <c r="R18" s="390">
        <v>0</v>
      </c>
      <c r="S18" s="1236" t="str">
        <f t="shared" si="13"/>
        <v>N</v>
      </c>
      <c r="T18" s="1236"/>
      <c r="U18" s="1240"/>
      <c r="V18" s="1240"/>
      <c r="W18" s="1240"/>
      <c r="X18" s="64" t="s">
        <v>2364</v>
      </c>
      <c r="Y18" s="2">
        <v>15</v>
      </c>
      <c r="Z18" s="2" t="s">
        <v>165</v>
      </c>
      <c r="AA18" s="973" t="s">
        <v>2636</v>
      </c>
      <c r="AB18" s="296">
        <v>6.0000000000000001E-3</v>
      </c>
      <c r="AC18" s="296">
        <f t="shared" si="0"/>
        <v>6.4000000000000001E-2</v>
      </c>
      <c r="AD18" s="296">
        <f t="shared" si="1"/>
        <v>7.0000000000000007E-2</v>
      </c>
      <c r="AE18" s="296">
        <f t="shared" si="2"/>
        <v>7.2000000000000008E-2</v>
      </c>
      <c r="AF18" s="296">
        <f t="shared" si="3"/>
        <v>7.2000000000000008E-2</v>
      </c>
      <c r="AG18" s="296">
        <f t="shared" si="4"/>
        <v>5.3000000000000005E-2</v>
      </c>
      <c r="AH18" s="296">
        <f t="shared" si="5"/>
        <v>5.5E-2</v>
      </c>
      <c r="AI18" s="296">
        <f t="shared" si="6"/>
        <v>5.7000000000000002E-2</v>
      </c>
      <c r="AK18" s="413" t="s">
        <v>230</v>
      </c>
      <c r="AL18" s="413" t="s">
        <v>234</v>
      </c>
      <c r="AM18" s="414">
        <v>0</v>
      </c>
      <c r="AN18" s="414">
        <v>6.0000000000000001E-3</v>
      </c>
      <c r="AO18" s="415"/>
      <c r="AP18" s="415"/>
      <c r="AQ18" s="415"/>
      <c r="AT18" s="1030" t="str">
        <f t="shared" si="12"/>
        <v>60B</v>
      </c>
      <c r="AU18" s="1256" t="s">
        <v>159</v>
      </c>
      <c r="AV18" s="1257">
        <v>60</v>
      </c>
      <c r="AW18" s="1258">
        <v>0.44999999999999996</v>
      </c>
      <c r="AY18" s="398" t="s">
        <v>159</v>
      </c>
      <c r="AZ18" s="398">
        <v>60</v>
      </c>
      <c r="BA18" s="399">
        <v>0.35</v>
      </c>
      <c r="BT18" s="439">
        <f>+BT13+$BS$16+$BS$17</f>
        <v>0.39</v>
      </c>
      <c r="BV18" s="439">
        <f>+BV13+$BS$16+$BS$17</f>
        <v>0.37</v>
      </c>
    </row>
    <row r="19" spans="1:90" ht="15" customHeight="1">
      <c r="A19" s="63">
        <f t="shared" si="8"/>
        <v>16</v>
      </c>
      <c r="B19" s="63" t="s">
        <v>1306</v>
      </c>
      <c r="C19" s="63" t="s">
        <v>1856</v>
      </c>
      <c r="D19" s="63" t="s">
        <v>1877</v>
      </c>
      <c r="E19" s="64">
        <v>1993</v>
      </c>
      <c r="F19" s="65" t="s">
        <v>619</v>
      </c>
      <c r="G19" s="389">
        <f t="shared" si="9"/>
        <v>0.73</v>
      </c>
      <c r="H19" s="389">
        <f t="shared" si="9"/>
        <v>0.65</v>
      </c>
      <c r="I19" s="389">
        <f t="shared" si="9"/>
        <v>0.55999999999999994</v>
      </c>
      <c r="J19" s="389">
        <f t="shared" si="9"/>
        <v>0.48</v>
      </c>
      <c r="K19" s="389">
        <f t="shared" si="9"/>
        <v>0.42000000000000004</v>
      </c>
      <c r="L19" s="720">
        <v>0.06</v>
      </c>
      <c r="M19" s="63" t="s">
        <v>176</v>
      </c>
      <c r="N19" s="440">
        <v>4.3999999999999997E-2</v>
      </c>
      <c r="O19" s="390">
        <v>6.0000000000000001E-3</v>
      </c>
      <c r="P19" s="390">
        <v>0</v>
      </c>
      <c r="Q19" s="390">
        <v>0</v>
      </c>
      <c r="R19" s="390">
        <v>0</v>
      </c>
      <c r="S19" s="63" t="str">
        <f t="shared" si="10"/>
        <v>N</v>
      </c>
      <c r="T19" s="63"/>
      <c r="U19" s="1039"/>
      <c r="V19" s="1039"/>
      <c r="W19" s="1039"/>
      <c r="X19" s="64" t="s">
        <v>2364</v>
      </c>
      <c r="Y19" s="2">
        <v>16</v>
      </c>
      <c r="Z19" s="417" t="s">
        <v>167</v>
      </c>
      <c r="AA19" s="973" t="s">
        <v>2637</v>
      </c>
      <c r="AB19" s="296">
        <v>6.0000000000000001E-3</v>
      </c>
      <c r="AC19" s="296">
        <f t="shared" si="0"/>
        <v>6.4000000000000001E-2</v>
      </c>
      <c r="AD19" s="296">
        <f t="shared" si="1"/>
        <v>7.0000000000000007E-2</v>
      </c>
      <c r="AE19" s="296">
        <f t="shared" si="2"/>
        <v>7.2000000000000008E-2</v>
      </c>
      <c r="AF19" s="296">
        <f t="shared" si="3"/>
        <v>7.2000000000000008E-2</v>
      </c>
      <c r="AG19" s="296">
        <f t="shared" si="4"/>
        <v>5.3000000000000005E-2</v>
      </c>
      <c r="AH19" s="296">
        <f t="shared" si="5"/>
        <v>5.5E-2</v>
      </c>
      <c r="AI19" s="296">
        <f t="shared" si="6"/>
        <v>5.7000000000000002E-2</v>
      </c>
      <c r="AK19" s="413" t="s">
        <v>541</v>
      </c>
      <c r="AL19" s="416" t="s">
        <v>568</v>
      </c>
      <c r="AM19" s="414">
        <v>0</v>
      </c>
      <c r="AN19" s="414">
        <v>6.0000000000000001E-3</v>
      </c>
      <c r="AO19" s="415"/>
      <c r="AP19" s="415"/>
      <c r="AQ19" s="415"/>
      <c r="AT19" s="400" t="str">
        <f t="shared" si="12"/>
        <v>12C</v>
      </c>
      <c r="AU19" s="1250" t="s">
        <v>166</v>
      </c>
      <c r="AV19" s="1251">
        <v>12</v>
      </c>
      <c r="AW19" s="1252">
        <v>0.75</v>
      </c>
      <c r="AY19" s="398" t="s">
        <v>166</v>
      </c>
      <c r="AZ19" s="398">
        <v>12</v>
      </c>
      <c r="BA19" s="399">
        <v>0.64</v>
      </c>
    </row>
    <row r="20" spans="1:90" ht="15" customHeight="1">
      <c r="A20" s="63">
        <f t="shared" si="8"/>
        <v>17</v>
      </c>
      <c r="B20" s="63" t="s">
        <v>1306</v>
      </c>
      <c r="C20" s="63" t="s">
        <v>1856</v>
      </c>
      <c r="D20" s="63" t="s">
        <v>1868</v>
      </c>
      <c r="E20" s="64">
        <v>2999</v>
      </c>
      <c r="F20" s="65" t="s">
        <v>619</v>
      </c>
      <c r="G20" s="389">
        <f t="shared" si="9"/>
        <v>0.73</v>
      </c>
      <c r="H20" s="389">
        <f t="shared" si="9"/>
        <v>0.65</v>
      </c>
      <c r="I20" s="389">
        <f t="shared" si="9"/>
        <v>0.55999999999999994</v>
      </c>
      <c r="J20" s="389">
        <f t="shared" si="9"/>
        <v>0.48</v>
      </c>
      <c r="K20" s="389">
        <f t="shared" si="9"/>
        <v>0.42000000000000004</v>
      </c>
      <c r="L20" s="720">
        <v>0.06</v>
      </c>
      <c r="M20" s="63" t="s">
        <v>176</v>
      </c>
      <c r="N20" s="440">
        <v>4.3999999999999997E-2</v>
      </c>
      <c r="O20" s="390">
        <v>6.0000000000000001E-3</v>
      </c>
      <c r="P20" s="390">
        <v>0</v>
      </c>
      <c r="Q20" s="390">
        <v>0</v>
      </c>
      <c r="R20" s="390">
        <v>0</v>
      </c>
      <c r="S20" s="63" t="str">
        <f t="shared" si="10"/>
        <v>N</v>
      </c>
      <c r="T20" s="63"/>
      <c r="U20" s="1039"/>
      <c r="V20" s="1039"/>
      <c r="W20" s="1039"/>
      <c r="X20" s="64" t="s">
        <v>2364</v>
      </c>
      <c r="Y20" s="2">
        <v>17</v>
      </c>
      <c r="Z20" s="417" t="s">
        <v>168</v>
      </c>
      <c r="AA20" s="973" t="s">
        <v>148</v>
      </c>
      <c r="AB20" s="296">
        <v>6.0000000000000001E-3</v>
      </c>
      <c r="AC20" s="296">
        <f t="shared" si="0"/>
        <v>6.4000000000000001E-2</v>
      </c>
      <c r="AD20" s="296">
        <f t="shared" si="1"/>
        <v>7.0000000000000007E-2</v>
      </c>
      <c r="AE20" s="296">
        <f t="shared" si="2"/>
        <v>7.2000000000000008E-2</v>
      </c>
      <c r="AF20" s="296">
        <f t="shared" si="3"/>
        <v>7.2000000000000008E-2</v>
      </c>
      <c r="AG20" s="296">
        <f t="shared" si="4"/>
        <v>5.3000000000000005E-2</v>
      </c>
      <c r="AH20" s="296">
        <f t="shared" si="5"/>
        <v>5.5E-2</v>
      </c>
      <c r="AI20" s="296">
        <f t="shared" si="6"/>
        <v>5.7000000000000002E-2</v>
      </c>
      <c r="AK20" s="419" t="s">
        <v>562</v>
      </c>
      <c r="AL20" s="419" t="s">
        <v>236</v>
      </c>
      <c r="AM20" s="420">
        <v>0</v>
      </c>
      <c r="AN20" s="420">
        <v>6.0000000000000001E-3</v>
      </c>
      <c r="AO20" s="421"/>
      <c r="AP20" s="421"/>
      <c r="AQ20" s="421"/>
      <c r="AT20" s="400" t="str">
        <f t="shared" si="12"/>
        <v>24C</v>
      </c>
      <c r="AU20" s="1253" t="s">
        <v>166</v>
      </c>
      <c r="AV20" s="1254">
        <v>24</v>
      </c>
      <c r="AW20" s="1255">
        <v>0.66999999999999993</v>
      </c>
      <c r="AY20" s="398" t="s">
        <v>166</v>
      </c>
      <c r="AZ20" s="398">
        <v>24</v>
      </c>
      <c r="BA20" s="399">
        <v>0.56000000000000005</v>
      </c>
    </row>
    <row r="21" spans="1:90" ht="15" customHeight="1">
      <c r="A21" s="63">
        <f t="shared" si="8"/>
        <v>18</v>
      </c>
      <c r="B21" s="63" t="s">
        <v>1308</v>
      </c>
      <c r="C21" s="63" t="s">
        <v>1856</v>
      </c>
      <c r="D21" s="1234" t="s">
        <v>2591</v>
      </c>
      <c r="E21" s="64">
        <v>1993</v>
      </c>
      <c r="F21" s="65" t="s">
        <v>144</v>
      </c>
      <c r="G21" s="389">
        <f t="shared" si="9"/>
        <v>0.78500000000000003</v>
      </c>
      <c r="H21" s="389">
        <f t="shared" si="9"/>
        <v>0.70499999999999996</v>
      </c>
      <c r="I21" s="389">
        <f t="shared" si="9"/>
        <v>0.61499999999999999</v>
      </c>
      <c r="J21" s="389">
        <f t="shared" si="9"/>
        <v>0.53500000000000003</v>
      </c>
      <c r="K21" s="389">
        <f t="shared" si="9"/>
        <v>0.47499999999999998</v>
      </c>
      <c r="L21" s="720">
        <v>0.06</v>
      </c>
      <c r="M21" s="63" t="s">
        <v>3153</v>
      </c>
      <c r="N21" s="440">
        <v>4.3999999999999997E-2</v>
      </c>
      <c r="O21" s="390">
        <v>6.0000000000000001E-3</v>
      </c>
      <c r="P21" s="390">
        <v>0</v>
      </c>
      <c r="Q21" s="390">
        <v>0</v>
      </c>
      <c r="R21" s="390">
        <v>0</v>
      </c>
      <c r="S21" s="63" t="str">
        <f t="shared" si="10"/>
        <v>Y</v>
      </c>
      <c r="T21" s="63"/>
      <c r="U21" s="1039"/>
      <c r="V21" s="1039"/>
      <c r="W21" s="1039"/>
      <c r="X21" s="64" t="s">
        <v>2364</v>
      </c>
      <c r="Y21" s="2">
        <v>18</v>
      </c>
      <c r="Z21" s="417" t="s">
        <v>169</v>
      </c>
      <c r="AA21" s="973" t="s">
        <v>148</v>
      </c>
      <c r="AB21" s="296">
        <v>6.0000000000000001E-3</v>
      </c>
      <c r="AC21" s="296">
        <f t="shared" si="0"/>
        <v>6.4000000000000001E-2</v>
      </c>
      <c r="AD21" s="296">
        <f t="shared" si="1"/>
        <v>7.0000000000000007E-2</v>
      </c>
      <c r="AE21" s="296">
        <f t="shared" si="2"/>
        <v>7.2000000000000008E-2</v>
      </c>
      <c r="AF21" s="296">
        <f t="shared" si="3"/>
        <v>7.2000000000000008E-2</v>
      </c>
      <c r="AG21" s="296">
        <f t="shared" si="4"/>
        <v>5.3000000000000005E-2</v>
      </c>
      <c r="AH21" s="296">
        <f t="shared" si="5"/>
        <v>5.5E-2</v>
      </c>
      <c r="AI21" s="296">
        <f t="shared" si="6"/>
        <v>5.7000000000000002E-2</v>
      </c>
      <c r="AK21" s="419" t="s">
        <v>564</v>
      </c>
      <c r="AL21" s="422" t="s">
        <v>569</v>
      </c>
      <c r="AM21" s="420">
        <v>0</v>
      </c>
      <c r="AN21" s="420">
        <v>6.0000000000000001E-3</v>
      </c>
      <c r="AO21" s="421"/>
      <c r="AP21" s="421"/>
      <c r="AQ21" s="421"/>
      <c r="AT21" s="400" t="str">
        <f t="shared" si="12"/>
        <v>36C</v>
      </c>
      <c r="AU21" s="1253" t="s">
        <v>166</v>
      </c>
      <c r="AV21" s="1254">
        <v>36</v>
      </c>
      <c r="AW21" s="1255">
        <v>0.57999999999999996</v>
      </c>
      <c r="AY21" s="398" t="s">
        <v>166</v>
      </c>
      <c r="AZ21" s="398">
        <v>36</v>
      </c>
      <c r="BA21" s="399">
        <v>0.44</v>
      </c>
    </row>
    <row r="22" spans="1:90" ht="15" customHeight="1">
      <c r="A22" s="63">
        <f t="shared" si="8"/>
        <v>19</v>
      </c>
      <c r="B22" s="63" t="s">
        <v>1308</v>
      </c>
      <c r="C22" s="63" t="s">
        <v>1856</v>
      </c>
      <c r="D22" s="63" t="s">
        <v>2592</v>
      </c>
      <c r="E22" s="64">
        <v>1993</v>
      </c>
      <c r="F22" s="65" t="s">
        <v>144</v>
      </c>
      <c r="G22" s="389">
        <f t="shared" si="9"/>
        <v>0.78500000000000003</v>
      </c>
      <c r="H22" s="389">
        <f t="shared" si="9"/>
        <v>0.70499999999999996</v>
      </c>
      <c r="I22" s="389">
        <f t="shared" si="9"/>
        <v>0.61499999999999999</v>
      </c>
      <c r="J22" s="389">
        <f t="shared" si="9"/>
        <v>0.53500000000000003</v>
      </c>
      <c r="K22" s="389">
        <f t="shared" si="9"/>
        <v>0.47499999999999998</v>
      </c>
      <c r="L22" s="720">
        <v>0.06</v>
      </c>
      <c r="M22" s="63" t="s">
        <v>3153</v>
      </c>
      <c r="N22" s="440">
        <v>4.3999999999999997E-2</v>
      </c>
      <c r="O22" s="390">
        <v>6.0000000000000001E-3</v>
      </c>
      <c r="P22" s="390">
        <v>0</v>
      </c>
      <c r="Q22" s="390">
        <v>0</v>
      </c>
      <c r="R22" s="390">
        <v>0</v>
      </c>
      <c r="S22" s="63" t="str">
        <f t="shared" si="10"/>
        <v>Y</v>
      </c>
      <c r="T22" s="63"/>
      <c r="U22" s="1039"/>
      <c r="V22" s="1039"/>
      <c r="W22" s="1039"/>
      <c r="X22" s="64" t="s">
        <v>2364</v>
      </c>
      <c r="Y22" s="2">
        <v>19</v>
      </c>
      <c r="Z22" s="417" t="s">
        <v>171</v>
      </c>
      <c r="AA22" s="973" t="s">
        <v>2638</v>
      </c>
      <c r="AB22" s="296">
        <v>6.0000000000000001E-3</v>
      </c>
      <c r="AC22" s="296">
        <f t="shared" si="0"/>
        <v>6.4000000000000001E-2</v>
      </c>
      <c r="AD22" s="296">
        <f t="shared" si="1"/>
        <v>7.0000000000000007E-2</v>
      </c>
      <c r="AE22" s="296">
        <f t="shared" si="2"/>
        <v>7.2000000000000008E-2</v>
      </c>
      <c r="AF22" s="296">
        <f t="shared" si="3"/>
        <v>7.2000000000000008E-2</v>
      </c>
      <c r="AG22" s="296">
        <f t="shared" si="4"/>
        <v>5.3000000000000005E-2</v>
      </c>
      <c r="AH22" s="296">
        <f t="shared" si="5"/>
        <v>5.5E-2</v>
      </c>
      <c r="AI22" s="296">
        <f t="shared" si="6"/>
        <v>5.7000000000000002E-2</v>
      </c>
      <c r="AK22" s="423" t="s">
        <v>555</v>
      </c>
      <c r="AL22" s="423" t="s">
        <v>237</v>
      </c>
      <c r="AM22" s="424"/>
      <c r="AN22" s="424">
        <v>6.0000000000000001E-3</v>
      </c>
      <c r="AO22" s="425"/>
      <c r="AP22" s="425"/>
      <c r="AQ22" s="425"/>
      <c r="AT22" s="400" t="str">
        <f t="shared" si="12"/>
        <v>48C</v>
      </c>
      <c r="AU22" s="1253" t="s">
        <v>166</v>
      </c>
      <c r="AV22" s="1254">
        <v>48</v>
      </c>
      <c r="AW22" s="1255">
        <v>0.5</v>
      </c>
      <c r="AY22" s="398" t="s">
        <v>166</v>
      </c>
      <c r="AZ22" s="398">
        <v>48</v>
      </c>
      <c r="BA22" s="399">
        <v>0.39</v>
      </c>
    </row>
    <row r="23" spans="1:90" ht="15" customHeight="1">
      <c r="A23" s="63">
        <f t="shared" si="8"/>
        <v>20</v>
      </c>
      <c r="B23" s="63" t="s">
        <v>2614</v>
      </c>
      <c r="C23" s="63" t="s">
        <v>2615</v>
      </c>
      <c r="D23" s="1234" t="s">
        <v>2616</v>
      </c>
      <c r="E23" s="64">
        <v>1999</v>
      </c>
      <c r="F23" s="65" t="s">
        <v>1869</v>
      </c>
      <c r="G23" s="389">
        <f t="shared" si="9"/>
        <v>0.78500000000000003</v>
      </c>
      <c r="H23" s="389">
        <f t="shared" si="9"/>
        <v>0.70499999999999996</v>
      </c>
      <c r="I23" s="389">
        <f t="shared" si="9"/>
        <v>0.61499999999999999</v>
      </c>
      <c r="J23" s="389">
        <f t="shared" si="9"/>
        <v>0.53500000000000003</v>
      </c>
      <c r="K23" s="389">
        <f t="shared" si="9"/>
        <v>0.47499999999999998</v>
      </c>
      <c r="L23" s="720">
        <v>0.06</v>
      </c>
      <c r="M23" s="63" t="s">
        <v>3153</v>
      </c>
      <c r="N23" s="440">
        <v>4.3999999999999997E-2</v>
      </c>
      <c r="O23" s="390">
        <v>6.0000000000000001E-3</v>
      </c>
      <c r="P23" s="390">
        <v>0</v>
      </c>
      <c r="Q23" s="390">
        <v>0</v>
      </c>
      <c r="R23" s="390">
        <v>0</v>
      </c>
      <c r="S23" s="63" t="str">
        <f t="shared" ref="S23" si="14">+IF(LEFT(D23,1)="E","Y",IF(LEFT(D23,1)="S","Y",IF(LEFT(D23,1)="X","Y","N")))</f>
        <v>Y</v>
      </c>
      <c r="T23" s="63"/>
      <c r="U23" s="1039"/>
      <c r="V23" s="1039"/>
      <c r="W23" s="1039"/>
      <c r="X23" s="64" t="s">
        <v>2364</v>
      </c>
      <c r="Y23" s="2">
        <v>20</v>
      </c>
      <c r="Z23" s="417" t="s">
        <v>172</v>
      </c>
      <c r="AA23" s="973" t="s">
        <v>2637</v>
      </c>
      <c r="AB23" s="296">
        <v>6.0000000000000001E-3</v>
      </c>
      <c r="AC23" s="296">
        <f t="shared" si="0"/>
        <v>6.4000000000000001E-2</v>
      </c>
      <c r="AD23" s="296">
        <f t="shared" si="1"/>
        <v>7.0000000000000007E-2</v>
      </c>
      <c r="AE23" s="296">
        <f t="shared" si="2"/>
        <v>7.2000000000000008E-2</v>
      </c>
      <c r="AF23" s="296">
        <f t="shared" si="3"/>
        <v>7.2000000000000008E-2</v>
      </c>
      <c r="AG23" s="296">
        <f t="shared" si="4"/>
        <v>5.3000000000000005E-2</v>
      </c>
      <c r="AH23" s="296">
        <f t="shared" si="5"/>
        <v>5.5E-2</v>
      </c>
      <c r="AI23" s="296">
        <f t="shared" si="6"/>
        <v>5.7000000000000002E-2</v>
      </c>
      <c r="AK23" s="426" t="s">
        <v>542</v>
      </c>
      <c r="AL23" s="427" t="s">
        <v>570</v>
      </c>
      <c r="AM23" s="428"/>
      <c r="AN23" s="428">
        <v>6.0000000000000001E-3</v>
      </c>
      <c r="AO23" s="425"/>
      <c r="AP23" s="425"/>
      <c r="AQ23" s="425"/>
      <c r="AT23" s="1030" t="str">
        <f t="shared" si="12"/>
        <v>60C</v>
      </c>
      <c r="AU23" s="1256" t="s">
        <v>166</v>
      </c>
      <c r="AV23" s="1257">
        <v>60</v>
      </c>
      <c r="AW23" s="1258">
        <v>0.44</v>
      </c>
      <c r="AY23" s="398" t="s">
        <v>166</v>
      </c>
      <c r="AZ23" s="398">
        <v>60</v>
      </c>
      <c r="BA23" s="399">
        <v>0.33</v>
      </c>
    </row>
    <row r="24" spans="1:90" ht="15" customHeight="1">
      <c r="A24" s="63">
        <f t="shared" si="8"/>
        <v>21</v>
      </c>
      <c r="B24" s="63" t="s">
        <v>2617</v>
      </c>
      <c r="C24" s="63" t="s">
        <v>2615</v>
      </c>
      <c r="D24" s="63" t="s">
        <v>2618</v>
      </c>
      <c r="E24" s="64">
        <v>1991</v>
      </c>
      <c r="F24" s="65" t="s">
        <v>1869</v>
      </c>
      <c r="G24" s="389">
        <f t="shared" si="9"/>
        <v>0.78500000000000003</v>
      </c>
      <c r="H24" s="389">
        <f t="shared" si="9"/>
        <v>0.70499999999999996</v>
      </c>
      <c r="I24" s="389">
        <f t="shared" si="9"/>
        <v>0.61499999999999999</v>
      </c>
      <c r="J24" s="389">
        <f t="shared" si="9"/>
        <v>0.53500000000000003</v>
      </c>
      <c r="K24" s="389">
        <f t="shared" si="9"/>
        <v>0.47499999999999998</v>
      </c>
      <c r="L24" s="720">
        <v>0.06</v>
      </c>
      <c r="M24" s="63" t="s">
        <v>3153</v>
      </c>
      <c r="N24" s="440">
        <v>4.3999999999999997E-2</v>
      </c>
      <c r="O24" s="390">
        <v>6.0000000000000001E-3</v>
      </c>
      <c r="P24" s="390">
        <v>0</v>
      </c>
      <c r="Q24" s="390">
        <v>0</v>
      </c>
      <c r="R24" s="390">
        <v>0</v>
      </c>
      <c r="S24" s="63" t="str">
        <f t="shared" si="10"/>
        <v>Y</v>
      </c>
      <c r="T24" s="63"/>
      <c r="U24" s="1039"/>
      <c r="V24" s="1039"/>
      <c r="W24" s="1039"/>
      <c r="X24" s="64" t="s">
        <v>2364</v>
      </c>
      <c r="Y24" s="2">
        <v>21</v>
      </c>
      <c r="Z24" s="417" t="s">
        <v>173</v>
      </c>
      <c r="AA24" s="973" t="s">
        <v>2636</v>
      </c>
      <c r="AB24" s="296">
        <v>6.0000000000000001E-3</v>
      </c>
      <c r="AC24" s="296">
        <f t="shared" si="0"/>
        <v>6.4000000000000001E-2</v>
      </c>
      <c r="AD24" s="296">
        <f t="shared" si="1"/>
        <v>7.0000000000000007E-2</v>
      </c>
      <c r="AE24" s="296">
        <f t="shared" si="2"/>
        <v>7.2000000000000008E-2</v>
      </c>
      <c r="AF24" s="296">
        <f t="shared" si="3"/>
        <v>7.2000000000000008E-2</v>
      </c>
      <c r="AG24" s="296">
        <f t="shared" si="4"/>
        <v>5.3000000000000005E-2</v>
      </c>
      <c r="AH24" s="296">
        <f t="shared" si="5"/>
        <v>5.5E-2</v>
      </c>
      <c r="AI24" s="296">
        <f t="shared" si="6"/>
        <v>5.7000000000000002E-2</v>
      </c>
      <c r="AK24" s="429" t="s">
        <v>557</v>
      </c>
      <c r="AL24" s="429" t="s">
        <v>558</v>
      </c>
      <c r="AM24" s="430"/>
      <c r="AN24" s="430"/>
      <c r="AO24" s="431"/>
      <c r="AP24" s="431"/>
      <c r="AQ24" s="431"/>
      <c r="AT24" s="400" t="str">
        <f t="shared" si="12"/>
        <v>12D</v>
      </c>
      <c r="AU24" s="1259" t="s">
        <v>170</v>
      </c>
      <c r="AV24" s="1260">
        <v>12</v>
      </c>
      <c r="AW24" s="1261">
        <v>0.74</v>
      </c>
      <c r="AY24" s="398" t="s">
        <v>170</v>
      </c>
      <c r="AZ24" s="398">
        <v>12</v>
      </c>
      <c r="BA24" s="399">
        <v>0.57999999999999996</v>
      </c>
    </row>
    <row r="25" spans="1:90" ht="15" customHeight="1">
      <c r="A25" s="63">
        <f t="shared" si="8"/>
        <v>22</v>
      </c>
      <c r="B25" s="63" t="s">
        <v>2614</v>
      </c>
      <c r="C25" s="63" t="s">
        <v>2615</v>
      </c>
      <c r="D25" s="63" t="s">
        <v>2619</v>
      </c>
      <c r="E25" s="64">
        <v>1991</v>
      </c>
      <c r="F25" s="65" t="s">
        <v>619</v>
      </c>
      <c r="G25" s="389">
        <f t="shared" si="9"/>
        <v>0.78500000000000003</v>
      </c>
      <c r="H25" s="389">
        <f t="shared" si="9"/>
        <v>0.70499999999999996</v>
      </c>
      <c r="I25" s="389">
        <f t="shared" si="9"/>
        <v>0.61499999999999999</v>
      </c>
      <c r="J25" s="389">
        <f t="shared" si="9"/>
        <v>0.53500000000000003</v>
      </c>
      <c r="K25" s="389">
        <f t="shared" si="9"/>
        <v>0.47499999999999998</v>
      </c>
      <c r="L25" s="720">
        <v>0.06</v>
      </c>
      <c r="M25" s="63" t="s">
        <v>3153</v>
      </c>
      <c r="N25" s="440">
        <v>4.3999999999999997E-2</v>
      </c>
      <c r="O25" s="390">
        <v>6.0000000000000001E-3</v>
      </c>
      <c r="P25" s="390">
        <v>0</v>
      </c>
      <c r="Q25" s="390">
        <v>0</v>
      </c>
      <c r="R25" s="390">
        <v>0</v>
      </c>
      <c r="S25" s="63" t="str">
        <f t="shared" si="10"/>
        <v>Y</v>
      </c>
      <c r="T25" s="63"/>
      <c r="U25" s="1039"/>
      <c r="V25" s="1039"/>
      <c r="W25" s="1039"/>
      <c r="X25" s="64" t="s">
        <v>2364</v>
      </c>
      <c r="Y25" s="2">
        <v>22</v>
      </c>
      <c r="Z25" s="417" t="s">
        <v>174</v>
      </c>
      <c r="AA25" s="973" t="s">
        <v>2631</v>
      </c>
      <c r="AB25" s="296">
        <v>6.0000000000000001E-3</v>
      </c>
      <c r="AC25" s="296">
        <f t="shared" si="0"/>
        <v>6.2E-2</v>
      </c>
      <c r="AD25" s="296">
        <f t="shared" si="1"/>
        <v>7.1000000000000008E-2</v>
      </c>
      <c r="AE25" s="296">
        <f t="shared" si="2"/>
        <v>7.3000000000000009E-2</v>
      </c>
      <c r="AF25" s="296">
        <f t="shared" si="3"/>
        <v>7.3000000000000009E-2</v>
      </c>
      <c r="AG25" s="296">
        <f t="shared" si="4"/>
        <v>4.7E-2</v>
      </c>
      <c r="AH25" s="296">
        <f t="shared" si="5"/>
        <v>4.9000000000000002E-2</v>
      </c>
      <c r="AI25" s="296">
        <f t="shared" si="6"/>
        <v>5.1000000000000004E-2</v>
      </c>
      <c r="AN25" s="439"/>
      <c r="AT25" s="400" t="str">
        <f t="shared" si="12"/>
        <v>24D</v>
      </c>
      <c r="AU25" s="1262" t="s">
        <v>170</v>
      </c>
      <c r="AV25" s="1263">
        <v>24</v>
      </c>
      <c r="AW25" s="1264">
        <v>0.66</v>
      </c>
      <c r="AY25" s="398" t="s">
        <v>170</v>
      </c>
      <c r="AZ25" s="398">
        <v>24</v>
      </c>
      <c r="BA25" s="399">
        <v>0.5</v>
      </c>
    </row>
    <row r="26" spans="1:90" ht="15" customHeight="1">
      <c r="A26" s="63">
        <f t="shared" si="8"/>
        <v>23</v>
      </c>
      <c r="B26" s="63" t="s">
        <v>2614</v>
      </c>
      <c r="C26" s="63" t="s">
        <v>2615</v>
      </c>
      <c r="D26" s="63" t="s">
        <v>2620</v>
      </c>
      <c r="E26" s="64">
        <v>1991</v>
      </c>
      <c r="F26" s="65" t="s">
        <v>1869</v>
      </c>
      <c r="G26" s="389">
        <f t="shared" si="9"/>
        <v>0.78500000000000003</v>
      </c>
      <c r="H26" s="389">
        <f t="shared" si="9"/>
        <v>0.70499999999999996</v>
      </c>
      <c r="I26" s="389">
        <f t="shared" si="9"/>
        <v>0.61499999999999999</v>
      </c>
      <c r="J26" s="389">
        <f t="shared" si="9"/>
        <v>0.53500000000000003</v>
      </c>
      <c r="K26" s="389">
        <f t="shared" si="9"/>
        <v>0.47499999999999998</v>
      </c>
      <c r="L26" s="720">
        <v>0.06</v>
      </c>
      <c r="M26" s="63" t="s">
        <v>3153</v>
      </c>
      <c r="N26" s="440">
        <v>4.3999999999999997E-2</v>
      </c>
      <c r="O26" s="390">
        <v>6.0000000000000001E-3</v>
      </c>
      <c r="P26" s="390">
        <v>0</v>
      </c>
      <c r="Q26" s="390">
        <v>0</v>
      </c>
      <c r="R26" s="390">
        <v>0</v>
      </c>
      <c r="S26" s="63" t="str">
        <f t="shared" si="10"/>
        <v>Y</v>
      </c>
      <c r="T26" s="63"/>
      <c r="U26" s="1039"/>
      <c r="V26" s="1039"/>
      <c r="W26" s="1039"/>
      <c r="X26" s="64" t="s">
        <v>2364</v>
      </c>
      <c r="Y26" s="2">
        <v>23</v>
      </c>
      <c r="Z26" s="417" t="s">
        <v>175</v>
      </c>
      <c r="AA26" s="973" t="s">
        <v>2636</v>
      </c>
      <c r="AB26" s="296">
        <v>6.0000000000000001E-3</v>
      </c>
      <c r="AC26" s="296">
        <f t="shared" si="0"/>
        <v>6.4000000000000001E-2</v>
      </c>
      <c r="AD26" s="296">
        <f t="shared" si="1"/>
        <v>7.0000000000000007E-2</v>
      </c>
      <c r="AE26" s="296">
        <f t="shared" si="2"/>
        <v>7.2000000000000008E-2</v>
      </c>
      <c r="AF26" s="296">
        <f t="shared" si="3"/>
        <v>7.2000000000000008E-2</v>
      </c>
      <c r="AG26" s="296">
        <f t="shared" si="4"/>
        <v>5.3000000000000005E-2</v>
      </c>
      <c r="AH26" s="296">
        <f t="shared" si="5"/>
        <v>5.5E-2</v>
      </c>
      <c r="AI26" s="296">
        <f t="shared" si="6"/>
        <v>5.7000000000000002E-2</v>
      </c>
      <c r="AN26" s="439"/>
      <c r="AT26" s="400" t="str">
        <f t="shared" si="12"/>
        <v>36D</v>
      </c>
      <c r="AU26" s="1262" t="s">
        <v>170</v>
      </c>
      <c r="AV26" s="1265">
        <v>36</v>
      </c>
      <c r="AW26" s="1039">
        <v>0.56999999999999995</v>
      </c>
      <c r="AY26" s="398" t="s">
        <v>170</v>
      </c>
      <c r="AZ26" s="398">
        <v>36</v>
      </c>
      <c r="BA26" s="399">
        <v>0.41</v>
      </c>
    </row>
    <row r="27" spans="1:90" ht="15" customHeight="1">
      <c r="A27" s="63">
        <f t="shared" si="8"/>
        <v>24</v>
      </c>
      <c r="B27" s="63" t="s">
        <v>2621</v>
      </c>
      <c r="C27" s="63" t="s">
        <v>2615</v>
      </c>
      <c r="D27" s="1234" t="s">
        <v>2622</v>
      </c>
      <c r="E27" s="64">
        <v>1999</v>
      </c>
      <c r="F27" s="65" t="s">
        <v>1869</v>
      </c>
      <c r="G27" s="389">
        <f t="shared" si="9"/>
        <v>0.78500000000000003</v>
      </c>
      <c r="H27" s="389">
        <f t="shared" si="9"/>
        <v>0.70499999999999996</v>
      </c>
      <c r="I27" s="389">
        <f t="shared" si="9"/>
        <v>0.61499999999999999</v>
      </c>
      <c r="J27" s="389">
        <f t="shared" si="9"/>
        <v>0.53500000000000003</v>
      </c>
      <c r="K27" s="389">
        <f t="shared" si="9"/>
        <v>0.47499999999999998</v>
      </c>
      <c r="L27" s="720">
        <v>0.06</v>
      </c>
      <c r="M27" s="63" t="s">
        <v>3153</v>
      </c>
      <c r="N27" s="440">
        <v>4.3999999999999997E-2</v>
      </c>
      <c r="O27" s="390">
        <v>6.0000000000000001E-3</v>
      </c>
      <c r="P27" s="390">
        <v>0</v>
      </c>
      <c r="Q27" s="390">
        <v>0</v>
      </c>
      <c r="R27" s="390">
        <v>0</v>
      </c>
      <c r="S27" s="63" t="str">
        <f t="shared" ref="S27" si="15">+IF(LEFT(D27,1)="E","Y",IF(LEFT(D27,1)="S","Y",IF(LEFT(D27,1)="X","Y","N")))</f>
        <v>Y</v>
      </c>
      <c r="T27" s="63"/>
      <c r="U27" s="1039"/>
      <c r="V27" s="1039"/>
      <c r="W27" s="1039"/>
      <c r="X27" s="64" t="s">
        <v>2364</v>
      </c>
      <c r="Y27" s="2">
        <v>24</v>
      </c>
      <c r="Z27" s="417" t="s">
        <v>177</v>
      </c>
      <c r="AA27" s="973" t="s">
        <v>148</v>
      </c>
      <c r="AB27" s="296">
        <v>6.0000000000000001E-3</v>
      </c>
      <c r="AC27" s="296">
        <f t="shared" si="0"/>
        <v>6.4000000000000001E-2</v>
      </c>
      <c r="AD27" s="296">
        <f t="shared" si="1"/>
        <v>7.0000000000000007E-2</v>
      </c>
      <c r="AE27" s="296">
        <f t="shared" si="2"/>
        <v>7.2000000000000008E-2</v>
      </c>
      <c r="AF27" s="296">
        <f t="shared" si="3"/>
        <v>7.2000000000000008E-2</v>
      </c>
      <c r="AG27" s="296">
        <f t="shared" si="4"/>
        <v>5.3000000000000005E-2</v>
      </c>
      <c r="AH27" s="296">
        <f t="shared" si="5"/>
        <v>5.5E-2</v>
      </c>
      <c r="AI27" s="296">
        <f t="shared" si="6"/>
        <v>5.7000000000000002E-2</v>
      </c>
      <c r="AN27" s="439"/>
      <c r="AT27" s="400" t="str">
        <f t="shared" si="12"/>
        <v>48D</v>
      </c>
      <c r="AU27" s="1262" t="s">
        <v>170</v>
      </c>
      <c r="AV27" s="1265">
        <v>48</v>
      </c>
      <c r="AW27" s="1039">
        <v>0.49</v>
      </c>
      <c r="AY27" s="398" t="s">
        <v>170</v>
      </c>
      <c r="AZ27" s="398">
        <v>48</v>
      </c>
      <c r="BA27" s="399">
        <v>0.34</v>
      </c>
    </row>
    <row r="28" spans="1:90" ht="15" customHeight="1">
      <c r="A28" s="63">
        <f t="shared" si="8"/>
        <v>25</v>
      </c>
      <c r="B28" s="63" t="s">
        <v>2621</v>
      </c>
      <c r="C28" s="63" t="s">
        <v>2615</v>
      </c>
      <c r="D28" s="1234" t="s">
        <v>2623</v>
      </c>
      <c r="E28" s="64">
        <v>1999</v>
      </c>
      <c r="F28" s="65" t="s">
        <v>1869</v>
      </c>
      <c r="G28" s="389">
        <f t="shared" si="9"/>
        <v>0.78500000000000003</v>
      </c>
      <c r="H28" s="389">
        <f t="shared" si="9"/>
        <v>0.70499999999999996</v>
      </c>
      <c r="I28" s="389">
        <f t="shared" si="9"/>
        <v>0.61499999999999999</v>
      </c>
      <c r="J28" s="389">
        <f t="shared" si="9"/>
        <v>0.53500000000000003</v>
      </c>
      <c r="K28" s="389">
        <f t="shared" si="9"/>
        <v>0.47499999999999998</v>
      </c>
      <c r="L28" s="720">
        <v>0.06</v>
      </c>
      <c r="M28" s="63" t="s">
        <v>3153</v>
      </c>
      <c r="N28" s="440">
        <v>4.3999999999999997E-2</v>
      </c>
      <c r="O28" s="390">
        <v>6.0000000000000001E-3</v>
      </c>
      <c r="P28" s="390">
        <v>0</v>
      </c>
      <c r="Q28" s="390">
        <v>0</v>
      </c>
      <c r="R28" s="390">
        <v>0</v>
      </c>
      <c r="S28" s="63" t="str">
        <f t="shared" ref="S28:S29" si="16">+IF(LEFT(D28,1)="E","Y",IF(LEFT(D28,1)="S","Y",IF(LEFT(D28,1)="X","Y","N")))</f>
        <v>Y</v>
      </c>
      <c r="T28" s="63"/>
      <c r="U28" s="1039"/>
      <c r="V28" s="1039"/>
      <c r="W28" s="1039"/>
      <c r="X28" s="64" t="s">
        <v>2364</v>
      </c>
      <c r="Y28" s="2">
        <v>25</v>
      </c>
      <c r="Z28" s="417" t="s">
        <v>178</v>
      </c>
      <c r="AA28" s="973" t="s">
        <v>2639</v>
      </c>
      <c r="AB28" s="296">
        <v>6.0000000000000001E-3</v>
      </c>
      <c r="AC28" s="296">
        <f t="shared" si="0"/>
        <v>6.4000000000000001E-2</v>
      </c>
      <c r="AD28" s="296">
        <f t="shared" si="1"/>
        <v>7.0000000000000007E-2</v>
      </c>
      <c r="AE28" s="296">
        <f t="shared" si="2"/>
        <v>7.2000000000000008E-2</v>
      </c>
      <c r="AF28" s="296">
        <f t="shared" si="3"/>
        <v>7.2000000000000008E-2</v>
      </c>
      <c r="AG28" s="296">
        <f t="shared" si="4"/>
        <v>5.3000000000000005E-2</v>
      </c>
      <c r="AH28" s="296">
        <f t="shared" si="5"/>
        <v>5.5E-2</v>
      </c>
      <c r="AI28" s="296">
        <f t="shared" si="6"/>
        <v>5.7000000000000002E-2</v>
      </c>
      <c r="AN28" s="439"/>
      <c r="AT28" s="1030" t="str">
        <f t="shared" si="12"/>
        <v>60D</v>
      </c>
      <c r="AU28" s="1266" t="s">
        <v>170</v>
      </c>
      <c r="AV28" s="1267">
        <v>60</v>
      </c>
      <c r="AW28" s="1268">
        <v>0.43000000000000005</v>
      </c>
      <c r="AY28" s="398" t="s">
        <v>170</v>
      </c>
      <c r="AZ28" s="398">
        <v>60</v>
      </c>
      <c r="BA28" s="399">
        <v>0.28000000000000003</v>
      </c>
    </row>
    <row r="29" spans="1:90" ht="15" customHeight="1">
      <c r="A29" s="63">
        <f t="shared" si="8"/>
        <v>26</v>
      </c>
      <c r="B29" s="63" t="s">
        <v>2617</v>
      </c>
      <c r="C29" s="63" t="s">
        <v>2624</v>
      </c>
      <c r="D29" s="63" t="s">
        <v>2625</v>
      </c>
      <c r="E29" s="64">
        <v>1999</v>
      </c>
      <c r="F29" s="65" t="s">
        <v>1869</v>
      </c>
      <c r="G29" s="389">
        <f t="shared" si="9"/>
        <v>0.78500000000000003</v>
      </c>
      <c r="H29" s="389">
        <f t="shared" si="9"/>
        <v>0.70499999999999996</v>
      </c>
      <c r="I29" s="389">
        <f t="shared" si="9"/>
        <v>0.61499999999999999</v>
      </c>
      <c r="J29" s="389">
        <f t="shared" si="9"/>
        <v>0.53500000000000003</v>
      </c>
      <c r="K29" s="389">
        <f t="shared" si="9"/>
        <v>0.47499999999999998</v>
      </c>
      <c r="L29" s="720">
        <v>0.06</v>
      </c>
      <c r="M29" s="63" t="s">
        <v>3153</v>
      </c>
      <c r="N29" s="440">
        <v>4.3999999999999997E-2</v>
      </c>
      <c r="O29" s="390">
        <v>6.0000000000000001E-3</v>
      </c>
      <c r="P29" s="390">
        <v>0</v>
      </c>
      <c r="Q29" s="390">
        <v>0</v>
      </c>
      <c r="R29" s="390">
        <v>0</v>
      </c>
      <c r="S29" s="63" t="str">
        <f t="shared" si="16"/>
        <v>Y</v>
      </c>
      <c r="T29" s="63"/>
      <c r="U29" s="1039"/>
      <c r="V29" s="1039"/>
      <c r="W29" s="1039"/>
      <c r="X29" s="64" t="s">
        <v>2364</v>
      </c>
      <c r="Y29" s="2">
        <v>26</v>
      </c>
      <c r="Z29" s="432" t="s">
        <v>179</v>
      </c>
      <c r="AA29" s="1047" t="s">
        <v>148</v>
      </c>
      <c r="AB29" s="433">
        <v>6.0000000000000001E-3</v>
      </c>
      <c r="AC29" s="433">
        <f t="shared" si="0"/>
        <v>6.4000000000000001E-2</v>
      </c>
      <c r="AD29" s="433">
        <f t="shared" si="1"/>
        <v>7.0000000000000007E-2</v>
      </c>
      <c r="AE29" s="433">
        <f t="shared" si="2"/>
        <v>7.2000000000000008E-2</v>
      </c>
      <c r="AF29" s="433">
        <f t="shared" si="3"/>
        <v>7.2000000000000008E-2</v>
      </c>
      <c r="AG29" s="433">
        <f t="shared" si="4"/>
        <v>5.3000000000000005E-2</v>
      </c>
      <c r="AH29" s="433">
        <f t="shared" si="5"/>
        <v>5.5E-2</v>
      </c>
      <c r="AI29" s="433">
        <f t="shared" si="6"/>
        <v>5.7000000000000002E-2</v>
      </c>
      <c r="AN29" s="439"/>
      <c r="AT29" s="400" t="str">
        <f>AV29&amp;AU29</f>
        <v>12E</v>
      </c>
      <c r="AU29" s="1259" t="s">
        <v>176</v>
      </c>
      <c r="AV29" s="1260">
        <v>12</v>
      </c>
      <c r="AW29" s="1039">
        <v>0.73</v>
      </c>
      <c r="AY29" s="398" t="s">
        <v>176</v>
      </c>
      <c r="AZ29" s="398">
        <v>12</v>
      </c>
      <c r="BA29" s="399">
        <v>0.55000000000000004</v>
      </c>
    </row>
    <row r="30" spans="1:90" ht="15" customHeight="1">
      <c r="A30" s="63">
        <f t="shared" si="8"/>
        <v>27</v>
      </c>
      <c r="B30" s="63" t="s">
        <v>1308</v>
      </c>
      <c r="C30" s="63" t="s">
        <v>1856</v>
      </c>
      <c r="D30" s="63" t="s">
        <v>2165</v>
      </c>
      <c r="E30" s="64">
        <v>1991</v>
      </c>
      <c r="F30" s="65" t="s">
        <v>619</v>
      </c>
      <c r="G30" s="389">
        <f t="shared" si="9"/>
        <v>0.78500000000000003</v>
      </c>
      <c r="H30" s="389">
        <f t="shared" si="9"/>
        <v>0.70499999999999996</v>
      </c>
      <c r="I30" s="389">
        <f t="shared" si="9"/>
        <v>0.61499999999999999</v>
      </c>
      <c r="J30" s="389">
        <f t="shared" si="9"/>
        <v>0.53500000000000003</v>
      </c>
      <c r="K30" s="389">
        <f t="shared" si="9"/>
        <v>0.47499999999999998</v>
      </c>
      <c r="L30" s="720">
        <v>0.06</v>
      </c>
      <c r="M30" s="63" t="s">
        <v>3153</v>
      </c>
      <c r="N30" s="440">
        <v>4.3999999999999997E-2</v>
      </c>
      <c r="O30" s="390">
        <v>6.0000000000000001E-3</v>
      </c>
      <c r="P30" s="390">
        <v>0</v>
      </c>
      <c r="Q30" s="390">
        <v>0</v>
      </c>
      <c r="R30" s="390">
        <v>0</v>
      </c>
      <c r="S30" s="63" t="str">
        <f t="shared" si="10"/>
        <v>Y</v>
      </c>
      <c r="T30" s="63"/>
      <c r="U30" s="1039"/>
      <c r="V30" s="1039"/>
      <c r="W30" s="1039"/>
      <c r="X30" s="64" t="s">
        <v>2364</v>
      </c>
      <c r="Y30" s="2">
        <v>27</v>
      </c>
      <c r="AN30" s="439"/>
      <c r="AT30" s="400" t="str">
        <f>AV30&amp;AU30</f>
        <v>24E</v>
      </c>
      <c r="AU30" s="1262" t="s">
        <v>176</v>
      </c>
      <c r="AV30" s="1263">
        <v>24</v>
      </c>
      <c r="AW30" s="1264">
        <v>0.65</v>
      </c>
      <c r="AY30" s="398" t="s">
        <v>176</v>
      </c>
      <c r="AZ30" s="398">
        <v>24</v>
      </c>
      <c r="BA30" s="399">
        <v>0.46</v>
      </c>
    </row>
    <row r="31" spans="1:90" ht="15" customHeight="1">
      <c r="A31" s="63">
        <f t="shared" si="8"/>
        <v>28</v>
      </c>
      <c r="B31" s="63" t="s">
        <v>1308</v>
      </c>
      <c r="C31" s="63" t="s">
        <v>1856</v>
      </c>
      <c r="D31" s="63" t="s">
        <v>1383</v>
      </c>
      <c r="E31" s="64">
        <v>1991</v>
      </c>
      <c r="F31" s="65" t="s">
        <v>144</v>
      </c>
      <c r="G31" s="389">
        <f t="shared" si="9"/>
        <v>0.78500000000000003</v>
      </c>
      <c r="H31" s="389">
        <f t="shared" si="9"/>
        <v>0.70499999999999996</v>
      </c>
      <c r="I31" s="389">
        <f t="shared" si="9"/>
        <v>0.61499999999999999</v>
      </c>
      <c r="J31" s="389">
        <f t="shared" si="9"/>
        <v>0.53500000000000003</v>
      </c>
      <c r="K31" s="389">
        <f t="shared" si="9"/>
        <v>0.47499999999999998</v>
      </c>
      <c r="L31" s="720">
        <v>0.06</v>
      </c>
      <c r="M31" s="63" t="s">
        <v>3153</v>
      </c>
      <c r="N31" s="440">
        <v>4.3999999999999997E-2</v>
      </c>
      <c r="O31" s="390">
        <v>6.0000000000000001E-3</v>
      </c>
      <c r="P31" s="390">
        <v>0</v>
      </c>
      <c r="Q31" s="390">
        <v>0</v>
      </c>
      <c r="R31" s="390">
        <v>0</v>
      </c>
      <c r="S31" s="63" t="str">
        <f t="shared" si="10"/>
        <v>Y</v>
      </c>
      <c r="T31" s="63"/>
      <c r="U31" s="1039"/>
      <c r="V31" s="1039"/>
      <c r="W31" s="1039"/>
      <c r="X31" s="64" t="s">
        <v>2364</v>
      </c>
      <c r="Y31" s="2">
        <v>28</v>
      </c>
      <c r="AN31" s="439"/>
      <c r="AT31" s="400" t="str">
        <f>AV31&amp;AU31</f>
        <v>36E</v>
      </c>
      <c r="AU31" s="1262" t="s">
        <v>176</v>
      </c>
      <c r="AV31" s="1265">
        <v>36</v>
      </c>
      <c r="AW31" s="1039">
        <v>0.55999999999999994</v>
      </c>
      <c r="AY31" s="398" t="s">
        <v>176</v>
      </c>
      <c r="AZ31" s="398">
        <v>36</v>
      </c>
      <c r="BA31" s="399">
        <v>0.38</v>
      </c>
    </row>
    <row r="32" spans="1:90" s="1061" customFormat="1" ht="15" customHeight="1">
      <c r="A32" s="63">
        <f t="shared" si="8"/>
        <v>29</v>
      </c>
      <c r="B32" s="63" t="s">
        <v>1308</v>
      </c>
      <c r="C32" s="63" t="s">
        <v>1856</v>
      </c>
      <c r="D32" s="63" t="s">
        <v>1487</v>
      </c>
      <c r="E32" s="64">
        <v>1993</v>
      </c>
      <c r="F32" s="65" t="s">
        <v>144</v>
      </c>
      <c r="G32" s="389">
        <f t="shared" si="9"/>
        <v>0.78500000000000003</v>
      </c>
      <c r="H32" s="389">
        <f t="shared" si="9"/>
        <v>0.70499999999999996</v>
      </c>
      <c r="I32" s="389">
        <f t="shared" si="9"/>
        <v>0.61499999999999999</v>
      </c>
      <c r="J32" s="389">
        <f t="shared" si="9"/>
        <v>0.53500000000000003</v>
      </c>
      <c r="K32" s="389">
        <f t="shared" si="9"/>
        <v>0.47499999999999998</v>
      </c>
      <c r="L32" s="720">
        <v>0.06</v>
      </c>
      <c r="M32" s="63" t="s">
        <v>3153</v>
      </c>
      <c r="N32" s="440">
        <v>4.3999999999999997E-2</v>
      </c>
      <c r="O32" s="390">
        <v>6.0000000000000001E-3</v>
      </c>
      <c r="P32" s="390">
        <v>0</v>
      </c>
      <c r="Q32" s="390">
        <v>0</v>
      </c>
      <c r="R32" s="390">
        <v>0</v>
      </c>
      <c r="S32" s="63" t="str">
        <f t="shared" si="10"/>
        <v>Y</v>
      </c>
      <c r="T32" s="63"/>
      <c r="U32" s="1039"/>
      <c r="V32" s="1039"/>
      <c r="W32" s="1039"/>
      <c r="X32" s="64" t="s">
        <v>2364</v>
      </c>
      <c r="Y32" s="434">
        <v>29</v>
      </c>
      <c r="Z32" s="1"/>
      <c r="AA32" s="1"/>
      <c r="AB32" s="1"/>
      <c r="AC32" s="1"/>
      <c r="AD32" s="1"/>
      <c r="AE32" s="1"/>
      <c r="AF32" s="1"/>
      <c r="AG32" s="1"/>
      <c r="AH32" s="1"/>
      <c r="AI32" s="1"/>
      <c r="AJ32" s="1"/>
      <c r="AK32" s="1097"/>
      <c r="AL32" s="1097" t="s">
        <v>2645</v>
      </c>
      <c r="AM32" s="1097" t="s">
        <v>2646</v>
      </c>
      <c r="AN32" s="1097" t="s">
        <v>2647</v>
      </c>
      <c r="AO32" s="1"/>
      <c r="AP32" s="1"/>
      <c r="AQ32" s="1"/>
      <c r="AR32" s="1"/>
      <c r="AS32" s="1"/>
      <c r="AT32" s="400" t="str">
        <f>AV32&amp;AU32</f>
        <v>48E</v>
      </c>
      <c r="AU32" s="1262" t="s">
        <v>176</v>
      </c>
      <c r="AV32" s="1265">
        <v>48</v>
      </c>
      <c r="AW32" s="1039">
        <v>0.48</v>
      </c>
      <c r="AX32" s="1"/>
      <c r="AY32" s="398" t="s">
        <v>176</v>
      </c>
      <c r="AZ32" s="398">
        <v>48</v>
      </c>
      <c r="BA32" s="399">
        <v>0.28999999999999998</v>
      </c>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row>
    <row r="33" spans="1:90" s="1061" customFormat="1" ht="15" customHeight="1">
      <c r="A33" s="63">
        <f t="shared" si="8"/>
        <v>30</v>
      </c>
      <c r="B33" s="63" t="s">
        <v>1308</v>
      </c>
      <c r="C33" s="63" t="s">
        <v>1856</v>
      </c>
      <c r="D33" s="63" t="s">
        <v>1657</v>
      </c>
      <c r="E33" s="64">
        <v>1991</v>
      </c>
      <c r="F33" s="65" t="s">
        <v>144</v>
      </c>
      <c r="G33" s="389">
        <f t="shared" si="9"/>
        <v>0.78500000000000003</v>
      </c>
      <c r="H33" s="389">
        <f t="shared" si="9"/>
        <v>0.70499999999999996</v>
      </c>
      <c r="I33" s="389">
        <f t="shared" si="9"/>
        <v>0.61499999999999999</v>
      </c>
      <c r="J33" s="389">
        <f t="shared" si="9"/>
        <v>0.53500000000000003</v>
      </c>
      <c r="K33" s="389">
        <f t="shared" si="9"/>
        <v>0.47499999999999998</v>
      </c>
      <c r="L33" s="720">
        <v>0.06</v>
      </c>
      <c r="M33" s="63" t="s">
        <v>3153</v>
      </c>
      <c r="N33" s="440">
        <v>4.3999999999999997E-2</v>
      </c>
      <c r="O33" s="390">
        <v>6.0000000000000001E-3</v>
      </c>
      <c r="P33" s="390">
        <v>0</v>
      </c>
      <c r="Q33" s="390">
        <v>0</v>
      </c>
      <c r="R33" s="390">
        <v>0</v>
      </c>
      <c r="S33" s="63" t="str">
        <f t="shared" si="10"/>
        <v>Y</v>
      </c>
      <c r="T33" s="63"/>
      <c r="U33" s="1039"/>
      <c r="V33" s="1039"/>
      <c r="W33" s="1039"/>
      <c r="X33" s="64" t="s">
        <v>2364</v>
      </c>
      <c r="Y33" s="1063">
        <v>30</v>
      </c>
      <c r="Z33" s="1064" t="s">
        <v>713</v>
      </c>
      <c r="AA33" s="1064" t="s">
        <v>714</v>
      </c>
      <c r="AB33" s="1065">
        <v>6.0000000000000001E-3</v>
      </c>
      <c r="AC33" s="391">
        <f>+VLOOKUP(AA33,$AA$46:$AB$53,2,0)</f>
        <v>6.3E-2</v>
      </c>
      <c r="AD33" s="1066">
        <f>VLOOKUP($AA33,$AA$46:$AE$53,3,0)</f>
        <v>6.3E-2</v>
      </c>
      <c r="AE33" s="391">
        <f t="shared" ref="AE33:AE37" si="17">VLOOKUP($AA33,$AA$46:$AE$53,4,0)</f>
        <v>6.5000000000000002E-2</v>
      </c>
      <c r="AF33" s="391">
        <f t="shared" ref="AF33:AF37" si="18">VLOOKUP($AA33,$AA$46:$AE$53,5,0)</f>
        <v>6.5000000000000002E-2</v>
      </c>
      <c r="AG33" s="391">
        <f t="shared" ref="AG33:AG37" si="19">VLOOKUP($AA33,$AA$46:$AH$53,6,0)</f>
        <v>0.04</v>
      </c>
      <c r="AH33" s="391">
        <f t="shared" ref="AH33:AH37" si="20">VLOOKUP($AA33,$AA$46:$AH$53,7,0)</f>
        <v>0.04</v>
      </c>
      <c r="AI33" s="391">
        <f t="shared" ref="AI33:AI37" si="21">VLOOKUP($AA33,$AA$46:$AH$53,8,0)</f>
        <v>0.04</v>
      </c>
      <c r="AJ33" s="1"/>
      <c r="AK33" s="1098" t="s">
        <v>2640</v>
      </c>
      <c r="AL33" s="1101">
        <v>-1E-3</v>
      </c>
      <c r="AM33" s="1101">
        <v>-1E-3</v>
      </c>
      <c r="AN33" s="1102">
        <v>-1E-3</v>
      </c>
      <c r="AO33" s="1"/>
      <c r="AP33" s="1"/>
      <c r="AQ33" s="1"/>
      <c r="AR33" s="1"/>
      <c r="AS33" s="1"/>
      <c r="AT33" s="400" t="str">
        <f>AV33&amp;AU33</f>
        <v>60E</v>
      </c>
      <c r="AU33" s="1262" t="s">
        <v>176</v>
      </c>
      <c r="AV33" s="1265">
        <v>60</v>
      </c>
      <c r="AW33" s="1039">
        <v>0.42000000000000004</v>
      </c>
      <c r="AX33" s="1"/>
      <c r="AY33" s="398" t="s">
        <v>176</v>
      </c>
      <c r="AZ33" s="398">
        <v>60</v>
      </c>
      <c r="BA33" s="399">
        <v>0.23</v>
      </c>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row>
    <row r="34" spans="1:90" s="1061" customFormat="1" ht="15" customHeight="1">
      <c r="A34" s="63">
        <f t="shared" si="8"/>
        <v>31</v>
      </c>
      <c r="B34" s="63" t="s">
        <v>1308</v>
      </c>
      <c r="C34" s="63" t="s">
        <v>1856</v>
      </c>
      <c r="D34" s="1234" t="s">
        <v>1384</v>
      </c>
      <c r="E34" s="64">
        <v>2999</v>
      </c>
      <c r="F34" s="65" t="s">
        <v>144</v>
      </c>
      <c r="G34" s="389">
        <f t="shared" si="9"/>
        <v>0.73</v>
      </c>
      <c r="H34" s="389">
        <f t="shared" si="9"/>
        <v>0.65</v>
      </c>
      <c r="I34" s="389">
        <f t="shared" si="9"/>
        <v>0.55999999999999994</v>
      </c>
      <c r="J34" s="389">
        <f t="shared" si="9"/>
        <v>0.48</v>
      </c>
      <c r="K34" s="389">
        <f t="shared" si="9"/>
        <v>0.42000000000000004</v>
      </c>
      <c r="L34" s="720">
        <v>0.06</v>
      </c>
      <c r="M34" s="63" t="s">
        <v>176</v>
      </c>
      <c r="N34" s="440">
        <v>4.3999999999999997E-2</v>
      </c>
      <c r="O34" s="390">
        <v>6.0000000000000001E-3</v>
      </c>
      <c r="P34" s="390">
        <v>0</v>
      </c>
      <c r="Q34" s="390">
        <v>0</v>
      </c>
      <c r="R34" s="390">
        <v>0</v>
      </c>
      <c r="S34" s="63" t="str">
        <f t="shared" si="10"/>
        <v>Y</v>
      </c>
      <c r="T34" s="63"/>
      <c r="U34" s="1039"/>
      <c r="V34" s="1039"/>
      <c r="W34" s="1039"/>
      <c r="X34" s="64" t="s">
        <v>2364</v>
      </c>
      <c r="Y34" s="2">
        <v>31</v>
      </c>
      <c r="Z34" s="1067" t="s">
        <v>2512</v>
      </c>
      <c r="AA34" s="1067" t="s">
        <v>2513</v>
      </c>
      <c r="AB34" s="633">
        <v>6.0000000000000001E-3</v>
      </c>
      <c r="AC34" s="296">
        <f>+VLOOKUP(AA34,$AA$46:$AB$53,2,0)</f>
        <v>6.3E-2</v>
      </c>
      <c r="AD34" s="1068">
        <f>VLOOKUP($AA34,$AA$46:$AE$53,3,0)</f>
        <v>6.3E-2</v>
      </c>
      <c r="AE34" s="296">
        <f t="shared" si="17"/>
        <v>6.5000000000000002E-2</v>
      </c>
      <c r="AF34" s="296">
        <f t="shared" si="18"/>
        <v>6.5000000000000002E-2</v>
      </c>
      <c r="AG34" s="296">
        <f t="shared" si="19"/>
        <v>0.04</v>
      </c>
      <c r="AH34" s="296">
        <f t="shared" si="20"/>
        <v>0.04</v>
      </c>
      <c r="AI34" s="296">
        <f t="shared" si="21"/>
        <v>0.04</v>
      </c>
      <c r="AJ34" s="1"/>
      <c r="AK34" s="1099" t="s">
        <v>2641</v>
      </c>
      <c r="AL34" s="1103">
        <v>1E-3</v>
      </c>
      <c r="AM34" s="1103">
        <v>1E-3</v>
      </c>
      <c r="AN34" s="1104">
        <v>1E-3</v>
      </c>
      <c r="AO34" s="1"/>
      <c r="AP34" s="1"/>
      <c r="AQ34" s="1"/>
      <c r="AR34" s="1"/>
      <c r="AS34" s="1"/>
      <c r="AT34" s="400" t="str">
        <f t="shared" si="12"/>
        <v>12F</v>
      </c>
      <c r="AU34" s="1262" t="s">
        <v>320</v>
      </c>
      <c r="AV34" s="1265">
        <v>12</v>
      </c>
      <c r="AW34" s="1039">
        <v>0.72</v>
      </c>
      <c r="AX34" s="1"/>
      <c r="AY34" s="398" t="s">
        <v>192</v>
      </c>
      <c r="AZ34" s="398">
        <v>12</v>
      </c>
      <c r="BA34" s="399">
        <v>0.78</v>
      </c>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row>
    <row r="35" spans="1:90" s="1061" customFormat="1" ht="15" customHeight="1">
      <c r="A35" s="63">
        <f t="shared" si="8"/>
        <v>32</v>
      </c>
      <c r="B35" s="63" t="s">
        <v>1308</v>
      </c>
      <c r="C35" s="63" t="s">
        <v>1856</v>
      </c>
      <c r="D35" s="63" t="s">
        <v>1878</v>
      </c>
      <c r="E35" s="64">
        <v>2999</v>
      </c>
      <c r="F35" s="65" t="s">
        <v>144</v>
      </c>
      <c r="G35" s="389">
        <f t="shared" si="9"/>
        <v>0.73</v>
      </c>
      <c r="H35" s="389">
        <f t="shared" si="9"/>
        <v>0.65</v>
      </c>
      <c r="I35" s="389">
        <f t="shared" si="9"/>
        <v>0.55999999999999994</v>
      </c>
      <c r="J35" s="389">
        <f t="shared" si="9"/>
        <v>0.48</v>
      </c>
      <c r="K35" s="389">
        <f t="shared" si="9"/>
        <v>0.42000000000000004</v>
      </c>
      <c r="L35" s="720">
        <v>0.06</v>
      </c>
      <c r="M35" s="63" t="s">
        <v>176</v>
      </c>
      <c r="N35" s="440">
        <v>4.3999999999999997E-2</v>
      </c>
      <c r="O35" s="390">
        <v>6.0000000000000001E-3</v>
      </c>
      <c r="P35" s="390">
        <v>0</v>
      </c>
      <c r="Q35" s="390">
        <v>0</v>
      </c>
      <c r="R35" s="390">
        <v>0</v>
      </c>
      <c r="S35" s="63" t="str">
        <f t="shared" si="10"/>
        <v>Y</v>
      </c>
      <c r="T35" s="63"/>
      <c r="U35" s="1039"/>
      <c r="V35" s="1039"/>
      <c r="W35" s="1039"/>
      <c r="X35" s="64" t="s">
        <v>2364</v>
      </c>
      <c r="Y35" s="2">
        <v>32</v>
      </c>
      <c r="Z35" s="1067" t="s">
        <v>2514</v>
      </c>
      <c r="AA35" s="1067" t="s">
        <v>714</v>
      </c>
      <c r="AB35" s="633">
        <v>6.0000000000000001E-3</v>
      </c>
      <c r="AC35" s="296">
        <f>+VLOOKUP(AA35,$AA$46:$AB$53,2,0)</f>
        <v>6.3E-2</v>
      </c>
      <c r="AD35" s="1068">
        <f>VLOOKUP($AA35,$AA$46:$AE$53,3,0)</f>
        <v>6.3E-2</v>
      </c>
      <c r="AE35" s="296">
        <f t="shared" si="17"/>
        <v>6.5000000000000002E-2</v>
      </c>
      <c r="AF35" s="296">
        <f t="shared" si="18"/>
        <v>6.5000000000000002E-2</v>
      </c>
      <c r="AG35" s="296">
        <f t="shared" si="19"/>
        <v>0.04</v>
      </c>
      <c r="AH35" s="296">
        <f t="shared" si="20"/>
        <v>0.04</v>
      </c>
      <c r="AI35" s="296">
        <f t="shared" si="21"/>
        <v>0.04</v>
      </c>
      <c r="AJ35" s="1"/>
      <c r="AK35" s="1099" t="s">
        <v>2642</v>
      </c>
      <c r="AL35" s="1103">
        <v>3.0000000000000001E-3</v>
      </c>
      <c r="AM35" s="1103">
        <v>3.0000000000000001E-3</v>
      </c>
      <c r="AN35" s="1104">
        <v>3.0000000000000001E-3</v>
      </c>
      <c r="AO35" s="1"/>
      <c r="AP35" s="1"/>
      <c r="AQ35" s="1"/>
      <c r="AR35" s="1"/>
      <c r="AS35" s="1"/>
      <c r="AT35" s="400" t="str">
        <f t="shared" si="12"/>
        <v>24F</v>
      </c>
      <c r="AU35" s="1262" t="s">
        <v>320</v>
      </c>
      <c r="AV35" s="1263">
        <v>24</v>
      </c>
      <c r="AW35" s="1264">
        <v>0.64</v>
      </c>
      <c r="AX35" s="1"/>
      <c r="AY35" s="398" t="s">
        <v>192</v>
      </c>
      <c r="AZ35" s="398">
        <v>24</v>
      </c>
      <c r="BA35" s="399">
        <v>0.69</v>
      </c>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row>
    <row r="36" spans="1:90" s="1061" customFormat="1" ht="15" customHeight="1">
      <c r="A36" s="63">
        <f t="shared" si="8"/>
        <v>33</v>
      </c>
      <c r="B36" s="63" t="s">
        <v>1308</v>
      </c>
      <c r="C36" s="63" t="s">
        <v>1856</v>
      </c>
      <c r="D36" s="63" t="s">
        <v>1858</v>
      </c>
      <c r="E36" s="64">
        <v>2999</v>
      </c>
      <c r="F36" s="65" t="s">
        <v>144</v>
      </c>
      <c r="G36" s="389">
        <f t="shared" si="9"/>
        <v>0.73</v>
      </c>
      <c r="H36" s="389">
        <f t="shared" si="9"/>
        <v>0.65</v>
      </c>
      <c r="I36" s="389">
        <f t="shared" si="9"/>
        <v>0.55999999999999994</v>
      </c>
      <c r="J36" s="389">
        <f t="shared" si="9"/>
        <v>0.48</v>
      </c>
      <c r="K36" s="389">
        <f t="shared" si="9"/>
        <v>0.42000000000000004</v>
      </c>
      <c r="L36" s="720">
        <v>0.06</v>
      </c>
      <c r="M36" s="63" t="s">
        <v>176</v>
      </c>
      <c r="N36" s="440">
        <v>4.3999999999999997E-2</v>
      </c>
      <c r="O36" s="390">
        <v>6.0000000000000001E-3</v>
      </c>
      <c r="P36" s="390">
        <v>0</v>
      </c>
      <c r="Q36" s="390">
        <v>0</v>
      </c>
      <c r="R36" s="390">
        <v>0</v>
      </c>
      <c r="S36" s="63" t="str">
        <f t="shared" si="10"/>
        <v>Y</v>
      </c>
      <c r="T36" s="63"/>
      <c r="U36" s="1039"/>
      <c r="V36" s="1039"/>
      <c r="W36" s="1039"/>
      <c r="X36" s="64" t="s">
        <v>2364</v>
      </c>
      <c r="Y36" s="2">
        <v>33</v>
      </c>
      <c r="Z36" s="1067" t="s">
        <v>2515</v>
      </c>
      <c r="AA36" s="1067" t="s">
        <v>714</v>
      </c>
      <c r="AB36" s="633">
        <v>6.0000000000000001E-3</v>
      </c>
      <c r="AC36" s="296">
        <v>6.3E-2</v>
      </c>
      <c r="AD36" s="1068">
        <v>7.4999999999999997E-2</v>
      </c>
      <c r="AE36" s="296">
        <f t="shared" si="17"/>
        <v>6.5000000000000002E-2</v>
      </c>
      <c r="AF36" s="296">
        <f t="shared" si="18"/>
        <v>6.5000000000000002E-2</v>
      </c>
      <c r="AG36" s="296">
        <f t="shared" si="19"/>
        <v>0.04</v>
      </c>
      <c r="AH36" s="296">
        <f t="shared" si="20"/>
        <v>0.04</v>
      </c>
      <c r="AI36" s="296">
        <f t="shared" si="21"/>
        <v>0.04</v>
      </c>
      <c r="AJ36" s="1"/>
      <c r="AK36" s="1099" t="s">
        <v>2643</v>
      </c>
      <c r="AL36" s="1103">
        <v>-7.0000000000000001E-3</v>
      </c>
      <c r="AM36" s="1103">
        <v>-7.0000000000000001E-3</v>
      </c>
      <c r="AN36" s="1104">
        <v>-7.0000000000000001E-3</v>
      </c>
      <c r="AO36" s="1"/>
      <c r="AP36" s="1"/>
      <c r="AQ36" s="1"/>
      <c r="AR36" s="1"/>
      <c r="AS36" s="1"/>
      <c r="AT36" s="400" t="str">
        <f t="shared" si="12"/>
        <v>36F</v>
      </c>
      <c r="AU36" s="1262" t="s">
        <v>320</v>
      </c>
      <c r="AV36" s="1265">
        <v>36</v>
      </c>
      <c r="AW36" s="1039">
        <v>0.54999999999999993</v>
      </c>
      <c r="AX36" s="1"/>
      <c r="AY36" s="398" t="s">
        <v>192</v>
      </c>
      <c r="AZ36" s="398">
        <v>36</v>
      </c>
      <c r="BA36" s="399">
        <v>0.6</v>
      </c>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row>
    <row r="37" spans="1:90" s="1061" customFormat="1" ht="15" customHeight="1">
      <c r="A37" s="63">
        <f t="shared" si="8"/>
        <v>34</v>
      </c>
      <c r="B37" s="63" t="s">
        <v>1308</v>
      </c>
      <c r="C37" s="63" t="s">
        <v>1856</v>
      </c>
      <c r="D37" s="1234" t="s">
        <v>1859</v>
      </c>
      <c r="E37" s="64">
        <v>2925</v>
      </c>
      <c r="F37" s="65" t="s">
        <v>189</v>
      </c>
      <c r="G37" s="389">
        <f t="shared" si="9"/>
        <v>0.7</v>
      </c>
      <c r="H37" s="389">
        <f t="shared" si="9"/>
        <v>0.62</v>
      </c>
      <c r="I37" s="389">
        <f t="shared" si="9"/>
        <v>0.52999999999999992</v>
      </c>
      <c r="J37" s="389">
        <f t="shared" si="9"/>
        <v>0.45</v>
      </c>
      <c r="K37" s="389">
        <f t="shared" si="9"/>
        <v>0.39</v>
      </c>
      <c r="L37" s="720">
        <v>0.06</v>
      </c>
      <c r="M37" s="63" t="s">
        <v>3159</v>
      </c>
      <c r="N37" s="440">
        <v>4.3999999999999997E-2</v>
      </c>
      <c r="O37" s="390">
        <v>6.0000000000000001E-3</v>
      </c>
      <c r="P37" s="390">
        <v>0</v>
      </c>
      <c r="Q37" s="390">
        <v>0</v>
      </c>
      <c r="R37" s="390">
        <v>0</v>
      </c>
      <c r="S37" s="63" t="str">
        <f t="shared" si="10"/>
        <v>N</v>
      </c>
      <c r="T37" s="63"/>
      <c r="U37" s="1039"/>
      <c r="V37" s="1039"/>
      <c r="W37" s="1039"/>
      <c r="X37" s="64" t="s">
        <v>2364</v>
      </c>
      <c r="Y37" s="2">
        <v>34</v>
      </c>
      <c r="Z37" s="1067" t="s">
        <v>3221</v>
      </c>
      <c r="AA37" s="1067" t="s">
        <v>3112</v>
      </c>
      <c r="AB37" s="633">
        <v>6.0000000000000001E-3</v>
      </c>
      <c r="AC37" s="296">
        <v>6.3E-2</v>
      </c>
      <c r="AD37" s="1068">
        <v>7.4999999999999997E-2</v>
      </c>
      <c r="AE37" s="296">
        <f t="shared" si="17"/>
        <v>6.5000000000000002E-2</v>
      </c>
      <c r="AF37" s="296">
        <f t="shared" si="18"/>
        <v>6.5000000000000002E-2</v>
      </c>
      <c r="AG37" s="296">
        <f t="shared" si="19"/>
        <v>0.04</v>
      </c>
      <c r="AH37" s="296">
        <f t="shared" si="20"/>
        <v>0.04</v>
      </c>
      <c r="AI37" s="296">
        <f t="shared" si="21"/>
        <v>0.04</v>
      </c>
      <c r="AJ37" s="1"/>
      <c r="AK37" s="1099" t="s">
        <v>2644</v>
      </c>
      <c r="AL37" s="1103">
        <v>1.2999999999999999E-2</v>
      </c>
      <c r="AM37" s="1285">
        <f t="shared" ref="AM37:AN37" si="22">1.2%+0.1%</f>
        <v>1.3000000000000001E-2</v>
      </c>
      <c r="AN37" s="1286">
        <f t="shared" si="22"/>
        <v>1.3000000000000001E-2</v>
      </c>
      <c r="AO37" s="1"/>
      <c r="AP37" s="1"/>
      <c r="AQ37" s="1"/>
      <c r="AR37" s="1"/>
      <c r="AS37" s="1"/>
      <c r="AT37" s="400" t="str">
        <f t="shared" si="12"/>
        <v>48F</v>
      </c>
      <c r="AU37" s="1262" t="s">
        <v>320</v>
      </c>
      <c r="AV37" s="1265">
        <v>48</v>
      </c>
      <c r="AW37" s="1039">
        <v>0.47000000000000003</v>
      </c>
      <c r="AX37" s="1"/>
      <c r="AY37" s="398" t="s">
        <v>192</v>
      </c>
      <c r="AZ37" s="398">
        <v>48</v>
      </c>
      <c r="BA37" s="399">
        <v>0.54</v>
      </c>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row>
    <row r="38" spans="1:90" s="1061" customFormat="1" ht="15" customHeight="1">
      <c r="A38" s="63">
        <f t="shared" si="8"/>
        <v>35</v>
      </c>
      <c r="B38" s="63" t="s">
        <v>1308</v>
      </c>
      <c r="C38" s="63" t="s">
        <v>1856</v>
      </c>
      <c r="D38" s="1234" t="s">
        <v>1860</v>
      </c>
      <c r="E38" s="64">
        <v>1991</v>
      </c>
      <c r="F38" s="65" t="s">
        <v>189</v>
      </c>
      <c r="G38" s="389">
        <f t="shared" si="9"/>
        <v>0.74</v>
      </c>
      <c r="H38" s="389">
        <f t="shared" si="9"/>
        <v>0.66</v>
      </c>
      <c r="I38" s="389">
        <f t="shared" si="9"/>
        <v>0.56999999999999995</v>
      </c>
      <c r="J38" s="389">
        <f t="shared" si="9"/>
        <v>0.49</v>
      </c>
      <c r="K38" s="389">
        <f t="shared" si="9"/>
        <v>0.43000000000000005</v>
      </c>
      <c r="L38" s="720">
        <v>0.06</v>
      </c>
      <c r="M38" s="63" t="s">
        <v>170</v>
      </c>
      <c r="N38" s="440">
        <v>4.3999999999999997E-2</v>
      </c>
      <c r="O38" s="390">
        <v>6.0000000000000001E-3</v>
      </c>
      <c r="P38" s="390">
        <v>0</v>
      </c>
      <c r="Q38" s="390">
        <v>0</v>
      </c>
      <c r="R38" s="390">
        <v>0</v>
      </c>
      <c r="S38" s="63" t="str">
        <f t="shared" si="10"/>
        <v>N</v>
      </c>
      <c r="T38" s="63"/>
      <c r="U38" s="1039"/>
      <c r="V38" s="1039"/>
      <c r="W38" s="1039"/>
      <c r="X38" s="64" t="s">
        <v>2364</v>
      </c>
      <c r="Y38" s="2">
        <v>35</v>
      </c>
      <c r="Z38" s="1067" t="s">
        <v>3220</v>
      </c>
      <c r="AA38" s="1067" t="s">
        <v>207</v>
      </c>
      <c r="AB38" s="633">
        <v>6.0000000000000001E-3</v>
      </c>
      <c r="AC38" s="296">
        <v>6.3E-2</v>
      </c>
      <c r="AD38" s="1068">
        <v>7.4999999999999997E-2</v>
      </c>
      <c r="AE38" s="296">
        <v>6.5000000000000002E-2</v>
      </c>
      <c r="AF38" s="296">
        <v>6.5000000000000002E-2</v>
      </c>
      <c r="AG38" s="296">
        <v>0.04</v>
      </c>
      <c r="AH38" s="296">
        <v>0.04</v>
      </c>
      <c r="AI38" s="296">
        <v>0.04</v>
      </c>
      <c r="AJ38" s="1"/>
      <c r="AK38" s="1099" t="s">
        <v>3051</v>
      </c>
      <c r="AL38" s="1103">
        <v>0</v>
      </c>
      <c r="AM38" s="1103">
        <v>0</v>
      </c>
      <c r="AN38" s="1104">
        <v>0</v>
      </c>
      <c r="AO38" s="1"/>
      <c r="AP38" s="1"/>
      <c r="AQ38" s="1"/>
      <c r="AR38" s="1"/>
      <c r="AS38" s="1"/>
      <c r="AT38" s="400" t="str">
        <f t="shared" si="12"/>
        <v>60F</v>
      </c>
      <c r="AU38" s="1262" t="s">
        <v>320</v>
      </c>
      <c r="AV38" s="1265">
        <v>60</v>
      </c>
      <c r="AW38" s="1039">
        <v>0.41000000000000003</v>
      </c>
      <c r="AX38" s="1"/>
      <c r="AY38" s="398" t="s">
        <v>192</v>
      </c>
      <c r="AZ38" s="398">
        <v>60</v>
      </c>
      <c r="BA38" s="399">
        <v>0.45</v>
      </c>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row>
    <row r="39" spans="1:90" s="1061" customFormat="1" ht="15" customHeight="1">
      <c r="A39" s="63">
        <f t="shared" si="8"/>
        <v>36</v>
      </c>
      <c r="B39" s="63" t="s">
        <v>2332</v>
      </c>
      <c r="C39" s="63" t="s">
        <v>1856</v>
      </c>
      <c r="D39" s="1234" t="s">
        <v>2334</v>
      </c>
      <c r="E39" s="64">
        <v>1991</v>
      </c>
      <c r="F39" s="65" t="s">
        <v>1870</v>
      </c>
      <c r="G39" s="389">
        <f t="shared" si="9"/>
        <v>0.74</v>
      </c>
      <c r="H39" s="389">
        <f t="shared" si="9"/>
        <v>0.66</v>
      </c>
      <c r="I39" s="389">
        <f t="shared" si="9"/>
        <v>0.56999999999999995</v>
      </c>
      <c r="J39" s="389">
        <f t="shared" si="9"/>
        <v>0.49</v>
      </c>
      <c r="K39" s="389">
        <f t="shared" si="9"/>
        <v>0.43000000000000005</v>
      </c>
      <c r="L39" s="720">
        <v>0.06</v>
      </c>
      <c r="M39" s="63" t="s">
        <v>170</v>
      </c>
      <c r="N39" s="440">
        <v>4.3999999999999997E-2</v>
      </c>
      <c r="O39" s="390">
        <v>6.0000000000000001E-3</v>
      </c>
      <c r="P39" s="390">
        <v>0</v>
      </c>
      <c r="Q39" s="390">
        <v>0</v>
      </c>
      <c r="R39" s="390">
        <v>0</v>
      </c>
      <c r="S39" s="63" t="str">
        <f t="shared" si="10"/>
        <v>N</v>
      </c>
      <c r="T39" s="63"/>
      <c r="U39" s="1039"/>
      <c r="V39" s="1039"/>
      <c r="W39" s="1039"/>
      <c r="X39" s="64" t="s">
        <v>2364</v>
      </c>
      <c r="Y39" s="434">
        <v>36</v>
      </c>
      <c r="Z39" s="1069" t="s">
        <v>3222</v>
      </c>
      <c r="AA39" s="1069" t="s">
        <v>207</v>
      </c>
      <c r="AB39" s="1070">
        <v>6.0000000000000001E-3</v>
      </c>
      <c r="AC39" s="433">
        <v>6.3E-2</v>
      </c>
      <c r="AD39" s="1071">
        <v>7.4999999999999997E-2</v>
      </c>
      <c r="AE39" s="433">
        <v>6.5000000000000002E-2</v>
      </c>
      <c r="AF39" s="433">
        <v>6.5000000000000002E-2</v>
      </c>
      <c r="AG39" s="433">
        <v>0.04</v>
      </c>
      <c r="AH39" s="433">
        <v>0.04</v>
      </c>
      <c r="AI39" s="433">
        <v>0.04</v>
      </c>
      <c r="AJ39" s="1"/>
      <c r="AK39" s="1100" t="s">
        <v>3244</v>
      </c>
      <c r="AL39" s="1105">
        <v>-3.0000000000000001E-3</v>
      </c>
      <c r="AM39" s="1105">
        <v>-3.0000000000000001E-3</v>
      </c>
      <c r="AN39" s="1106">
        <v>-3.0000000000000001E-3</v>
      </c>
      <c r="AO39" s="1"/>
      <c r="AP39" s="1"/>
      <c r="AQ39" s="1"/>
      <c r="AR39" s="1"/>
      <c r="AS39" s="1"/>
      <c r="AT39" s="400" t="str">
        <f t="shared" si="12"/>
        <v>12G</v>
      </c>
      <c r="AU39" s="1262" t="s">
        <v>321</v>
      </c>
      <c r="AV39" s="1265">
        <v>12</v>
      </c>
      <c r="AW39" s="1039">
        <v>0.71</v>
      </c>
      <c r="AX39" s="1"/>
      <c r="AY39" s="398" t="s">
        <v>193</v>
      </c>
      <c r="AZ39" s="398">
        <v>12</v>
      </c>
      <c r="BA39" s="399">
        <v>0.75</v>
      </c>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row>
    <row r="40" spans="1:90" s="1061" customFormat="1" ht="15" customHeight="1">
      <c r="A40" s="63">
        <f t="shared" si="8"/>
        <v>37</v>
      </c>
      <c r="B40" s="63" t="s">
        <v>1308</v>
      </c>
      <c r="C40" s="63" t="s">
        <v>1856</v>
      </c>
      <c r="D40" s="63" t="s">
        <v>2166</v>
      </c>
      <c r="E40" s="64">
        <v>1991</v>
      </c>
      <c r="F40" s="65" t="s">
        <v>620</v>
      </c>
      <c r="G40" s="389">
        <f t="shared" si="9"/>
        <v>0.74</v>
      </c>
      <c r="H40" s="389">
        <f t="shared" si="9"/>
        <v>0.66</v>
      </c>
      <c r="I40" s="389">
        <f t="shared" si="9"/>
        <v>0.56999999999999995</v>
      </c>
      <c r="J40" s="389">
        <f t="shared" si="9"/>
        <v>0.49</v>
      </c>
      <c r="K40" s="389">
        <f t="shared" si="9"/>
        <v>0.43000000000000005</v>
      </c>
      <c r="L40" s="720">
        <v>0.06</v>
      </c>
      <c r="M40" s="63" t="s">
        <v>170</v>
      </c>
      <c r="N40" s="440">
        <v>4.3999999999999997E-2</v>
      </c>
      <c r="O40" s="390">
        <v>6.0000000000000001E-3</v>
      </c>
      <c r="P40" s="390">
        <v>0</v>
      </c>
      <c r="Q40" s="390">
        <v>0</v>
      </c>
      <c r="R40" s="390">
        <v>0</v>
      </c>
      <c r="S40" s="63" t="str">
        <f t="shared" si="10"/>
        <v>N</v>
      </c>
      <c r="T40" s="63"/>
      <c r="U40" s="1039"/>
      <c r="V40" s="1039"/>
      <c r="W40" s="1039"/>
      <c r="X40" s="64" t="s">
        <v>2364</v>
      </c>
      <c r="Y40" s="1"/>
      <c r="Z40" s="1"/>
      <c r="AA40" s="1"/>
      <c r="AB40" s="1"/>
      <c r="AC40" s="1"/>
      <c r="AD40" s="1"/>
      <c r="AE40" s="1"/>
      <c r="AF40" s="1"/>
      <c r="AG40" s="1"/>
      <c r="AH40" s="1"/>
      <c r="AI40" s="1"/>
      <c r="AJ40" s="1"/>
      <c r="AK40" s="1"/>
      <c r="AL40" s="1"/>
      <c r="AM40" s="1"/>
      <c r="AN40" s="439"/>
      <c r="AO40" s="1"/>
      <c r="AP40" s="1"/>
      <c r="AQ40" s="1"/>
      <c r="AR40" s="1"/>
      <c r="AS40" s="1"/>
      <c r="AT40" s="400" t="str">
        <f t="shared" si="12"/>
        <v>24G</v>
      </c>
      <c r="AU40" s="1262" t="s">
        <v>321</v>
      </c>
      <c r="AV40" s="1263">
        <v>24</v>
      </c>
      <c r="AW40" s="1264">
        <v>0.63</v>
      </c>
      <c r="AX40" s="1"/>
      <c r="AY40" s="398" t="s">
        <v>193</v>
      </c>
      <c r="AZ40" s="398">
        <v>24</v>
      </c>
      <c r="BA40" s="399">
        <v>0.66</v>
      </c>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row>
    <row r="41" spans="1:90" s="1061" customFormat="1" ht="15" customHeight="1">
      <c r="A41" s="63">
        <f t="shared" si="8"/>
        <v>38</v>
      </c>
      <c r="B41" s="63" t="s">
        <v>1308</v>
      </c>
      <c r="C41" s="63" t="s">
        <v>1856</v>
      </c>
      <c r="D41" s="1234" t="s">
        <v>1887</v>
      </c>
      <c r="E41" s="64">
        <v>1950</v>
      </c>
      <c r="F41" s="65" t="s">
        <v>620</v>
      </c>
      <c r="G41" s="389">
        <f t="shared" si="9"/>
        <v>0.74</v>
      </c>
      <c r="H41" s="389">
        <f t="shared" si="9"/>
        <v>0.66</v>
      </c>
      <c r="I41" s="389">
        <f t="shared" si="9"/>
        <v>0.56999999999999995</v>
      </c>
      <c r="J41" s="389">
        <f t="shared" si="9"/>
        <v>0.49</v>
      </c>
      <c r="K41" s="389">
        <f t="shared" si="9"/>
        <v>0.43000000000000005</v>
      </c>
      <c r="L41" s="720">
        <v>0.06</v>
      </c>
      <c r="M41" s="63" t="s">
        <v>170</v>
      </c>
      <c r="N41" s="440">
        <v>4.3999999999999997E-2</v>
      </c>
      <c r="O41" s="390">
        <v>6.0000000000000001E-3</v>
      </c>
      <c r="P41" s="390">
        <v>0</v>
      </c>
      <c r="Q41" s="390">
        <v>0</v>
      </c>
      <c r="R41" s="390">
        <v>0</v>
      </c>
      <c r="S41" s="63" t="str">
        <f t="shared" si="10"/>
        <v>N</v>
      </c>
      <c r="T41" s="63"/>
      <c r="U41" s="1039"/>
      <c r="V41" s="1039"/>
      <c r="W41" s="1039"/>
      <c r="X41" s="64" t="s">
        <v>2364</v>
      </c>
      <c r="Y41" s="1"/>
      <c r="Z41" s="1"/>
      <c r="AA41" s="1"/>
      <c r="AB41" s="1"/>
      <c r="AC41" s="1"/>
      <c r="AD41" s="1"/>
      <c r="AE41" s="1"/>
      <c r="AF41" s="1"/>
      <c r="AG41" s="1"/>
      <c r="AH41" s="1"/>
      <c r="AI41" s="1"/>
      <c r="AJ41" s="1"/>
      <c r="AK41" s="1"/>
      <c r="AL41" s="1"/>
      <c r="AM41" s="1"/>
      <c r="AN41" s="439"/>
      <c r="AO41" s="1"/>
      <c r="AP41" s="1"/>
      <c r="AQ41" s="1"/>
      <c r="AR41" s="1"/>
      <c r="AS41" s="1"/>
      <c r="AT41" s="400" t="str">
        <f t="shared" si="12"/>
        <v>36G</v>
      </c>
      <c r="AU41" s="1262" t="s">
        <v>321</v>
      </c>
      <c r="AV41" s="1265">
        <v>36</v>
      </c>
      <c r="AW41" s="1039">
        <v>0.53999999999999992</v>
      </c>
      <c r="AX41" s="1"/>
      <c r="AY41" s="398" t="s">
        <v>193</v>
      </c>
      <c r="AZ41" s="398">
        <v>36</v>
      </c>
      <c r="BA41" s="399">
        <v>0.56999999999999995</v>
      </c>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row>
    <row r="42" spans="1:90" s="1061" customFormat="1" ht="15" customHeight="1">
      <c r="A42" s="63">
        <f t="shared" si="8"/>
        <v>39</v>
      </c>
      <c r="B42" s="63" t="s">
        <v>1308</v>
      </c>
      <c r="C42" s="63" t="s">
        <v>1856</v>
      </c>
      <c r="D42" s="1234" t="s">
        <v>2545</v>
      </c>
      <c r="E42" s="64">
        <v>1993</v>
      </c>
      <c r="F42" s="65" t="s">
        <v>620</v>
      </c>
      <c r="G42" s="389">
        <f t="shared" si="9"/>
        <v>0.76</v>
      </c>
      <c r="H42" s="389">
        <f t="shared" si="9"/>
        <v>0.67999999999999994</v>
      </c>
      <c r="I42" s="389">
        <f t="shared" si="9"/>
        <v>0.59</v>
      </c>
      <c r="J42" s="389">
        <f t="shared" si="9"/>
        <v>0.51</v>
      </c>
      <c r="K42" s="389">
        <f t="shared" si="9"/>
        <v>0.44999999999999996</v>
      </c>
      <c r="L42" s="720">
        <v>0.06</v>
      </c>
      <c r="M42" s="63" t="s">
        <v>159</v>
      </c>
      <c r="N42" s="440">
        <v>4.3999999999999997E-2</v>
      </c>
      <c r="O42" s="390">
        <v>6.0000000000000001E-3</v>
      </c>
      <c r="P42" s="390">
        <v>0</v>
      </c>
      <c r="Q42" s="390">
        <v>0</v>
      </c>
      <c r="R42" s="390">
        <v>0</v>
      </c>
      <c r="S42" s="63" t="str">
        <f t="shared" si="10"/>
        <v>N</v>
      </c>
      <c r="T42" s="63"/>
      <c r="U42" s="1039"/>
      <c r="V42" s="1039"/>
      <c r="W42" s="1039"/>
      <c r="X42" s="64" t="s">
        <v>2364</v>
      </c>
      <c r="Y42" s="1"/>
      <c r="Z42" s="1"/>
      <c r="AA42" s="1"/>
      <c r="AB42" s="1"/>
      <c r="AC42" s="1"/>
      <c r="AD42" s="1"/>
      <c r="AE42" s="1"/>
      <c r="AF42" s="1"/>
      <c r="AG42" s="1"/>
      <c r="AH42" s="1"/>
      <c r="AI42" s="1"/>
      <c r="AJ42" s="1"/>
      <c r="AK42" s="1"/>
      <c r="AL42" s="1"/>
      <c r="AM42" s="1"/>
      <c r="AN42" s="439"/>
      <c r="AO42" s="1"/>
      <c r="AP42" s="1"/>
      <c r="AQ42" s="1"/>
      <c r="AR42" s="1"/>
      <c r="AS42" s="1"/>
      <c r="AT42" s="400" t="str">
        <f t="shared" si="12"/>
        <v>48G</v>
      </c>
      <c r="AU42" s="1262" t="s">
        <v>321</v>
      </c>
      <c r="AV42" s="1265">
        <v>48</v>
      </c>
      <c r="AW42" s="1039">
        <v>0.46</v>
      </c>
      <c r="AX42" s="1"/>
      <c r="AY42" s="435" t="s">
        <v>193</v>
      </c>
      <c r="AZ42" s="435">
        <v>48</v>
      </c>
      <c r="BA42" s="436">
        <v>0.51</v>
      </c>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row>
    <row r="43" spans="1:90" s="1061" customFormat="1" ht="15" customHeight="1">
      <c r="A43" s="63">
        <f t="shared" si="8"/>
        <v>40</v>
      </c>
      <c r="B43" s="63" t="s">
        <v>1308</v>
      </c>
      <c r="C43" s="63" t="s">
        <v>1856</v>
      </c>
      <c r="D43" s="1234" t="s">
        <v>1888</v>
      </c>
      <c r="E43" s="64">
        <v>1950</v>
      </c>
      <c r="F43" s="65" t="s">
        <v>620</v>
      </c>
      <c r="G43" s="389">
        <f t="shared" si="9"/>
        <v>0.76</v>
      </c>
      <c r="H43" s="389">
        <f t="shared" si="9"/>
        <v>0.67999999999999994</v>
      </c>
      <c r="I43" s="389">
        <f t="shared" si="9"/>
        <v>0.59</v>
      </c>
      <c r="J43" s="389">
        <f t="shared" si="9"/>
        <v>0.51</v>
      </c>
      <c r="K43" s="389">
        <f t="shared" si="9"/>
        <v>0.44999999999999996</v>
      </c>
      <c r="L43" s="720">
        <v>0.06</v>
      </c>
      <c r="M43" s="63" t="s">
        <v>159</v>
      </c>
      <c r="N43" s="440">
        <v>4.3999999999999997E-2</v>
      </c>
      <c r="O43" s="390">
        <v>6.0000000000000001E-3</v>
      </c>
      <c r="P43" s="390">
        <v>0</v>
      </c>
      <c r="Q43" s="390">
        <v>0</v>
      </c>
      <c r="R43" s="390">
        <v>0</v>
      </c>
      <c r="S43" s="63" t="str">
        <f t="shared" si="10"/>
        <v>N</v>
      </c>
      <c r="T43" s="63"/>
      <c r="U43" s="1039"/>
      <c r="V43" s="1039"/>
      <c r="W43" s="1039"/>
      <c r="X43" s="64" t="s">
        <v>2364</v>
      </c>
      <c r="Y43" s="439"/>
      <c r="Z43" s="1"/>
      <c r="AA43" s="1072"/>
      <c r="AB43" s="2333" t="s">
        <v>504</v>
      </c>
      <c r="AC43" s="2342"/>
      <c r="AD43" s="2342"/>
      <c r="AE43" s="2334"/>
      <c r="AF43" s="2327" t="s">
        <v>2516</v>
      </c>
      <c r="AG43" s="2328"/>
      <c r="AH43" s="2329"/>
      <c r="AI43" s="1"/>
      <c r="AJ43" s="1"/>
      <c r="AK43" s="1"/>
      <c r="AL43" s="1"/>
      <c r="AM43" s="1"/>
      <c r="AN43" s="1"/>
      <c r="AO43" s="1"/>
      <c r="AP43" s="1"/>
      <c r="AQ43" s="1"/>
      <c r="AR43" s="1"/>
      <c r="AS43" s="1"/>
      <c r="AT43" s="1030" t="str">
        <f t="shared" si="12"/>
        <v>60G</v>
      </c>
      <c r="AU43" s="1266" t="s">
        <v>321</v>
      </c>
      <c r="AV43" s="1267">
        <v>60</v>
      </c>
      <c r="AW43" s="1268">
        <v>0.4</v>
      </c>
      <c r="AX43" s="1"/>
      <c r="AY43" s="435" t="s">
        <v>193</v>
      </c>
      <c r="AZ43" s="435">
        <v>60</v>
      </c>
      <c r="BA43" s="436">
        <v>0.42</v>
      </c>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row>
    <row r="44" spans="1:90" ht="15" customHeight="1">
      <c r="A44" s="63">
        <f t="shared" si="8"/>
        <v>41</v>
      </c>
      <c r="B44" s="63" t="s">
        <v>2495</v>
      </c>
      <c r="C44" s="63" t="s">
        <v>2496</v>
      </c>
      <c r="D44" s="1234" t="s">
        <v>2546</v>
      </c>
      <c r="E44" s="64">
        <v>1999</v>
      </c>
      <c r="F44" s="65" t="s">
        <v>620</v>
      </c>
      <c r="G44" s="389">
        <f t="shared" si="9"/>
        <v>0.76</v>
      </c>
      <c r="H44" s="389">
        <f t="shared" si="9"/>
        <v>0.67999999999999994</v>
      </c>
      <c r="I44" s="389">
        <f t="shared" si="9"/>
        <v>0.59</v>
      </c>
      <c r="J44" s="389">
        <f t="shared" si="9"/>
        <v>0.51</v>
      </c>
      <c r="K44" s="389">
        <f t="shared" si="9"/>
        <v>0.44999999999999996</v>
      </c>
      <c r="L44" s="720">
        <v>0.06</v>
      </c>
      <c r="M44" s="63" t="s">
        <v>159</v>
      </c>
      <c r="N44" s="440">
        <v>4.3999999999999997E-2</v>
      </c>
      <c r="O44" s="390">
        <v>6.0000000000000001E-3</v>
      </c>
      <c r="P44" s="390">
        <v>0</v>
      </c>
      <c r="Q44" s="390">
        <v>0</v>
      </c>
      <c r="R44" s="390">
        <v>0</v>
      </c>
      <c r="S44" s="63" t="str">
        <f t="shared" si="10"/>
        <v>N</v>
      </c>
      <c r="T44" s="63"/>
      <c r="U44" s="1039"/>
      <c r="V44" s="1039"/>
      <c r="W44" s="1039"/>
      <c r="X44" s="64" t="s">
        <v>2364</v>
      </c>
      <c r="AA44" s="472"/>
      <c r="AB44" s="2333" t="s">
        <v>2517</v>
      </c>
      <c r="AC44" s="2334"/>
      <c r="AD44" s="2333" t="s">
        <v>2518</v>
      </c>
      <c r="AE44" s="2334"/>
      <c r="AF44" s="2330"/>
      <c r="AG44" s="2331"/>
      <c r="AH44" s="2332"/>
      <c r="AN44" s="439"/>
      <c r="AT44" s="400" t="str">
        <f t="shared" si="12"/>
        <v>12H</v>
      </c>
      <c r="AU44" s="1259" t="s">
        <v>322</v>
      </c>
      <c r="AV44" s="1260">
        <v>12</v>
      </c>
      <c r="AW44" s="1261">
        <v>0.7</v>
      </c>
      <c r="AY44" s="435" t="s">
        <v>194</v>
      </c>
      <c r="AZ44" s="435">
        <v>12</v>
      </c>
      <c r="BA44" s="436">
        <v>0.75</v>
      </c>
    </row>
    <row r="45" spans="1:90" ht="15" customHeight="1">
      <c r="A45" s="63">
        <f t="shared" si="8"/>
        <v>42</v>
      </c>
      <c r="B45" s="63" t="s">
        <v>1308</v>
      </c>
      <c r="C45" s="63" t="s">
        <v>2497</v>
      </c>
      <c r="D45" s="1234" t="s">
        <v>2498</v>
      </c>
      <c r="E45" s="64">
        <v>1999</v>
      </c>
      <c r="F45" s="65" t="s">
        <v>2499</v>
      </c>
      <c r="G45" s="389">
        <f t="shared" si="9"/>
        <v>0.76</v>
      </c>
      <c r="H45" s="389">
        <f t="shared" si="9"/>
        <v>0.67999999999999994</v>
      </c>
      <c r="I45" s="389">
        <f t="shared" si="9"/>
        <v>0.59</v>
      </c>
      <c r="J45" s="389">
        <f t="shared" si="9"/>
        <v>0.51</v>
      </c>
      <c r="K45" s="389">
        <f t="shared" si="9"/>
        <v>0.44999999999999996</v>
      </c>
      <c r="L45" s="720">
        <v>0.06</v>
      </c>
      <c r="M45" s="63" t="s">
        <v>159</v>
      </c>
      <c r="N45" s="440">
        <v>4.3999999999999997E-2</v>
      </c>
      <c r="O45" s="390">
        <v>6.0000000000000001E-3</v>
      </c>
      <c r="P45" s="390">
        <v>0</v>
      </c>
      <c r="Q45" s="390">
        <v>0</v>
      </c>
      <c r="R45" s="390">
        <v>0</v>
      </c>
      <c r="S45" s="63" t="str">
        <f t="shared" si="10"/>
        <v>N</v>
      </c>
      <c r="T45" s="63"/>
      <c r="U45" s="1039"/>
      <c r="V45" s="1039"/>
      <c r="W45" s="1039"/>
      <c r="X45" s="64" t="s">
        <v>2364</v>
      </c>
      <c r="AA45" s="473" t="s">
        <v>180</v>
      </c>
      <c r="AB45" s="473" t="s">
        <v>181</v>
      </c>
      <c r="AC45" s="473" t="s">
        <v>182</v>
      </c>
      <c r="AD45" s="473" t="s">
        <v>181</v>
      </c>
      <c r="AE45" s="473" t="s">
        <v>182</v>
      </c>
      <c r="AF45" s="473" t="s">
        <v>183</v>
      </c>
      <c r="AG45" s="473" t="s">
        <v>184</v>
      </c>
      <c r="AH45" s="473" t="s">
        <v>185</v>
      </c>
      <c r="AN45" s="439"/>
      <c r="AT45" s="400" t="str">
        <f t="shared" si="12"/>
        <v>24H</v>
      </c>
      <c r="AU45" s="1262" t="s">
        <v>322</v>
      </c>
      <c r="AV45" s="1263">
        <v>24</v>
      </c>
      <c r="AW45" s="1264">
        <v>0.62</v>
      </c>
      <c r="AY45" s="435" t="s">
        <v>194</v>
      </c>
      <c r="AZ45" s="435">
        <v>24</v>
      </c>
      <c r="BA45" s="436">
        <v>0.65</v>
      </c>
    </row>
    <row r="46" spans="1:90" ht="15" customHeight="1">
      <c r="A46" s="63">
        <f t="shared" si="8"/>
        <v>43</v>
      </c>
      <c r="B46" s="63" t="s">
        <v>2495</v>
      </c>
      <c r="C46" s="63" t="s">
        <v>2496</v>
      </c>
      <c r="D46" s="1234" t="s">
        <v>2500</v>
      </c>
      <c r="E46" s="64">
        <v>1991</v>
      </c>
      <c r="F46" s="65" t="s">
        <v>2501</v>
      </c>
      <c r="G46" s="389">
        <f t="shared" si="9"/>
        <v>0.76</v>
      </c>
      <c r="H46" s="389">
        <f t="shared" si="9"/>
        <v>0.67999999999999994</v>
      </c>
      <c r="I46" s="389">
        <f t="shared" si="9"/>
        <v>0.59</v>
      </c>
      <c r="J46" s="389">
        <f t="shared" si="9"/>
        <v>0.51</v>
      </c>
      <c r="K46" s="389">
        <f t="shared" si="9"/>
        <v>0.44999999999999996</v>
      </c>
      <c r="L46" s="720">
        <v>0.06</v>
      </c>
      <c r="M46" s="63" t="s">
        <v>159</v>
      </c>
      <c r="N46" s="440">
        <v>4.3999999999999997E-2</v>
      </c>
      <c r="O46" s="390">
        <v>6.0000000000000001E-3</v>
      </c>
      <c r="P46" s="390">
        <v>0</v>
      </c>
      <c r="Q46" s="390">
        <v>0</v>
      </c>
      <c r="R46" s="390">
        <v>0</v>
      </c>
      <c r="S46" s="63" t="str">
        <f t="shared" si="10"/>
        <v>N</v>
      </c>
      <c r="T46" s="63"/>
      <c r="U46" s="1039"/>
      <c r="V46" s="1039"/>
      <c r="W46" s="1039"/>
      <c r="X46" s="64" t="s">
        <v>2364</v>
      </c>
      <c r="AA46" s="2" t="s">
        <v>656</v>
      </c>
      <c r="AB46" s="391">
        <v>0.06</v>
      </c>
      <c r="AC46" s="391">
        <f t="shared" ref="AC46:AH49" si="23">+AC56+0.3%</f>
        <v>6.4500000000000002E-2</v>
      </c>
      <c r="AD46" s="391">
        <f t="shared" si="23"/>
        <v>7.1000000000000008E-2</v>
      </c>
      <c r="AE46" s="391">
        <f t="shared" si="23"/>
        <v>6.6500000000000004E-2</v>
      </c>
      <c r="AF46" s="1073">
        <f t="shared" si="23"/>
        <v>4.7E-2</v>
      </c>
      <c r="AG46" s="1073">
        <f t="shared" si="23"/>
        <v>4.9000000000000002E-2</v>
      </c>
      <c r="AH46" s="1073">
        <f t="shared" si="23"/>
        <v>5.1000000000000004E-2</v>
      </c>
      <c r="AI46" s="439"/>
      <c r="AN46" s="439"/>
      <c r="AT46" s="400" t="str">
        <f t="shared" si="12"/>
        <v>36H</v>
      </c>
      <c r="AU46" s="1262" t="s">
        <v>322</v>
      </c>
      <c r="AV46" s="1265">
        <v>36</v>
      </c>
      <c r="AW46" s="1039">
        <v>0.52999999999999992</v>
      </c>
      <c r="AY46" s="435" t="s">
        <v>194</v>
      </c>
      <c r="AZ46" s="435">
        <v>36</v>
      </c>
      <c r="BA46" s="436">
        <v>0.55000000000000004</v>
      </c>
    </row>
    <row r="47" spans="1:90" ht="15" customHeight="1">
      <c r="A47" s="63">
        <f t="shared" si="8"/>
        <v>44</v>
      </c>
      <c r="B47" s="63" t="s">
        <v>2495</v>
      </c>
      <c r="C47" s="63" t="s">
        <v>2496</v>
      </c>
      <c r="D47" s="1234" t="s">
        <v>2502</v>
      </c>
      <c r="E47" s="64">
        <v>1993</v>
      </c>
      <c r="F47" s="65" t="s">
        <v>2501</v>
      </c>
      <c r="G47" s="389">
        <f t="shared" si="9"/>
        <v>0.76</v>
      </c>
      <c r="H47" s="389">
        <f t="shared" si="9"/>
        <v>0.67999999999999994</v>
      </c>
      <c r="I47" s="389">
        <f t="shared" si="9"/>
        <v>0.59</v>
      </c>
      <c r="J47" s="389">
        <f t="shared" si="9"/>
        <v>0.51</v>
      </c>
      <c r="K47" s="389">
        <f t="shared" si="9"/>
        <v>0.44999999999999996</v>
      </c>
      <c r="L47" s="720">
        <v>0.06</v>
      </c>
      <c r="M47" s="63" t="s">
        <v>159</v>
      </c>
      <c r="N47" s="440">
        <v>4.3999999999999997E-2</v>
      </c>
      <c r="O47" s="390">
        <v>6.0000000000000001E-3</v>
      </c>
      <c r="P47" s="390">
        <v>0</v>
      </c>
      <c r="Q47" s="390">
        <v>0</v>
      </c>
      <c r="R47" s="390">
        <v>0</v>
      </c>
      <c r="S47" s="63" t="str">
        <f t="shared" si="10"/>
        <v>N</v>
      </c>
      <c r="T47" s="63"/>
      <c r="U47" s="1039"/>
      <c r="V47" s="1039"/>
      <c r="W47" s="1039"/>
      <c r="X47" s="64" t="s">
        <v>2364</v>
      </c>
      <c r="AA47" s="2" t="s">
        <v>186</v>
      </c>
      <c r="AB47" s="296">
        <v>6.2E-2</v>
      </c>
      <c r="AC47" s="296">
        <f t="shared" si="23"/>
        <v>7.1000000000000008E-2</v>
      </c>
      <c r="AD47" s="296">
        <f t="shared" si="23"/>
        <v>7.3000000000000009E-2</v>
      </c>
      <c r="AE47" s="296">
        <f t="shared" si="23"/>
        <v>7.3000000000000009E-2</v>
      </c>
      <c r="AF47" s="437">
        <f t="shared" si="23"/>
        <v>4.7E-2</v>
      </c>
      <c r="AG47" s="437">
        <f t="shared" si="23"/>
        <v>4.9000000000000002E-2</v>
      </c>
      <c r="AH47" s="437">
        <f t="shared" si="23"/>
        <v>5.1000000000000004E-2</v>
      </c>
      <c r="AI47" s="439"/>
      <c r="AN47" s="439"/>
      <c r="AT47" s="400" t="str">
        <f t="shared" si="12"/>
        <v>48H</v>
      </c>
      <c r="AU47" s="1262" t="s">
        <v>322</v>
      </c>
      <c r="AV47" s="1265">
        <v>48</v>
      </c>
      <c r="AW47" s="1039">
        <v>0.45</v>
      </c>
      <c r="AY47" s="435" t="s">
        <v>194</v>
      </c>
      <c r="AZ47" s="435">
        <v>48</v>
      </c>
      <c r="BA47" s="436">
        <v>0.49</v>
      </c>
    </row>
    <row r="48" spans="1:90" ht="15" customHeight="1">
      <c r="A48" s="63">
        <f t="shared" si="8"/>
        <v>45</v>
      </c>
      <c r="B48" s="63" t="s">
        <v>2495</v>
      </c>
      <c r="C48" s="63" t="s">
        <v>2496</v>
      </c>
      <c r="D48" s="63" t="s">
        <v>2503</v>
      </c>
      <c r="E48" s="64">
        <v>1991</v>
      </c>
      <c r="F48" s="65" t="s">
        <v>2501</v>
      </c>
      <c r="G48" s="389">
        <f t="shared" si="9"/>
        <v>0.76</v>
      </c>
      <c r="H48" s="389">
        <f t="shared" si="9"/>
        <v>0.67999999999999994</v>
      </c>
      <c r="I48" s="389">
        <f t="shared" si="9"/>
        <v>0.59</v>
      </c>
      <c r="J48" s="389">
        <f t="shared" si="9"/>
        <v>0.51</v>
      </c>
      <c r="K48" s="389">
        <f t="shared" si="9"/>
        <v>0.44999999999999996</v>
      </c>
      <c r="L48" s="720">
        <v>0.06</v>
      </c>
      <c r="M48" s="63" t="s">
        <v>159</v>
      </c>
      <c r="N48" s="440">
        <v>4.3999999999999997E-2</v>
      </c>
      <c r="O48" s="390">
        <v>6.0000000000000001E-3</v>
      </c>
      <c r="P48" s="390">
        <v>0</v>
      </c>
      <c r="Q48" s="390">
        <v>0</v>
      </c>
      <c r="R48" s="390">
        <v>0</v>
      </c>
      <c r="S48" s="63" t="str">
        <f t="shared" si="10"/>
        <v>N</v>
      </c>
      <c r="T48" s="63"/>
      <c r="U48" s="1039"/>
      <c r="V48" s="1039"/>
      <c r="W48" s="1039"/>
      <c r="X48" s="64" t="s">
        <v>2364</v>
      </c>
      <c r="AA48" s="2" t="s">
        <v>148</v>
      </c>
      <c r="AB48" s="296">
        <v>6.4000000000000001E-2</v>
      </c>
      <c r="AC48" s="296">
        <f t="shared" si="23"/>
        <v>7.0000000000000007E-2</v>
      </c>
      <c r="AD48" s="296">
        <f t="shared" si="23"/>
        <v>7.2000000000000008E-2</v>
      </c>
      <c r="AE48" s="296">
        <f t="shared" si="23"/>
        <v>7.2000000000000008E-2</v>
      </c>
      <c r="AF48" s="437">
        <f t="shared" si="23"/>
        <v>5.3000000000000005E-2</v>
      </c>
      <c r="AG48" s="437">
        <f t="shared" si="23"/>
        <v>5.5E-2</v>
      </c>
      <c r="AH48" s="437">
        <f t="shared" si="23"/>
        <v>5.7000000000000002E-2</v>
      </c>
      <c r="AI48" s="439"/>
      <c r="AN48" s="439"/>
      <c r="AT48" s="1030" t="str">
        <f t="shared" si="12"/>
        <v>60H</v>
      </c>
      <c r="AU48" s="1266" t="s">
        <v>322</v>
      </c>
      <c r="AV48" s="1267">
        <v>60</v>
      </c>
      <c r="AW48" s="1268">
        <v>0.39</v>
      </c>
      <c r="AY48" s="435" t="s">
        <v>194</v>
      </c>
      <c r="AZ48" s="435">
        <v>60</v>
      </c>
      <c r="BA48" s="436">
        <v>0.39</v>
      </c>
    </row>
    <row r="49" spans="1:53" ht="15" customHeight="1">
      <c r="A49" s="63">
        <f t="shared" si="8"/>
        <v>46</v>
      </c>
      <c r="B49" s="63" t="s">
        <v>2495</v>
      </c>
      <c r="C49" s="63" t="s">
        <v>2496</v>
      </c>
      <c r="D49" s="63" t="s">
        <v>2504</v>
      </c>
      <c r="E49" s="64">
        <v>1991</v>
      </c>
      <c r="F49" s="65" t="s">
        <v>2501</v>
      </c>
      <c r="G49" s="389">
        <f t="shared" si="9"/>
        <v>0.76</v>
      </c>
      <c r="H49" s="389">
        <f t="shared" si="9"/>
        <v>0.67999999999999994</v>
      </c>
      <c r="I49" s="389">
        <f t="shared" si="9"/>
        <v>0.59</v>
      </c>
      <c r="J49" s="389">
        <f t="shared" si="9"/>
        <v>0.51</v>
      </c>
      <c r="K49" s="389">
        <f t="shared" si="9"/>
        <v>0.44999999999999996</v>
      </c>
      <c r="L49" s="720">
        <v>0.06</v>
      </c>
      <c r="M49" s="63" t="s">
        <v>159</v>
      </c>
      <c r="N49" s="440">
        <v>4.3999999999999997E-2</v>
      </c>
      <c r="O49" s="390">
        <v>6.0000000000000001E-3</v>
      </c>
      <c r="P49" s="390">
        <v>0</v>
      </c>
      <c r="Q49" s="390">
        <v>0</v>
      </c>
      <c r="R49" s="390">
        <v>0</v>
      </c>
      <c r="S49" s="63" t="str">
        <f t="shared" si="10"/>
        <v>N</v>
      </c>
      <c r="T49" s="63"/>
      <c r="U49" s="1039"/>
      <c r="V49" s="1039"/>
      <c r="W49" s="1039"/>
      <c r="X49" s="64" t="s">
        <v>2364</v>
      </c>
      <c r="AA49" s="2" t="s">
        <v>158</v>
      </c>
      <c r="AB49" s="296">
        <f>+AB59+0.3%</f>
        <v>0.105</v>
      </c>
      <c r="AC49" s="296">
        <f t="shared" si="23"/>
        <v>0.105</v>
      </c>
      <c r="AD49" s="296">
        <f t="shared" si="23"/>
        <v>0.107</v>
      </c>
      <c r="AE49" s="296">
        <f t="shared" si="23"/>
        <v>0.107</v>
      </c>
      <c r="AF49" s="437">
        <f t="shared" si="23"/>
        <v>5.3000000000000005E-2</v>
      </c>
      <c r="AG49" s="437">
        <f t="shared" si="23"/>
        <v>5.5E-2</v>
      </c>
      <c r="AH49" s="437">
        <f t="shared" si="23"/>
        <v>5.7000000000000002E-2</v>
      </c>
      <c r="AI49" s="439"/>
      <c r="AN49" s="439"/>
      <c r="AT49" s="400" t="str">
        <f t="shared" si="12"/>
        <v>12H-1</v>
      </c>
      <c r="AU49" s="1259" t="s">
        <v>3218</v>
      </c>
      <c r="AV49" s="1260">
        <v>12</v>
      </c>
      <c r="AW49" s="1261">
        <v>0.69</v>
      </c>
      <c r="AY49" s="435" t="s">
        <v>195</v>
      </c>
      <c r="AZ49" s="435">
        <v>12</v>
      </c>
      <c r="BA49" s="436">
        <v>0.74</v>
      </c>
    </row>
    <row r="50" spans="1:53" ht="15" customHeight="1">
      <c r="A50" s="63">
        <f t="shared" si="8"/>
        <v>47</v>
      </c>
      <c r="B50" s="63" t="s">
        <v>2495</v>
      </c>
      <c r="C50" s="63" t="s">
        <v>2496</v>
      </c>
      <c r="D50" s="1234" t="s">
        <v>2505</v>
      </c>
      <c r="E50" s="1235">
        <v>1999</v>
      </c>
      <c r="F50" s="65" t="s">
        <v>2501</v>
      </c>
      <c r="G50" s="389">
        <f t="shared" si="9"/>
        <v>0.76</v>
      </c>
      <c r="H50" s="389">
        <f t="shared" si="9"/>
        <v>0.67999999999999994</v>
      </c>
      <c r="I50" s="389">
        <f t="shared" si="9"/>
        <v>0.59</v>
      </c>
      <c r="J50" s="389">
        <f t="shared" si="9"/>
        <v>0.51</v>
      </c>
      <c r="K50" s="389">
        <f t="shared" si="9"/>
        <v>0.44999999999999996</v>
      </c>
      <c r="L50" s="720">
        <v>0.06</v>
      </c>
      <c r="M50" s="63" t="s">
        <v>159</v>
      </c>
      <c r="N50" s="440">
        <v>4.3999999999999997E-2</v>
      </c>
      <c r="O50" s="390">
        <v>6.0000000000000001E-3</v>
      </c>
      <c r="P50" s="390">
        <v>0</v>
      </c>
      <c r="Q50" s="390">
        <v>0</v>
      </c>
      <c r="R50" s="390">
        <v>0</v>
      </c>
      <c r="S50" s="63" t="str">
        <f>+IF(LEFT(D50,1)="E","Y",IF(LEFT(D50,1)="S","Y",IF(LEFT(D50,1)="X","Y","N")))</f>
        <v>N</v>
      </c>
      <c r="T50" s="63"/>
      <c r="U50" s="1039"/>
      <c r="V50" s="1039"/>
      <c r="W50" s="1039"/>
      <c r="X50" s="64" t="s">
        <v>2364</v>
      </c>
      <c r="AA50" s="2" t="s">
        <v>211</v>
      </c>
      <c r="AB50" s="296">
        <v>6.3E-2</v>
      </c>
      <c r="AC50" s="296">
        <f>+AB50</f>
        <v>6.3E-2</v>
      </c>
      <c r="AD50" s="296">
        <f>AB50+0.2%</f>
        <v>6.5000000000000002E-2</v>
      </c>
      <c r="AE50" s="296">
        <f>AC50+0.2%</f>
        <v>6.5000000000000002E-2</v>
      </c>
      <c r="AF50" s="437">
        <v>0.04</v>
      </c>
      <c r="AG50" s="437">
        <v>0.04</v>
      </c>
      <c r="AH50" s="437">
        <v>0.04</v>
      </c>
      <c r="AI50" s="439"/>
      <c r="AT50" s="400" t="str">
        <f t="shared" si="12"/>
        <v>24H-1</v>
      </c>
      <c r="AU50" s="1262" t="s">
        <v>3218</v>
      </c>
      <c r="AV50" s="1263">
        <v>24</v>
      </c>
      <c r="AW50" s="1039">
        <v>0.61</v>
      </c>
      <c r="AY50" s="435" t="s">
        <v>195</v>
      </c>
      <c r="AZ50" s="435">
        <v>24</v>
      </c>
      <c r="BA50" s="436">
        <v>0.64</v>
      </c>
    </row>
    <row r="51" spans="1:53" ht="15" customHeight="1">
      <c r="A51" s="63">
        <f t="shared" si="8"/>
        <v>48</v>
      </c>
      <c r="B51" s="63" t="s">
        <v>2506</v>
      </c>
      <c r="C51" s="63" t="s">
        <v>1856</v>
      </c>
      <c r="D51" s="63" t="s">
        <v>2335</v>
      </c>
      <c r="E51" s="64">
        <v>2925</v>
      </c>
      <c r="F51" s="65" t="s">
        <v>2507</v>
      </c>
      <c r="G51" s="389">
        <f t="shared" si="9"/>
        <v>0.76</v>
      </c>
      <c r="H51" s="389">
        <f t="shared" si="9"/>
        <v>0.67999999999999994</v>
      </c>
      <c r="I51" s="389">
        <f t="shared" si="9"/>
        <v>0.59</v>
      </c>
      <c r="J51" s="389">
        <f t="shared" si="9"/>
        <v>0.51</v>
      </c>
      <c r="K51" s="389">
        <f t="shared" si="9"/>
        <v>0.44999999999999996</v>
      </c>
      <c r="L51" s="720">
        <v>0.06</v>
      </c>
      <c r="M51" s="63" t="s">
        <v>159</v>
      </c>
      <c r="N51" s="440">
        <v>4.3999999999999997E-2</v>
      </c>
      <c r="O51" s="390">
        <v>6.0000000000000001E-3</v>
      </c>
      <c r="P51" s="390">
        <v>0</v>
      </c>
      <c r="Q51" s="390">
        <v>0</v>
      </c>
      <c r="R51" s="390">
        <v>0</v>
      </c>
      <c r="S51" s="63" t="str">
        <f t="shared" si="10"/>
        <v>N</v>
      </c>
      <c r="T51" s="63"/>
      <c r="U51" s="1039"/>
      <c r="V51" s="1039"/>
      <c r="W51" s="1039"/>
      <c r="X51" s="64" t="s">
        <v>2364</v>
      </c>
      <c r="AA51" s="2" t="s">
        <v>707</v>
      </c>
      <c r="AB51" s="296">
        <v>0.15</v>
      </c>
      <c r="AC51" s="296">
        <f>+AB51</f>
        <v>0.15</v>
      </c>
      <c r="AD51" s="296">
        <f>AB51+0.2%</f>
        <v>0.152</v>
      </c>
      <c r="AE51" s="296">
        <f>AC51+0.2%</f>
        <v>0.152</v>
      </c>
      <c r="AF51" s="437">
        <v>0.05</v>
      </c>
      <c r="AG51" s="437">
        <v>5.1999999999999998E-2</v>
      </c>
      <c r="AH51" s="437">
        <v>5.3999999999999999E-2</v>
      </c>
      <c r="AI51" s="439"/>
      <c r="AT51" s="400" t="str">
        <f t="shared" si="12"/>
        <v>36H-1</v>
      </c>
      <c r="AU51" s="1262" t="s">
        <v>3218</v>
      </c>
      <c r="AV51" s="1265">
        <v>36</v>
      </c>
      <c r="AW51" s="1039">
        <v>0.5</v>
      </c>
      <c r="AY51" s="435" t="s">
        <v>195</v>
      </c>
      <c r="AZ51" s="435">
        <v>36</v>
      </c>
      <c r="BA51" s="436">
        <v>0.54</v>
      </c>
    </row>
    <row r="52" spans="1:53" ht="15" customHeight="1">
      <c r="A52" s="63">
        <f t="shared" si="8"/>
        <v>49</v>
      </c>
      <c r="B52" s="63" t="s">
        <v>2508</v>
      </c>
      <c r="C52" s="63" t="s">
        <v>2509</v>
      </c>
      <c r="D52" s="1234" t="s">
        <v>2510</v>
      </c>
      <c r="E52" s="64">
        <v>2989</v>
      </c>
      <c r="F52" s="65" t="s">
        <v>2511</v>
      </c>
      <c r="G52" s="389">
        <f t="shared" si="9"/>
        <v>0.76</v>
      </c>
      <c r="H52" s="389">
        <f t="shared" si="9"/>
        <v>0.67999999999999994</v>
      </c>
      <c r="I52" s="389">
        <f t="shared" si="9"/>
        <v>0.59</v>
      </c>
      <c r="J52" s="389">
        <f t="shared" si="9"/>
        <v>0.51</v>
      </c>
      <c r="K52" s="389">
        <f t="shared" si="9"/>
        <v>0.44999999999999996</v>
      </c>
      <c r="L52" s="720">
        <v>0.06</v>
      </c>
      <c r="M52" s="63" t="s">
        <v>159</v>
      </c>
      <c r="N52" s="440">
        <v>4.3999999999999997E-2</v>
      </c>
      <c r="O52" s="390">
        <v>6.0000000000000001E-3</v>
      </c>
      <c r="P52" s="390">
        <v>0</v>
      </c>
      <c r="Q52" s="390">
        <v>0</v>
      </c>
      <c r="R52" s="390">
        <v>0</v>
      </c>
      <c r="S52" s="63" t="str">
        <f>+IF(LEFT(D52,1)="E","Y",IF(LEFT(D52,1)="S","Y",IF(LEFT(D52,1)="X","Y","N")))</f>
        <v>N</v>
      </c>
      <c r="T52" s="63"/>
      <c r="U52" s="1039"/>
      <c r="V52" s="1039"/>
      <c r="W52" s="1039"/>
      <c r="X52" s="64" t="s">
        <v>2364</v>
      </c>
      <c r="AA52" s="2" t="s">
        <v>187</v>
      </c>
      <c r="AB52" s="296">
        <f t="shared" ref="AB52:AH53" si="24">+AB62+0.3%</f>
        <v>4.8000000000000001E-2</v>
      </c>
      <c r="AC52" s="296">
        <f t="shared" si="24"/>
        <v>4.8000000000000001E-2</v>
      </c>
      <c r="AD52" s="296">
        <f t="shared" si="24"/>
        <v>0.05</v>
      </c>
      <c r="AE52" s="296">
        <f t="shared" si="24"/>
        <v>0.05</v>
      </c>
      <c r="AF52" s="437">
        <f t="shared" si="24"/>
        <v>0.05</v>
      </c>
      <c r="AG52" s="437">
        <f t="shared" si="24"/>
        <v>5.2000000000000005E-2</v>
      </c>
      <c r="AH52" s="437">
        <f t="shared" si="24"/>
        <v>5.3999999999999999E-2</v>
      </c>
      <c r="AI52" s="439"/>
      <c r="AT52" s="400" t="str">
        <f t="shared" si="12"/>
        <v>48H-1</v>
      </c>
      <c r="AU52" s="1262" t="s">
        <v>3218</v>
      </c>
      <c r="AV52" s="1265">
        <v>48</v>
      </c>
      <c r="AW52" s="1039">
        <v>0.44</v>
      </c>
      <c r="AY52" s="435" t="s">
        <v>195</v>
      </c>
      <c r="AZ52" s="435">
        <v>48</v>
      </c>
      <c r="BA52" s="436">
        <v>0.48</v>
      </c>
    </row>
    <row r="53" spans="1:53" ht="15" customHeight="1">
      <c r="A53" s="63">
        <f t="shared" si="8"/>
        <v>50</v>
      </c>
      <c r="B53" s="63" t="s">
        <v>1308</v>
      </c>
      <c r="C53" s="63" t="s">
        <v>1856</v>
      </c>
      <c r="D53" s="1234" t="s">
        <v>1385</v>
      </c>
      <c r="E53" s="64">
        <v>2999</v>
      </c>
      <c r="F53" s="65" t="s">
        <v>189</v>
      </c>
      <c r="G53" s="389">
        <f t="shared" si="9"/>
        <v>0.76</v>
      </c>
      <c r="H53" s="389">
        <f t="shared" si="9"/>
        <v>0.67999999999999994</v>
      </c>
      <c r="I53" s="389">
        <f t="shared" si="9"/>
        <v>0.59</v>
      </c>
      <c r="J53" s="389">
        <f t="shared" si="9"/>
        <v>0.51</v>
      </c>
      <c r="K53" s="389">
        <f t="shared" si="9"/>
        <v>0.44999999999999996</v>
      </c>
      <c r="L53" s="720">
        <v>0.06</v>
      </c>
      <c r="M53" s="63" t="s">
        <v>159</v>
      </c>
      <c r="N53" s="440">
        <v>4.3999999999999997E-2</v>
      </c>
      <c r="O53" s="390">
        <v>6.0000000000000001E-3</v>
      </c>
      <c r="P53" s="390">
        <v>0</v>
      </c>
      <c r="Q53" s="390">
        <v>0</v>
      </c>
      <c r="R53" s="390">
        <v>0</v>
      </c>
      <c r="S53" s="63" t="str">
        <f t="shared" si="10"/>
        <v>N</v>
      </c>
      <c r="T53" s="63"/>
      <c r="U53" s="1039"/>
      <c r="V53" s="1039"/>
      <c r="W53" s="1039"/>
      <c r="X53" s="64" t="s">
        <v>2364</v>
      </c>
      <c r="AA53" s="434" t="s">
        <v>188</v>
      </c>
      <c r="AB53" s="433">
        <f t="shared" si="24"/>
        <v>4.8000000000000001E-2</v>
      </c>
      <c r="AC53" s="433">
        <f t="shared" si="24"/>
        <v>4.8000000000000001E-2</v>
      </c>
      <c r="AD53" s="433">
        <f t="shared" si="24"/>
        <v>0.05</v>
      </c>
      <c r="AE53" s="433">
        <f t="shared" si="24"/>
        <v>0.05</v>
      </c>
      <c r="AF53" s="438">
        <f t="shared" si="24"/>
        <v>0.05</v>
      </c>
      <c r="AG53" s="438">
        <f t="shared" si="24"/>
        <v>5.2000000000000005E-2</v>
      </c>
      <c r="AH53" s="438">
        <f t="shared" si="24"/>
        <v>5.3999999999999999E-2</v>
      </c>
      <c r="AI53" s="439"/>
      <c r="AT53" s="1030" t="str">
        <f t="shared" si="12"/>
        <v>60H-1</v>
      </c>
      <c r="AU53" s="1266" t="s">
        <v>3218</v>
      </c>
      <c r="AV53" s="1267">
        <v>60</v>
      </c>
      <c r="AW53" s="1268">
        <v>0.38</v>
      </c>
      <c r="AY53" s="435" t="s">
        <v>195</v>
      </c>
      <c r="AZ53" s="435">
        <v>60</v>
      </c>
      <c r="BA53" s="436">
        <v>0.38</v>
      </c>
    </row>
    <row r="54" spans="1:53" ht="15" customHeight="1">
      <c r="A54" s="63">
        <f t="shared" si="8"/>
        <v>51</v>
      </c>
      <c r="B54" s="63" t="s">
        <v>1308</v>
      </c>
      <c r="C54" s="63" t="s">
        <v>1856</v>
      </c>
      <c r="D54" s="63" t="s">
        <v>1861</v>
      </c>
      <c r="E54" s="64">
        <v>2925</v>
      </c>
      <c r="F54" s="65" t="s">
        <v>189</v>
      </c>
      <c r="G54" s="389">
        <f t="shared" si="9"/>
        <v>0.72</v>
      </c>
      <c r="H54" s="389">
        <f t="shared" si="9"/>
        <v>0.64</v>
      </c>
      <c r="I54" s="389">
        <f t="shared" si="9"/>
        <v>0.54999999999999993</v>
      </c>
      <c r="J54" s="389">
        <f t="shared" si="9"/>
        <v>0.47000000000000003</v>
      </c>
      <c r="K54" s="389">
        <f t="shared" si="9"/>
        <v>0.41000000000000003</v>
      </c>
      <c r="L54" s="720">
        <v>0.06</v>
      </c>
      <c r="M54" s="63" t="s">
        <v>320</v>
      </c>
      <c r="N54" s="440">
        <v>4.3999999999999997E-2</v>
      </c>
      <c r="O54" s="390">
        <v>6.0000000000000001E-3</v>
      </c>
      <c r="P54" s="390">
        <v>0</v>
      </c>
      <c r="Q54" s="390">
        <v>0</v>
      </c>
      <c r="R54" s="390">
        <v>0</v>
      </c>
      <c r="S54" s="63" t="str">
        <f t="shared" si="10"/>
        <v>N</v>
      </c>
      <c r="T54" s="63"/>
      <c r="U54" s="1039"/>
      <c r="V54" s="1039"/>
      <c r="W54" s="1039"/>
      <c r="X54" s="64" t="s">
        <v>2364</v>
      </c>
      <c r="AF54" s="439"/>
      <c r="AG54" s="439"/>
      <c r="AH54" s="439"/>
      <c r="AI54" s="439"/>
      <c r="AT54" s="400" t="str">
        <f t="shared" si="12"/>
        <v>12I</v>
      </c>
      <c r="AU54" s="1259" t="s">
        <v>323</v>
      </c>
      <c r="AV54" s="1260">
        <v>12</v>
      </c>
      <c r="AW54" s="1261">
        <v>0.69</v>
      </c>
      <c r="AY54" s="435" t="s">
        <v>196</v>
      </c>
      <c r="AZ54" s="435">
        <v>12</v>
      </c>
      <c r="BA54" s="436">
        <v>0.7</v>
      </c>
    </row>
    <row r="55" spans="1:53">
      <c r="A55" s="63">
        <f t="shared" si="8"/>
        <v>52</v>
      </c>
      <c r="B55" s="63" t="s">
        <v>1308</v>
      </c>
      <c r="C55" s="63" t="s">
        <v>1856</v>
      </c>
      <c r="D55" s="1234" t="s">
        <v>2571</v>
      </c>
      <c r="E55" s="64">
        <v>2989</v>
      </c>
      <c r="F55" s="65" t="s">
        <v>189</v>
      </c>
      <c r="G55" s="389">
        <f t="shared" si="9"/>
        <v>0.72</v>
      </c>
      <c r="H55" s="389">
        <f t="shared" si="9"/>
        <v>0.64</v>
      </c>
      <c r="I55" s="389">
        <f t="shared" si="9"/>
        <v>0.54999999999999993</v>
      </c>
      <c r="J55" s="389">
        <f t="shared" si="9"/>
        <v>0.47000000000000003</v>
      </c>
      <c r="K55" s="389">
        <f t="shared" si="9"/>
        <v>0.41000000000000003</v>
      </c>
      <c r="L55" s="720">
        <v>0.06</v>
      </c>
      <c r="M55" s="63" t="s">
        <v>320</v>
      </c>
      <c r="N55" s="440">
        <v>4.3999999999999997E-2</v>
      </c>
      <c r="O55" s="390">
        <v>6.0000000000000001E-3</v>
      </c>
      <c r="P55" s="390">
        <v>0</v>
      </c>
      <c r="Q55" s="390">
        <v>0</v>
      </c>
      <c r="R55" s="390">
        <v>0</v>
      </c>
      <c r="S55" s="63" t="str">
        <f t="shared" ref="S55" si="25">+IF(LEFT(D55,1)="E","Y",IF(LEFT(D55,1)="S","Y",IF(LEFT(D55,1)="X","Y","N")))</f>
        <v>N</v>
      </c>
      <c r="T55" s="63"/>
      <c r="U55" s="1039"/>
      <c r="V55" s="1039"/>
      <c r="W55" s="1039"/>
      <c r="X55" s="64" t="s">
        <v>2364</v>
      </c>
      <c r="AA55" s="473" t="s">
        <v>180</v>
      </c>
      <c r="AB55" s="473" t="s">
        <v>181</v>
      </c>
      <c r="AC55" s="473" t="s">
        <v>182</v>
      </c>
      <c r="AD55" s="473" t="s">
        <v>181</v>
      </c>
      <c r="AE55" s="473" t="s">
        <v>182</v>
      </c>
      <c r="AF55" s="473" t="s">
        <v>183</v>
      </c>
      <c r="AG55" s="473" t="s">
        <v>184</v>
      </c>
      <c r="AH55" s="473" t="s">
        <v>185</v>
      </c>
      <c r="AT55" s="400" t="str">
        <f t="shared" si="12"/>
        <v>24I</v>
      </c>
      <c r="AU55" s="1262" t="s">
        <v>323</v>
      </c>
      <c r="AV55" s="1265">
        <v>24</v>
      </c>
      <c r="AW55" s="1039">
        <v>0.61</v>
      </c>
      <c r="AY55" s="435" t="s">
        <v>196</v>
      </c>
      <c r="AZ55" s="435">
        <v>24</v>
      </c>
      <c r="BA55" s="436">
        <v>0.61</v>
      </c>
    </row>
    <row r="56" spans="1:53" ht="15" customHeight="1">
      <c r="A56" s="63">
        <f t="shared" si="8"/>
        <v>53</v>
      </c>
      <c r="B56" s="63" t="s">
        <v>1308</v>
      </c>
      <c r="C56" s="63" t="s">
        <v>1856</v>
      </c>
      <c r="D56" s="1234" t="s">
        <v>1386</v>
      </c>
      <c r="E56" s="64">
        <v>3982</v>
      </c>
      <c r="F56" s="65" t="s">
        <v>189</v>
      </c>
      <c r="G56" s="389">
        <f t="shared" ref="G56:K106" si="26">+INDEX($AW$4:$AW$138,MATCH(G$3&amp;$M56,$AT$4:$AT$138,0))</f>
        <v>0.72</v>
      </c>
      <c r="H56" s="389">
        <f t="shared" si="26"/>
        <v>0.64</v>
      </c>
      <c r="I56" s="389">
        <f t="shared" si="26"/>
        <v>0.54999999999999993</v>
      </c>
      <c r="J56" s="389">
        <f t="shared" si="26"/>
        <v>0.47000000000000003</v>
      </c>
      <c r="K56" s="389">
        <f t="shared" si="26"/>
        <v>0.41000000000000003</v>
      </c>
      <c r="L56" s="720">
        <v>0.06</v>
      </c>
      <c r="M56" s="63" t="s">
        <v>320</v>
      </c>
      <c r="N56" s="440">
        <v>4.3999999999999997E-2</v>
      </c>
      <c r="O56" s="390">
        <v>6.0000000000000001E-3</v>
      </c>
      <c r="P56" s="390">
        <v>0</v>
      </c>
      <c r="Q56" s="390">
        <v>0</v>
      </c>
      <c r="R56" s="390">
        <v>0</v>
      </c>
      <c r="S56" s="63" t="str">
        <f t="shared" si="10"/>
        <v>N</v>
      </c>
      <c r="T56" s="63"/>
      <c r="U56" s="1039"/>
      <c r="V56" s="1039"/>
      <c r="W56" s="1039"/>
      <c r="X56" s="64" t="s">
        <v>2364</v>
      </c>
      <c r="AA56" s="2" t="s">
        <v>152</v>
      </c>
      <c r="AB56" s="296">
        <v>6.6000000000000003E-2</v>
      </c>
      <c r="AC56" s="296">
        <v>6.1499999999999999E-2</v>
      </c>
      <c r="AD56" s="296">
        <f>AB56+0.2%</f>
        <v>6.8000000000000005E-2</v>
      </c>
      <c r="AE56" s="296">
        <f>AC56+0.2%</f>
        <v>6.3500000000000001E-2</v>
      </c>
      <c r="AF56" s="437">
        <v>4.3999999999999997E-2</v>
      </c>
      <c r="AG56" s="437">
        <v>4.5999999999999999E-2</v>
      </c>
      <c r="AH56" s="437">
        <v>4.8000000000000001E-2</v>
      </c>
      <c r="AT56" s="400" t="str">
        <f t="shared" si="12"/>
        <v>36I</v>
      </c>
      <c r="AU56" s="1262" t="s">
        <v>323</v>
      </c>
      <c r="AV56" s="1265">
        <v>36</v>
      </c>
      <c r="AW56" s="1039">
        <v>0.51999999999999991</v>
      </c>
      <c r="AY56" s="435" t="s">
        <v>196</v>
      </c>
      <c r="AZ56" s="435">
        <v>36</v>
      </c>
      <c r="BA56" s="436">
        <v>0.52</v>
      </c>
    </row>
    <row r="57" spans="1:53" ht="15" customHeight="1">
      <c r="A57" s="63">
        <f t="shared" si="8"/>
        <v>54</v>
      </c>
      <c r="B57" s="63" t="s">
        <v>1308</v>
      </c>
      <c r="C57" s="63" t="s">
        <v>2333</v>
      </c>
      <c r="D57" s="63" t="s">
        <v>1387</v>
      </c>
      <c r="E57" s="64">
        <v>0</v>
      </c>
      <c r="F57" s="65" t="s">
        <v>190</v>
      </c>
      <c r="G57" s="389">
        <f t="shared" si="26"/>
        <v>0.7</v>
      </c>
      <c r="H57" s="389">
        <f t="shared" si="26"/>
        <v>0.62</v>
      </c>
      <c r="I57" s="389">
        <f t="shared" si="26"/>
        <v>0.52999999999999992</v>
      </c>
      <c r="J57" s="389">
        <f t="shared" si="26"/>
        <v>0.45</v>
      </c>
      <c r="K57" s="389">
        <f t="shared" si="26"/>
        <v>0.39</v>
      </c>
      <c r="L57" s="720">
        <v>0.06</v>
      </c>
      <c r="M57" s="63" t="s">
        <v>3160</v>
      </c>
      <c r="N57" s="440">
        <v>4.3999999999999997E-2</v>
      </c>
      <c r="O57" s="390">
        <v>6.0000000000000001E-3</v>
      </c>
      <c r="P57" s="390">
        <v>0</v>
      </c>
      <c r="Q57" s="390">
        <v>0</v>
      </c>
      <c r="R57" s="390">
        <v>0</v>
      </c>
      <c r="S57" s="63" t="s">
        <v>1871</v>
      </c>
      <c r="T57" s="63"/>
      <c r="U57" s="1039"/>
      <c r="V57" s="1039"/>
      <c r="W57" s="1039"/>
      <c r="X57" s="64" t="s">
        <v>2364</v>
      </c>
      <c r="AA57" s="2" t="s">
        <v>186</v>
      </c>
      <c r="AB57" s="296">
        <v>6.8000000000000005E-2</v>
      </c>
      <c r="AC57" s="296">
        <f>+AB57</f>
        <v>6.8000000000000005E-2</v>
      </c>
      <c r="AD57" s="296">
        <f t="shared" ref="AD57:AD63" si="27">AB57+0.2%</f>
        <v>7.0000000000000007E-2</v>
      </c>
      <c r="AE57" s="296">
        <f t="shared" ref="AE57:AE63" si="28">AC57+0.2%</f>
        <v>7.0000000000000007E-2</v>
      </c>
      <c r="AF57" s="437">
        <v>4.3999999999999997E-2</v>
      </c>
      <c r="AG57" s="437">
        <v>4.5999999999999999E-2</v>
      </c>
      <c r="AH57" s="437">
        <v>4.8000000000000001E-2</v>
      </c>
      <c r="AT57" s="400" t="str">
        <f t="shared" si="12"/>
        <v>48I</v>
      </c>
      <c r="AU57" s="1262" t="s">
        <v>323</v>
      </c>
      <c r="AV57" s="1265">
        <v>48</v>
      </c>
      <c r="AW57" s="1039">
        <v>0.44</v>
      </c>
      <c r="AY57" s="435" t="s">
        <v>196</v>
      </c>
      <c r="AZ57" s="435">
        <v>48</v>
      </c>
      <c r="BA57" s="436">
        <v>0.46</v>
      </c>
    </row>
    <row r="58" spans="1:53" ht="15" customHeight="1">
      <c r="A58" s="63">
        <f t="shared" si="8"/>
        <v>55</v>
      </c>
      <c r="B58" s="63" t="s">
        <v>1306</v>
      </c>
      <c r="C58" s="63" t="s">
        <v>2333</v>
      </c>
      <c r="D58" s="63" t="s">
        <v>2483</v>
      </c>
      <c r="E58" s="64">
        <v>0</v>
      </c>
      <c r="F58" s="65" t="s">
        <v>190</v>
      </c>
      <c r="G58" s="389">
        <f t="shared" si="26"/>
        <v>0.7</v>
      </c>
      <c r="H58" s="389">
        <f t="shared" si="26"/>
        <v>0.62</v>
      </c>
      <c r="I58" s="389">
        <f t="shared" si="26"/>
        <v>0.52999999999999992</v>
      </c>
      <c r="J58" s="389">
        <f t="shared" si="26"/>
        <v>0.45</v>
      </c>
      <c r="K58" s="389">
        <f t="shared" si="26"/>
        <v>0.39</v>
      </c>
      <c r="L58" s="720">
        <v>0.06</v>
      </c>
      <c r="M58" s="63" t="s">
        <v>322</v>
      </c>
      <c r="N58" s="440">
        <v>4.3999999999999997E-2</v>
      </c>
      <c r="O58" s="390">
        <v>6.0000000000000001E-3</v>
      </c>
      <c r="P58" s="390">
        <v>0</v>
      </c>
      <c r="Q58" s="390">
        <v>0</v>
      </c>
      <c r="R58" s="390">
        <v>0</v>
      </c>
      <c r="S58" s="63" t="s">
        <v>476</v>
      </c>
      <c r="T58" s="63"/>
      <c r="U58" s="1039"/>
      <c r="V58" s="1039"/>
      <c r="W58" s="1039"/>
      <c r="X58" s="64" t="s">
        <v>2364</v>
      </c>
      <c r="AA58" s="2" t="s">
        <v>148</v>
      </c>
      <c r="AB58" s="296">
        <v>6.7000000000000004E-2</v>
      </c>
      <c r="AC58" s="296">
        <f>+AB58</f>
        <v>6.7000000000000004E-2</v>
      </c>
      <c r="AD58" s="296">
        <f t="shared" si="27"/>
        <v>6.9000000000000006E-2</v>
      </c>
      <c r="AE58" s="296">
        <f t="shared" si="28"/>
        <v>6.9000000000000006E-2</v>
      </c>
      <c r="AF58" s="437">
        <v>0.05</v>
      </c>
      <c r="AG58" s="437">
        <v>5.1999999999999998E-2</v>
      </c>
      <c r="AH58" s="437">
        <v>5.3999999999999999E-2</v>
      </c>
      <c r="AT58" s="1030" t="str">
        <f t="shared" si="12"/>
        <v>60I</v>
      </c>
      <c r="AU58" s="1266" t="s">
        <v>323</v>
      </c>
      <c r="AV58" s="1267">
        <v>60</v>
      </c>
      <c r="AW58" s="1268">
        <v>0.38</v>
      </c>
      <c r="AY58" s="435" t="s">
        <v>196</v>
      </c>
      <c r="AZ58" s="435">
        <v>60</v>
      </c>
      <c r="BA58" s="436">
        <v>0.37</v>
      </c>
    </row>
    <row r="59" spans="1:53" ht="15" customHeight="1">
      <c r="A59" s="63">
        <f t="shared" si="8"/>
        <v>56</v>
      </c>
      <c r="B59" s="63" t="s">
        <v>1308</v>
      </c>
      <c r="C59" s="63" t="s">
        <v>1856</v>
      </c>
      <c r="D59" s="63" t="s">
        <v>2336</v>
      </c>
      <c r="E59" s="64">
        <v>0</v>
      </c>
      <c r="F59" s="65" t="s">
        <v>190</v>
      </c>
      <c r="G59" s="389">
        <f t="shared" si="26"/>
        <v>0.7</v>
      </c>
      <c r="H59" s="389">
        <f t="shared" si="26"/>
        <v>0.62</v>
      </c>
      <c r="I59" s="389">
        <f t="shared" si="26"/>
        <v>0.52999999999999992</v>
      </c>
      <c r="J59" s="389">
        <f t="shared" si="26"/>
        <v>0.45</v>
      </c>
      <c r="K59" s="389">
        <f t="shared" si="26"/>
        <v>0.39</v>
      </c>
      <c r="L59" s="720">
        <v>0.06</v>
      </c>
      <c r="M59" s="63" t="s">
        <v>322</v>
      </c>
      <c r="N59" s="440">
        <v>4.3999999999999997E-2</v>
      </c>
      <c r="O59" s="390">
        <v>6.0000000000000001E-3</v>
      </c>
      <c r="P59" s="390">
        <v>0</v>
      </c>
      <c r="Q59" s="390">
        <v>0</v>
      </c>
      <c r="R59" s="390">
        <v>0</v>
      </c>
      <c r="S59" s="63" t="s">
        <v>1871</v>
      </c>
      <c r="T59" s="63"/>
      <c r="U59" s="1039"/>
      <c r="V59" s="1039"/>
      <c r="W59" s="1039"/>
      <c r="X59" s="64" t="s">
        <v>2364</v>
      </c>
      <c r="AA59" s="2" t="s">
        <v>158</v>
      </c>
      <c r="AB59" s="296">
        <v>0.10199999999999999</v>
      </c>
      <c r="AC59" s="296">
        <f>+AB59</f>
        <v>0.10199999999999999</v>
      </c>
      <c r="AD59" s="296">
        <f t="shared" si="27"/>
        <v>0.104</v>
      </c>
      <c r="AE59" s="296">
        <f t="shared" si="28"/>
        <v>0.104</v>
      </c>
      <c r="AF59" s="437">
        <v>0.05</v>
      </c>
      <c r="AG59" s="437">
        <v>5.1999999999999998E-2</v>
      </c>
      <c r="AH59" s="437">
        <v>5.3999999999999999E-2</v>
      </c>
      <c r="AT59" s="400" t="str">
        <f>AV59&amp;AU59</f>
        <v>12J</v>
      </c>
      <c r="AU59" s="1259" t="s">
        <v>324</v>
      </c>
      <c r="AV59" s="1260">
        <v>12</v>
      </c>
      <c r="AW59" s="1039">
        <v>0.67999999999999994</v>
      </c>
      <c r="AY59" s="435" t="s">
        <v>197</v>
      </c>
      <c r="AZ59" s="435">
        <v>12</v>
      </c>
      <c r="BA59" s="436">
        <v>0.69</v>
      </c>
    </row>
    <row r="60" spans="1:53" ht="15" customHeight="1">
      <c r="A60" s="63">
        <f t="shared" si="8"/>
        <v>57</v>
      </c>
      <c r="B60" s="63" t="s">
        <v>1308</v>
      </c>
      <c r="C60" s="63" t="s">
        <v>1856</v>
      </c>
      <c r="D60" s="63" t="s">
        <v>2167</v>
      </c>
      <c r="E60" s="64">
        <v>0</v>
      </c>
      <c r="F60" s="65" t="s">
        <v>190</v>
      </c>
      <c r="G60" s="389">
        <f t="shared" si="26"/>
        <v>0.7</v>
      </c>
      <c r="H60" s="389">
        <f t="shared" si="26"/>
        <v>0.62</v>
      </c>
      <c r="I60" s="389">
        <f t="shared" si="26"/>
        <v>0.52999999999999992</v>
      </c>
      <c r="J60" s="389">
        <f t="shared" si="26"/>
        <v>0.45</v>
      </c>
      <c r="K60" s="389">
        <f t="shared" si="26"/>
        <v>0.39</v>
      </c>
      <c r="L60" s="720">
        <v>0.06</v>
      </c>
      <c r="M60" s="63" t="s">
        <v>322</v>
      </c>
      <c r="N60" s="440">
        <v>4.3999999999999997E-2</v>
      </c>
      <c r="O60" s="390">
        <v>6.0000000000000001E-3</v>
      </c>
      <c r="P60" s="390">
        <v>0</v>
      </c>
      <c r="Q60" s="390">
        <v>0</v>
      </c>
      <c r="R60" s="390">
        <v>0</v>
      </c>
      <c r="S60" s="63" t="s">
        <v>476</v>
      </c>
      <c r="T60" s="63"/>
      <c r="U60" s="1039"/>
      <c r="V60" s="1039"/>
      <c r="W60" s="1039"/>
      <c r="X60" s="64" t="s">
        <v>2364</v>
      </c>
      <c r="Y60" s="439"/>
      <c r="Z60" s="439"/>
      <c r="AA60" s="2" t="s">
        <v>211</v>
      </c>
      <c r="AB60" s="296">
        <v>7.1999999999999995E-2</v>
      </c>
      <c r="AC60" s="296">
        <f>+AB60</f>
        <v>7.1999999999999995E-2</v>
      </c>
      <c r="AD60" s="296">
        <f t="shared" si="27"/>
        <v>7.3999999999999996E-2</v>
      </c>
      <c r="AE60" s="296">
        <f t="shared" si="28"/>
        <v>7.3999999999999996E-2</v>
      </c>
      <c r="AF60" s="437">
        <v>0.04</v>
      </c>
      <c r="AG60" s="437">
        <v>0.04</v>
      </c>
      <c r="AH60" s="437">
        <v>0.04</v>
      </c>
      <c r="AT60" s="400" t="str">
        <f>AV60&amp;AU60</f>
        <v>24J</v>
      </c>
      <c r="AU60" s="1262" t="s">
        <v>324</v>
      </c>
      <c r="AV60" s="1265">
        <v>24</v>
      </c>
      <c r="AW60" s="1039">
        <v>0.6</v>
      </c>
      <c r="AY60" s="435" t="s">
        <v>197</v>
      </c>
      <c r="AZ60" s="435">
        <v>24</v>
      </c>
      <c r="BA60" s="436">
        <v>0.6</v>
      </c>
    </row>
    <row r="61" spans="1:53" ht="15" customHeight="1">
      <c r="A61" s="63">
        <f t="shared" si="8"/>
        <v>58</v>
      </c>
      <c r="B61" s="63" t="s">
        <v>1308</v>
      </c>
      <c r="C61" s="63" t="s">
        <v>1856</v>
      </c>
      <c r="D61" s="63" t="s">
        <v>2337</v>
      </c>
      <c r="E61" s="64">
        <v>0</v>
      </c>
      <c r="F61" s="65" t="s">
        <v>190</v>
      </c>
      <c r="G61" s="389">
        <f t="shared" si="26"/>
        <v>0.7</v>
      </c>
      <c r="H61" s="389">
        <f t="shared" si="26"/>
        <v>0.62</v>
      </c>
      <c r="I61" s="389">
        <f t="shared" si="26"/>
        <v>0.52999999999999992</v>
      </c>
      <c r="J61" s="389">
        <f t="shared" si="26"/>
        <v>0.45</v>
      </c>
      <c r="K61" s="389">
        <f t="shared" si="26"/>
        <v>0.39</v>
      </c>
      <c r="L61" s="720">
        <v>0.06</v>
      </c>
      <c r="M61" s="63" t="s">
        <v>322</v>
      </c>
      <c r="N61" s="440">
        <v>4.3999999999999997E-2</v>
      </c>
      <c r="O61" s="390">
        <v>6.0000000000000001E-3</v>
      </c>
      <c r="P61" s="390">
        <v>0</v>
      </c>
      <c r="Q61" s="390">
        <v>0</v>
      </c>
      <c r="R61" s="390">
        <v>0</v>
      </c>
      <c r="S61" s="63" t="s">
        <v>476</v>
      </c>
      <c r="T61" s="63"/>
      <c r="U61" s="1039"/>
      <c r="V61" s="1039"/>
      <c r="W61" s="1039"/>
      <c r="X61" s="64" t="s">
        <v>2364</v>
      </c>
      <c r="Y61" s="439"/>
      <c r="Z61" s="439"/>
      <c r="AA61" s="2" t="s">
        <v>707</v>
      </c>
      <c r="AB61" s="296">
        <v>0.15</v>
      </c>
      <c r="AC61" s="296">
        <f>+AB61</f>
        <v>0.15</v>
      </c>
      <c r="AD61" s="296">
        <f t="shared" si="27"/>
        <v>0.152</v>
      </c>
      <c r="AE61" s="296">
        <f t="shared" si="28"/>
        <v>0.152</v>
      </c>
      <c r="AF61" s="437">
        <v>0.05</v>
      </c>
      <c r="AG61" s="437">
        <v>5.1999999999999998E-2</v>
      </c>
      <c r="AH61" s="437">
        <v>5.3999999999999999E-2</v>
      </c>
      <c r="AT61" s="400" t="str">
        <f>AV61&amp;AU61</f>
        <v>36J</v>
      </c>
      <c r="AU61" s="1262" t="s">
        <v>324</v>
      </c>
      <c r="AV61" s="1265">
        <v>36</v>
      </c>
      <c r="AW61" s="1039">
        <v>0.5099999999999999</v>
      </c>
      <c r="AY61" s="435" t="s">
        <v>197</v>
      </c>
      <c r="AZ61" s="435">
        <v>36</v>
      </c>
      <c r="BA61" s="436">
        <v>0.51</v>
      </c>
    </row>
    <row r="62" spans="1:53" ht="15" customHeight="1">
      <c r="A62" s="63">
        <f t="shared" si="8"/>
        <v>59</v>
      </c>
      <c r="B62" s="63" t="s">
        <v>1308</v>
      </c>
      <c r="C62" s="63" t="s">
        <v>1856</v>
      </c>
      <c r="D62" s="63" t="s">
        <v>1658</v>
      </c>
      <c r="E62" s="64">
        <v>0</v>
      </c>
      <c r="F62" s="65" t="s">
        <v>190</v>
      </c>
      <c r="G62" s="389">
        <f t="shared" si="26"/>
        <v>0.7</v>
      </c>
      <c r="H62" s="389">
        <f t="shared" si="26"/>
        <v>0.62</v>
      </c>
      <c r="I62" s="389">
        <f t="shared" si="26"/>
        <v>0.52999999999999992</v>
      </c>
      <c r="J62" s="389">
        <f t="shared" si="26"/>
        <v>0.45</v>
      </c>
      <c r="K62" s="389">
        <f t="shared" si="26"/>
        <v>0.39</v>
      </c>
      <c r="L62" s="720">
        <v>0.06</v>
      </c>
      <c r="M62" s="63" t="s">
        <v>322</v>
      </c>
      <c r="N62" s="440">
        <v>4.3999999999999997E-2</v>
      </c>
      <c r="O62" s="390">
        <v>6.0000000000000001E-3</v>
      </c>
      <c r="P62" s="390">
        <v>0</v>
      </c>
      <c r="Q62" s="390">
        <v>0</v>
      </c>
      <c r="R62" s="390">
        <v>0</v>
      </c>
      <c r="S62" s="63" t="s">
        <v>476</v>
      </c>
      <c r="T62" s="63"/>
      <c r="U62" s="1039"/>
      <c r="V62" s="1039"/>
      <c r="W62" s="1039"/>
      <c r="X62" s="64" t="s">
        <v>2364</v>
      </c>
      <c r="Y62" s="439"/>
      <c r="Z62" s="439"/>
      <c r="AA62" s="2" t="s">
        <v>187</v>
      </c>
      <c r="AB62" s="296">
        <v>4.4999999999999998E-2</v>
      </c>
      <c r="AC62" s="296">
        <v>4.4999999999999998E-2</v>
      </c>
      <c r="AD62" s="296">
        <f t="shared" si="27"/>
        <v>4.7E-2</v>
      </c>
      <c r="AE62" s="296">
        <f t="shared" si="28"/>
        <v>4.7E-2</v>
      </c>
      <c r="AF62" s="437">
        <v>4.7E-2</v>
      </c>
      <c r="AG62" s="437">
        <v>4.9000000000000002E-2</v>
      </c>
      <c r="AH62" s="437">
        <v>5.0999999999999997E-2</v>
      </c>
      <c r="AT62" s="400" t="str">
        <f>AV62&amp;AU62</f>
        <v>48J</v>
      </c>
      <c r="AU62" s="1262" t="s">
        <v>324</v>
      </c>
      <c r="AV62" s="1265">
        <v>48</v>
      </c>
      <c r="AW62" s="1039">
        <v>0.43</v>
      </c>
      <c r="AY62" s="435" t="s">
        <v>197</v>
      </c>
      <c r="AZ62" s="435">
        <v>48</v>
      </c>
      <c r="BA62" s="436">
        <v>0.45</v>
      </c>
    </row>
    <row r="63" spans="1:53" ht="15" customHeight="1">
      <c r="A63" s="63">
        <f t="shared" si="8"/>
        <v>60</v>
      </c>
      <c r="B63" s="63" t="s">
        <v>1308</v>
      </c>
      <c r="C63" s="63" t="s">
        <v>1856</v>
      </c>
      <c r="D63" s="63" t="s">
        <v>2168</v>
      </c>
      <c r="E63" s="64">
        <v>0</v>
      </c>
      <c r="F63" s="65" t="s">
        <v>190</v>
      </c>
      <c r="G63" s="389">
        <f t="shared" si="26"/>
        <v>0.7</v>
      </c>
      <c r="H63" s="389">
        <f t="shared" si="26"/>
        <v>0.62</v>
      </c>
      <c r="I63" s="389">
        <f t="shared" si="26"/>
        <v>0.52999999999999992</v>
      </c>
      <c r="J63" s="389">
        <f t="shared" si="26"/>
        <v>0.45</v>
      </c>
      <c r="K63" s="389">
        <f t="shared" si="26"/>
        <v>0.39</v>
      </c>
      <c r="L63" s="720">
        <v>0.06</v>
      </c>
      <c r="M63" s="63" t="s">
        <v>322</v>
      </c>
      <c r="N63" s="440">
        <v>4.3999999999999997E-2</v>
      </c>
      <c r="O63" s="390">
        <v>6.0000000000000001E-3</v>
      </c>
      <c r="P63" s="390">
        <v>0</v>
      </c>
      <c r="Q63" s="390">
        <v>0</v>
      </c>
      <c r="R63" s="390">
        <v>0</v>
      </c>
      <c r="S63" s="63" t="s">
        <v>1871</v>
      </c>
      <c r="T63" s="63"/>
      <c r="U63" s="1039"/>
      <c r="V63" s="1039"/>
      <c r="W63" s="1039"/>
      <c r="X63" s="64" t="s">
        <v>2364</v>
      </c>
      <c r="Y63" s="439"/>
      <c r="Z63" s="439"/>
      <c r="AA63" s="434" t="s">
        <v>188</v>
      </c>
      <c r="AB63" s="433">
        <v>4.4999999999999998E-2</v>
      </c>
      <c r="AC63" s="433">
        <v>4.4999999999999998E-2</v>
      </c>
      <c r="AD63" s="433">
        <f t="shared" si="27"/>
        <v>4.7E-2</v>
      </c>
      <c r="AE63" s="433">
        <f t="shared" si="28"/>
        <v>4.7E-2</v>
      </c>
      <c r="AF63" s="438">
        <v>4.7E-2</v>
      </c>
      <c r="AG63" s="438">
        <v>4.9000000000000002E-2</v>
      </c>
      <c r="AH63" s="438">
        <v>5.0999999999999997E-2</v>
      </c>
      <c r="AT63" s="1030" t="str">
        <f>AV63&amp;AU63</f>
        <v>60J</v>
      </c>
      <c r="AU63" s="1266" t="s">
        <v>324</v>
      </c>
      <c r="AV63" s="1267">
        <v>60</v>
      </c>
      <c r="AW63" s="1039">
        <v>0.37</v>
      </c>
      <c r="AY63" s="435" t="s">
        <v>197</v>
      </c>
      <c r="AZ63" s="435">
        <v>60</v>
      </c>
      <c r="BA63" s="436">
        <v>0.36</v>
      </c>
    </row>
    <row r="64" spans="1:53" ht="15" customHeight="1">
      <c r="A64" s="63">
        <f t="shared" si="8"/>
        <v>61</v>
      </c>
      <c r="B64" s="63" t="s">
        <v>1308</v>
      </c>
      <c r="C64" s="63" t="s">
        <v>1856</v>
      </c>
      <c r="D64" s="63" t="s">
        <v>1872</v>
      </c>
      <c r="E64" s="64">
        <v>0</v>
      </c>
      <c r="F64" s="65" t="s">
        <v>190</v>
      </c>
      <c r="G64" s="389" t="e">
        <f t="shared" si="26"/>
        <v>#N/A</v>
      </c>
      <c r="H64" s="389" t="e">
        <f t="shared" si="26"/>
        <v>#N/A</v>
      </c>
      <c r="I64" s="389" t="e">
        <f t="shared" si="26"/>
        <v>#N/A</v>
      </c>
      <c r="J64" s="389" t="e">
        <f t="shared" si="26"/>
        <v>#N/A</v>
      </c>
      <c r="K64" s="389" t="e">
        <f t="shared" si="26"/>
        <v>#N/A</v>
      </c>
      <c r="L64" s="720">
        <v>0.06</v>
      </c>
      <c r="M64" s="63"/>
      <c r="N64" s="440">
        <v>4.3999999999999997E-2</v>
      </c>
      <c r="O64" s="390">
        <v>6.0000000000000001E-3</v>
      </c>
      <c r="P64" s="390">
        <v>0</v>
      </c>
      <c r="Q64" s="390">
        <v>0</v>
      </c>
      <c r="R64" s="390">
        <v>0</v>
      </c>
      <c r="S64" s="63" t="s">
        <v>1871</v>
      </c>
      <c r="T64" s="63"/>
      <c r="U64" s="1039"/>
      <c r="V64" s="1039"/>
      <c r="W64" s="1039"/>
      <c r="X64" s="64" t="s">
        <v>2364</v>
      </c>
      <c r="Y64" s="439"/>
      <c r="Z64" s="439"/>
      <c r="AA64" s="439"/>
      <c r="AT64" s="400" t="str">
        <f t="shared" si="12"/>
        <v>12K</v>
      </c>
      <c r="AU64" s="1259" t="s">
        <v>660</v>
      </c>
      <c r="AV64" s="1260">
        <v>12</v>
      </c>
      <c r="AW64" s="1261">
        <v>0.66999999999999993</v>
      </c>
      <c r="AY64" s="435" t="s">
        <v>198</v>
      </c>
      <c r="AZ64" s="435">
        <v>12</v>
      </c>
      <c r="BA64" s="436">
        <v>0.65</v>
      </c>
    </row>
    <row r="65" spans="1:53" ht="15" customHeight="1">
      <c r="A65" s="63">
        <f t="shared" si="8"/>
        <v>62</v>
      </c>
      <c r="B65" s="63" t="s">
        <v>1308</v>
      </c>
      <c r="C65" s="63" t="s">
        <v>1856</v>
      </c>
      <c r="D65" s="63" t="s">
        <v>1732</v>
      </c>
      <c r="E65" s="64">
        <v>0</v>
      </c>
      <c r="F65" s="65" t="s">
        <v>190</v>
      </c>
      <c r="G65" s="389">
        <f t="shared" si="26"/>
        <v>0.7</v>
      </c>
      <c r="H65" s="389">
        <f t="shared" si="26"/>
        <v>0.62</v>
      </c>
      <c r="I65" s="389">
        <f t="shared" si="26"/>
        <v>0.52999999999999992</v>
      </c>
      <c r="J65" s="389">
        <f t="shared" si="26"/>
        <v>0.45</v>
      </c>
      <c r="K65" s="389">
        <f t="shared" si="26"/>
        <v>0.39</v>
      </c>
      <c r="L65" s="720">
        <v>0.06</v>
      </c>
      <c r="M65" s="63" t="s">
        <v>322</v>
      </c>
      <c r="N65" s="440">
        <v>4.3999999999999997E-2</v>
      </c>
      <c r="O65" s="390">
        <v>6.0000000000000001E-3</v>
      </c>
      <c r="P65" s="390">
        <v>0</v>
      </c>
      <c r="Q65" s="390">
        <v>0</v>
      </c>
      <c r="R65" s="390">
        <v>0</v>
      </c>
      <c r="S65" s="63" t="s">
        <v>1871</v>
      </c>
      <c r="T65" s="63"/>
      <c r="U65" s="1039"/>
      <c r="V65" s="1039"/>
      <c r="W65" s="1039"/>
      <c r="X65" s="64" t="s">
        <v>2364</v>
      </c>
      <c r="Y65" s="439"/>
      <c r="Z65" s="439"/>
      <c r="AA65" s="439"/>
      <c r="AT65" s="400" t="str">
        <f t="shared" si="12"/>
        <v>24K</v>
      </c>
      <c r="AU65" s="1262" t="s">
        <v>660</v>
      </c>
      <c r="AV65" s="1263">
        <v>24</v>
      </c>
      <c r="AW65" s="1264">
        <v>0.59</v>
      </c>
      <c r="AY65" s="435" t="s">
        <v>198</v>
      </c>
      <c r="AZ65" s="435">
        <v>24</v>
      </c>
      <c r="BA65" s="436">
        <v>0.56999999999999995</v>
      </c>
    </row>
    <row r="66" spans="1:53" ht="15" customHeight="1">
      <c r="A66" s="63">
        <v>65</v>
      </c>
      <c r="B66" s="63" t="s">
        <v>1308</v>
      </c>
      <c r="C66" s="63" t="s">
        <v>1856</v>
      </c>
      <c r="D66" s="63" t="s">
        <v>1879</v>
      </c>
      <c r="E66" s="64">
        <v>0</v>
      </c>
      <c r="F66" s="65" t="s">
        <v>190</v>
      </c>
      <c r="G66" s="389">
        <f t="shared" si="26"/>
        <v>0.7</v>
      </c>
      <c r="H66" s="389">
        <f t="shared" si="26"/>
        <v>0.62</v>
      </c>
      <c r="I66" s="389">
        <f t="shared" si="26"/>
        <v>0.52999999999999992</v>
      </c>
      <c r="J66" s="389">
        <f t="shared" si="26"/>
        <v>0.45</v>
      </c>
      <c r="K66" s="389">
        <f t="shared" si="26"/>
        <v>0.39</v>
      </c>
      <c r="L66" s="720">
        <v>0.06</v>
      </c>
      <c r="M66" s="63" t="s">
        <v>322</v>
      </c>
      <c r="N66" s="440">
        <v>4.3999999999999997E-2</v>
      </c>
      <c r="O66" s="390">
        <v>6.0000000000000001E-3</v>
      </c>
      <c r="P66" s="390">
        <v>0</v>
      </c>
      <c r="Q66" s="390">
        <v>0</v>
      </c>
      <c r="R66" s="390">
        <v>0</v>
      </c>
      <c r="S66" s="63" t="s">
        <v>476</v>
      </c>
      <c r="T66" s="63"/>
      <c r="U66" s="1039"/>
      <c r="V66" s="1039"/>
      <c r="W66" s="1039"/>
      <c r="X66" s="64" t="s">
        <v>2364</v>
      </c>
      <c r="Y66" s="439"/>
      <c r="Z66" s="439"/>
      <c r="AA66" s="439"/>
      <c r="AT66" s="400" t="str">
        <f t="shared" si="12"/>
        <v>36K</v>
      </c>
      <c r="AU66" s="1262" t="s">
        <v>660</v>
      </c>
      <c r="AV66" s="1265">
        <v>36</v>
      </c>
      <c r="AW66" s="1039">
        <v>0.49999999999999989</v>
      </c>
      <c r="AY66" s="435" t="s">
        <v>198</v>
      </c>
      <c r="AZ66" s="435">
        <v>36</v>
      </c>
      <c r="BA66" s="436">
        <v>0.49</v>
      </c>
    </row>
    <row r="67" spans="1:53" ht="15" customHeight="1">
      <c r="A67" s="63">
        <f t="shared" ref="A67:A109" si="29">ROW()-3</f>
        <v>64</v>
      </c>
      <c r="B67" s="63" t="s">
        <v>1308</v>
      </c>
      <c r="C67" s="63" t="s">
        <v>1856</v>
      </c>
      <c r="D67" s="63" t="s">
        <v>1733</v>
      </c>
      <c r="E67" s="64">
        <v>0</v>
      </c>
      <c r="F67" s="65" t="s">
        <v>190</v>
      </c>
      <c r="G67" s="389">
        <f t="shared" si="26"/>
        <v>0.66999999999999993</v>
      </c>
      <c r="H67" s="389">
        <f t="shared" si="26"/>
        <v>0.59</v>
      </c>
      <c r="I67" s="389">
        <f t="shared" si="26"/>
        <v>0.49999999999999989</v>
      </c>
      <c r="J67" s="389">
        <f t="shared" si="26"/>
        <v>0.42</v>
      </c>
      <c r="K67" s="389">
        <f t="shared" si="26"/>
        <v>0.36</v>
      </c>
      <c r="L67" s="720">
        <v>0.06</v>
      </c>
      <c r="M67" s="63" t="s">
        <v>660</v>
      </c>
      <c r="N67" s="440">
        <v>4.3999999999999997E-2</v>
      </c>
      <c r="O67" s="390">
        <v>6.0000000000000001E-3</v>
      </c>
      <c r="P67" s="390">
        <v>0</v>
      </c>
      <c r="Q67" s="390">
        <v>0</v>
      </c>
      <c r="R67" s="390">
        <v>0</v>
      </c>
      <c r="S67" s="63" t="s">
        <v>476</v>
      </c>
      <c r="T67" s="63"/>
      <c r="U67" s="1039"/>
      <c r="V67" s="1039"/>
      <c r="W67" s="1039"/>
      <c r="X67" s="64" t="s">
        <v>2364</v>
      </c>
      <c r="Y67" s="439"/>
      <c r="Z67" s="439"/>
      <c r="AA67" s="439"/>
      <c r="AT67" s="400" t="str">
        <f t="shared" si="12"/>
        <v>48K</v>
      </c>
      <c r="AU67" s="1262" t="s">
        <v>660</v>
      </c>
      <c r="AV67" s="1265">
        <v>48</v>
      </c>
      <c r="AW67" s="1039">
        <v>0.42</v>
      </c>
      <c r="AY67" s="435" t="s">
        <v>198</v>
      </c>
      <c r="AZ67" s="435">
        <v>48</v>
      </c>
      <c r="BA67" s="436">
        <v>0.43</v>
      </c>
    </row>
    <row r="68" spans="1:53" ht="15" customHeight="1">
      <c r="A68" s="63">
        <f t="shared" si="29"/>
        <v>65</v>
      </c>
      <c r="B68" s="63" t="s">
        <v>1308</v>
      </c>
      <c r="C68" s="63" t="s">
        <v>1856</v>
      </c>
      <c r="D68" s="63" t="s">
        <v>1862</v>
      </c>
      <c r="E68" s="64">
        <v>0</v>
      </c>
      <c r="F68" s="65" t="s">
        <v>190</v>
      </c>
      <c r="G68" s="389">
        <f t="shared" si="26"/>
        <v>0.66999999999999993</v>
      </c>
      <c r="H68" s="389">
        <f t="shared" si="26"/>
        <v>0.59</v>
      </c>
      <c r="I68" s="389">
        <f t="shared" si="26"/>
        <v>0.49999999999999989</v>
      </c>
      <c r="J68" s="389">
        <f t="shared" si="26"/>
        <v>0.42</v>
      </c>
      <c r="K68" s="389">
        <f t="shared" si="26"/>
        <v>0.36</v>
      </c>
      <c r="L68" s="720">
        <v>0.06</v>
      </c>
      <c r="M68" s="63" t="s">
        <v>660</v>
      </c>
      <c r="N68" s="440">
        <v>4.3999999999999997E-2</v>
      </c>
      <c r="O68" s="390">
        <v>6.0000000000000001E-3</v>
      </c>
      <c r="P68" s="390">
        <v>0</v>
      </c>
      <c r="Q68" s="390">
        <v>0</v>
      </c>
      <c r="R68" s="390">
        <v>0</v>
      </c>
      <c r="S68" s="63" t="s">
        <v>1871</v>
      </c>
      <c r="T68" s="63"/>
      <c r="U68" s="1039"/>
      <c r="V68" s="1039"/>
      <c r="W68" s="1039"/>
      <c r="X68" s="64" t="s">
        <v>2364</v>
      </c>
      <c r="Y68" s="439"/>
      <c r="Z68" s="439"/>
      <c r="AA68" s="439"/>
      <c r="AT68" s="1030" t="str">
        <f t="shared" si="12"/>
        <v>60K</v>
      </c>
      <c r="AU68" s="1266" t="s">
        <v>660</v>
      </c>
      <c r="AV68" s="1267">
        <v>60</v>
      </c>
      <c r="AW68" s="1268">
        <v>0.36</v>
      </c>
      <c r="AY68" s="435" t="s">
        <v>198</v>
      </c>
      <c r="AZ68" s="435">
        <v>60</v>
      </c>
      <c r="BA68" s="436">
        <v>0.35</v>
      </c>
    </row>
    <row r="69" spans="1:53" ht="15" customHeight="1">
      <c r="A69" s="63">
        <f t="shared" si="29"/>
        <v>66</v>
      </c>
      <c r="B69" s="63" t="s">
        <v>1308</v>
      </c>
      <c r="C69" s="63" t="s">
        <v>1856</v>
      </c>
      <c r="D69" s="63" t="s">
        <v>2169</v>
      </c>
      <c r="E69" s="64">
        <v>0</v>
      </c>
      <c r="F69" s="65" t="s">
        <v>190</v>
      </c>
      <c r="G69" s="389">
        <f t="shared" si="26"/>
        <v>0.66999999999999993</v>
      </c>
      <c r="H69" s="389">
        <f t="shared" si="26"/>
        <v>0.59</v>
      </c>
      <c r="I69" s="389">
        <f t="shared" si="26"/>
        <v>0.49999999999999989</v>
      </c>
      <c r="J69" s="389">
        <f t="shared" si="26"/>
        <v>0.42</v>
      </c>
      <c r="K69" s="389">
        <f t="shared" si="26"/>
        <v>0.36</v>
      </c>
      <c r="L69" s="720">
        <v>0.06</v>
      </c>
      <c r="M69" s="63" t="s">
        <v>660</v>
      </c>
      <c r="N69" s="440">
        <v>4.3999999999999997E-2</v>
      </c>
      <c r="O69" s="390">
        <v>6.0000000000000001E-3</v>
      </c>
      <c r="P69" s="390">
        <v>0</v>
      </c>
      <c r="Q69" s="390">
        <v>0</v>
      </c>
      <c r="R69" s="390">
        <v>0</v>
      </c>
      <c r="S69" s="63" t="s">
        <v>476</v>
      </c>
      <c r="T69" s="63"/>
      <c r="U69" s="1039"/>
      <c r="V69" s="1039"/>
      <c r="W69" s="1039"/>
      <c r="X69" s="64" t="s">
        <v>2364</v>
      </c>
      <c r="Y69" s="439"/>
      <c r="Z69" s="439"/>
      <c r="AA69" s="439"/>
      <c r="AT69" s="400" t="str">
        <f t="shared" si="12"/>
        <v>12L</v>
      </c>
      <c r="AU69" s="1262" t="s">
        <v>325</v>
      </c>
      <c r="AV69" s="1265">
        <v>12</v>
      </c>
      <c r="AW69" s="1039">
        <v>0.65999999999999992</v>
      </c>
      <c r="AY69" s="435" t="s">
        <v>199</v>
      </c>
      <c r="AZ69" s="435">
        <v>12</v>
      </c>
      <c r="BA69" s="436">
        <v>0.64</v>
      </c>
    </row>
    <row r="70" spans="1:53" ht="15" customHeight="1">
      <c r="A70" s="63">
        <f t="shared" si="29"/>
        <v>67</v>
      </c>
      <c r="B70" s="63" t="s">
        <v>1308</v>
      </c>
      <c r="C70" s="63" t="s">
        <v>1856</v>
      </c>
      <c r="D70" s="63" t="s">
        <v>1880</v>
      </c>
      <c r="E70" s="64">
        <v>0</v>
      </c>
      <c r="F70" s="65" t="s">
        <v>190</v>
      </c>
      <c r="G70" s="389">
        <f t="shared" si="26"/>
        <v>0.57999999999999996</v>
      </c>
      <c r="H70" s="389">
        <f t="shared" si="26"/>
        <v>0.5</v>
      </c>
      <c r="I70" s="389">
        <f t="shared" si="26"/>
        <v>0.41</v>
      </c>
      <c r="J70" s="389">
        <f t="shared" si="26"/>
        <v>0.32999999999999996</v>
      </c>
      <c r="K70" s="389">
        <f t="shared" si="26"/>
        <v>0.26999999999999996</v>
      </c>
      <c r="L70" s="720">
        <v>0.06</v>
      </c>
      <c r="M70" s="63" t="s">
        <v>662</v>
      </c>
      <c r="N70" s="440">
        <v>4.3999999999999997E-2</v>
      </c>
      <c r="O70" s="390">
        <v>6.0000000000000001E-3</v>
      </c>
      <c r="P70" s="390">
        <v>0</v>
      </c>
      <c r="Q70" s="390">
        <v>0</v>
      </c>
      <c r="R70" s="390">
        <v>0</v>
      </c>
      <c r="S70" s="63" t="s">
        <v>476</v>
      </c>
      <c r="T70" s="63"/>
      <c r="U70" s="1039"/>
      <c r="V70" s="1039"/>
      <c r="W70" s="1039"/>
      <c r="X70" s="64" t="s">
        <v>2364</v>
      </c>
      <c r="Y70" s="439"/>
      <c r="Z70" s="439"/>
      <c r="AA70" s="439"/>
      <c r="AT70" s="400" t="str">
        <f t="shared" si="12"/>
        <v>24L</v>
      </c>
      <c r="AU70" s="1262" t="s">
        <v>325</v>
      </c>
      <c r="AV70" s="1263">
        <v>24</v>
      </c>
      <c r="AW70" s="1264">
        <v>0.57999999999999996</v>
      </c>
      <c r="AY70" s="435" t="s">
        <v>199</v>
      </c>
      <c r="AZ70" s="435">
        <v>24</v>
      </c>
      <c r="BA70" s="436">
        <v>0.56000000000000005</v>
      </c>
    </row>
    <row r="71" spans="1:53" ht="15" customHeight="1">
      <c r="A71" s="63">
        <f t="shared" si="29"/>
        <v>68</v>
      </c>
      <c r="B71" s="63" t="s">
        <v>1308</v>
      </c>
      <c r="C71" s="63" t="s">
        <v>1856</v>
      </c>
      <c r="D71" s="63" t="s">
        <v>2170</v>
      </c>
      <c r="E71" s="64">
        <v>0</v>
      </c>
      <c r="F71" s="65" t="s">
        <v>621</v>
      </c>
      <c r="G71" s="389">
        <f t="shared" si="26"/>
        <v>0.57999999999999996</v>
      </c>
      <c r="H71" s="389">
        <f t="shared" si="26"/>
        <v>0.5</v>
      </c>
      <c r="I71" s="389">
        <f t="shared" si="26"/>
        <v>0.41</v>
      </c>
      <c r="J71" s="389">
        <f t="shared" si="26"/>
        <v>0.32999999999999996</v>
      </c>
      <c r="K71" s="389">
        <f t="shared" si="26"/>
        <v>0.26999999999999996</v>
      </c>
      <c r="L71" s="720">
        <v>0.06</v>
      </c>
      <c r="M71" s="63" t="s">
        <v>662</v>
      </c>
      <c r="N71" s="440">
        <v>4.3999999999999997E-2</v>
      </c>
      <c r="O71" s="390">
        <v>6.0000000000000001E-3</v>
      </c>
      <c r="P71" s="390">
        <v>0</v>
      </c>
      <c r="Q71" s="390">
        <v>0</v>
      </c>
      <c r="R71" s="390">
        <v>0</v>
      </c>
      <c r="S71" s="63" t="s">
        <v>582</v>
      </c>
      <c r="T71" s="63"/>
      <c r="U71" s="1039"/>
      <c r="V71" s="1039"/>
      <c r="W71" s="1039"/>
      <c r="X71" s="64" t="s">
        <v>2364</v>
      </c>
      <c r="Y71" s="439"/>
      <c r="Z71" s="439"/>
      <c r="AA71" s="439"/>
      <c r="AT71" s="400" t="str">
        <f t="shared" si="12"/>
        <v>36L</v>
      </c>
      <c r="AU71" s="1262" t="s">
        <v>325</v>
      </c>
      <c r="AV71" s="1265">
        <v>36</v>
      </c>
      <c r="AW71" s="1039">
        <v>0.48999999999999988</v>
      </c>
      <c r="AY71" s="435" t="s">
        <v>199</v>
      </c>
      <c r="AZ71" s="435">
        <v>36</v>
      </c>
      <c r="BA71" s="436">
        <v>0.48</v>
      </c>
    </row>
    <row r="72" spans="1:53" ht="15" customHeight="1">
      <c r="A72" s="63">
        <f t="shared" si="29"/>
        <v>69</v>
      </c>
      <c r="B72" s="63" t="s">
        <v>1306</v>
      </c>
      <c r="C72" s="63" t="s">
        <v>1856</v>
      </c>
      <c r="D72" s="63" t="s">
        <v>2484</v>
      </c>
      <c r="E72" s="64">
        <v>0</v>
      </c>
      <c r="F72" s="65" t="s">
        <v>621</v>
      </c>
      <c r="G72" s="389">
        <f t="shared" si="26"/>
        <v>0.7</v>
      </c>
      <c r="H72" s="389">
        <f t="shared" si="26"/>
        <v>0.62</v>
      </c>
      <c r="I72" s="389">
        <f t="shared" si="26"/>
        <v>0.52999999999999992</v>
      </c>
      <c r="J72" s="389">
        <f t="shared" si="26"/>
        <v>0.45</v>
      </c>
      <c r="K72" s="389">
        <f t="shared" si="26"/>
        <v>0.39</v>
      </c>
      <c r="L72" s="720">
        <v>0.06</v>
      </c>
      <c r="M72" s="63" t="s">
        <v>322</v>
      </c>
      <c r="N72" s="440">
        <v>4.3999999999999997E-2</v>
      </c>
      <c r="O72" s="390">
        <v>6.0000000000000001E-3</v>
      </c>
      <c r="P72" s="390">
        <v>0</v>
      </c>
      <c r="Q72" s="390">
        <v>0</v>
      </c>
      <c r="R72" s="390">
        <v>0</v>
      </c>
      <c r="S72" s="63" t="s">
        <v>476</v>
      </c>
      <c r="T72" s="63"/>
      <c r="U72" s="1039"/>
      <c r="V72" s="1039"/>
      <c r="W72" s="1039"/>
      <c r="X72" s="64" t="s">
        <v>2364</v>
      </c>
      <c r="Y72" s="439"/>
      <c r="Z72" s="439"/>
      <c r="AA72" s="439"/>
      <c r="AT72" s="400" t="str">
        <f t="shared" si="12"/>
        <v>48L</v>
      </c>
      <c r="AU72" s="1262" t="s">
        <v>325</v>
      </c>
      <c r="AV72" s="1265">
        <v>48</v>
      </c>
      <c r="AW72" s="1039">
        <v>0.41</v>
      </c>
      <c r="AY72" s="435" t="s">
        <v>199</v>
      </c>
      <c r="AZ72" s="435">
        <v>48</v>
      </c>
      <c r="BA72" s="436">
        <v>0.42</v>
      </c>
    </row>
    <row r="73" spans="1:53" ht="15" customHeight="1">
      <c r="A73" s="63">
        <f t="shared" si="29"/>
        <v>70</v>
      </c>
      <c r="B73" s="63" t="s">
        <v>1306</v>
      </c>
      <c r="C73" s="63" t="s">
        <v>1856</v>
      </c>
      <c r="D73" s="63" t="s">
        <v>2485</v>
      </c>
      <c r="E73" s="64">
        <v>0</v>
      </c>
      <c r="F73" s="65" t="s">
        <v>621</v>
      </c>
      <c r="G73" s="389">
        <f t="shared" si="26"/>
        <v>0.7</v>
      </c>
      <c r="H73" s="389">
        <f t="shared" si="26"/>
        <v>0.62</v>
      </c>
      <c r="I73" s="389">
        <f t="shared" si="26"/>
        <v>0.52999999999999992</v>
      </c>
      <c r="J73" s="389">
        <f t="shared" si="26"/>
        <v>0.45</v>
      </c>
      <c r="K73" s="389">
        <f t="shared" si="26"/>
        <v>0.39</v>
      </c>
      <c r="L73" s="720">
        <v>0.06</v>
      </c>
      <c r="M73" s="63" t="s">
        <v>322</v>
      </c>
      <c r="N73" s="440">
        <v>4.3999999999999997E-2</v>
      </c>
      <c r="O73" s="390">
        <v>6.0000000000000001E-3</v>
      </c>
      <c r="P73" s="390">
        <v>0</v>
      </c>
      <c r="Q73" s="390">
        <v>0</v>
      </c>
      <c r="R73" s="390">
        <v>0</v>
      </c>
      <c r="S73" s="63" t="s">
        <v>476</v>
      </c>
      <c r="T73" s="63"/>
      <c r="U73" s="1039"/>
      <c r="V73" s="1039"/>
      <c r="W73" s="1039"/>
      <c r="X73" s="64" t="s">
        <v>2364</v>
      </c>
      <c r="Y73" s="439"/>
      <c r="Z73" s="439"/>
      <c r="AA73" s="439"/>
      <c r="AT73" s="1030" t="str">
        <f t="shared" si="12"/>
        <v>60L</v>
      </c>
      <c r="AU73" s="1262" t="s">
        <v>325</v>
      </c>
      <c r="AV73" s="1265">
        <v>60</v>
      </c>
      <c r="AW73" s="1039">
        <v>0.35</v>
      </c>
      <c r="AY73" s="435" t="s">
        <v>199</v>
      </c>
      <c r="AZ73" s="435">
        <v>60</v>
      </c>
      <c r="BA73" s="436">
        <v>0.34</v>
      </c>
    </row>
    <row r="74" spans="1:53" ht="15" customHeight="1">
      <c r="A74" s="63">
        <f t="shared" si="29"/>
        <v>71</v>
      </c>
      <c r="B74" s="63" t="s">
        <v>1308</v>
      </c>
      <c r="C74" s="63" t="s">
        <v>1856</v>
      </c>
      <c r="D74" s="63" t="s">
        <v>1734</v>
      </c>
      <c r="E74" s="64">
        <v>0</v>
      </c>
      <c r="F74" s="65" t="s">
        <v>621</v>
      </c>
      <c r="G74" s="389">
        <f t="shared" si="26"/>
        <v>0.66999999999999993</v>
      </c>
      <c r="H74" s="389">
        <f t="shared" si="26"/>
        <v>0.59</v>
      </c>
      <c r="I74" s="389">
        <f t="shared" si="26"/>
        <v>0.49999999999999989</v>
      </c>
      <c r="J74" s="389">
        <f t="shared" si="26"/>
        <v>0.42</v>
      </c>
      <c r="K74" s="389">
        <f t="shared" si="26"/>
        <v>0.36</v>
      </c>
      <c r="L74" s="720">
        <v>0.06</v>
      </c>
      <c r="M74" s="63" t="s">
        <v>660</v>
      </c>
      <c r="N74" s="440">
        <v>4.3999999999999997E-2</v>
      </c>
      <c r="O74" s="390">
        <v>6.0000000000000001E-3</v>
      </c>
      <c r="P74" s="390">
        <v>0</v>
      </c>
      <c r="Q74" s="390">
        <v>0</v>
      </c>
      <c r="R74" s="390">
        <v>0</v>
      </c>
      <c r="S74" s="63" t="s">
        <v>476</v>
      </c>
      <c r="T74" s="63"/>
      <c r="U74" s="1039"/>
      <c r="V74" s="1039"/>
      <c r="W74" s="1039"/>
      <c r="X74" s="64" t="s">
        <v>2364</v>
      </c>
      <c r="Y74" s="439"/>
      <c r="Z74" s="439"/>
      <c r="AA74" s="439"/>
      <c r="AT74" s="400" t="str">
        <f t="shared" si="12"/>
        <v>12M</v>
      </c>
      <c r="AU74" s="1259" t="s">
        <v>326</v>
      </c>
      <c r="AV74" s="1260">
        <v>12</v>
      </c>
      <c r="AW74" s="1261">
        <v>0.64999999999999991</v>
      </c>
      <c r="AY74" s="435" t="s">
        <v>200</v>
      </c>
      <c r="AZ74" s="435">
        <v>12</v>
      </c>
      <c r="BA74" s="436">
        <v>0.66</v>
      </c>
    </row>
    <row r="75" spans="1:53" ht="15" customHeight="1">
      <c r="A75" s="63">
        <f t="shared" si="29"/>
        <v>72</v>
      </c>
      <c r="B75" s="63" t="s">
        <v>1308</v>
      </c>
      <c r="C75" s="63" t="s">
        <v>1856</v>
      </c>
      <c r="D75" s="63" t="s">
        <v>1735</v>
      </c>
      <c r="E75" s="64">
        <v>0</v>
      </c>
      <c r="F75" s="65" t="s">
        <v>621</v>
      </c>
      <c r="G75" s="389">
        <f t="shared" si="26"/>
        <v>0.66999999999999993</v>
      </c>
      <c r="H75" s="389">
        <f t="shared" si="26"/>
        <v>0.59</v>
      </c>
      <c r="I75" s="389">
        <f t="shared" si="26"/>
        <v>0.49999999999999989</v>
      </c>
      <c r="J75" s="389">
        <f t="shared" si="26"/>
        <v>0.42</v>
      </c>
      <c r="K75" s="389">
        <f t="shared" si="26"/>
        <v>0.36</v>
      </c>
      <c r="L75" s="720">
        <v>0.06</v>
      </c>
      <c r="M75" s="63" t="s">
        <v>660</v>
      </c>
      <c r="N75" s="440">
        <v>4.3999999999999997E-2</v>
      </c>
      <c r="O75" s="390">
        <v>6.0000000000000001E-3</v>
      </c>
      <c r="P75" s="390">
        <v>0</v>
      </c>
      <c r="Q75" s="390">
        <v>0</v>
      </c>
      <c r="R75" s="390">
        <v>0</v>
      </c>
      <c r="S75" s="63" t="s">
        <v>1871</v>
      </c>
      <c r="T75" s="63"/>
      <c r="U75" s="1039"/>
      <c r="V75" s="1039"/>
      <c r="W75" s="1039"/>
      <c r="X75" s="64" t="s">
        <v>2364</v>
      </c>
      <c r="Y75" s="439"/>
      <c r="Z75" s="439"/>
      <c r="AA75" s="439"/>
      <c r="AT75" s="400" t="str">
        <f t="shared" si="12"/>
        <v>24M</v>
      </c>
      <c r="AU75" s="1262" t="s">
        <v>326</v>
      </c>
      <c r="AV75" s="1263">
        <v>24</v>
      </c>
      <c r="AW75" s="1264">
        <v>0.56999999999999995</v>
      </c>
      <c r="AY75" s="435" t="s">
        <v>200</v>
      </c>
      <c r="AZ75" s="435">
        <v>24</v>
      </c>
      <c r="BA75" s="436">
        <v>0.56999999999999995</v>
      </c>
    </row>
    <row r="76" spans="1:53" ht="15" customHeight="1">
      <c r="A76" s="63">
        <f t="shared" si="29"/>
        <v>73</v>
      </c>
      <c r="B76" s="63" t="s">
        <v>1308</v>
      </c>
      <c r="C76" s="63" t="s">
        <v>1856</v>
      </c>
      <c r="D76" s="63" t="s">
        <v>2171</v>
      </c>
      <c r="E76" s="64">
        <v>2925</v>
      </c>
      <c r="F76" s="65" t="s">
        <v>144</v>
      </c>
      <c r="G76" s="389">
        <f t="shared" si="26"/>
        <v>0.74</v>
      </c>
      <c r="H76" s="389">
        <f t="shared" si="26"/>
        <v>0.66</v>
      </c>
      <c r="I76" s="389">
        <f t="shared" si="26"/>
        <v>0.56999999999999995</v>
      </c>
      <c r="J76" s="389">
        <f t="shared" si="26"/>
        <v>0.49</v>
      </c>
      <c r="K76" s="389">
        <f t="shared" si="26"/>
        <v>0.43000000000000005</v>
      </c>
      <c r="L76" s="720">
        <v>0.06</v>
      </c>
      <c r="M76" s="63" t="s">
        <v>170</v>
      </c>
      <c r="N76" s="440">
        <v>4.3999999999999997E-2</v>
      </c>
      <c r="O76" s="390">
        <v>6.0000000000000001E-3</v>
      </c>
      <c r="P76" s="390">
        <v>0</v>
      </c>
      <c r="Q76" s="390">
        <v>0</v>
      </c>
      <c r="R76" s="390">
        <v>0</v>
      </c>
      <c r="S76" s="63" t="s">
        <v>587</v>
      </c>
      <c r="T76" s="63"/>
      <c r="U76" s="1039"/>
      <c r="V76" s="1039"/>
      <c r="W76" s="1039"/>
      <c r="X76" s="64" t="s">
        <v>2364</v>
      </c>
      <c r="Y76" s="439"/>
      <c r="Z76" s="439"/>
      <c r="AA76" s="439"/>
      <c r="AT76" s="400" t="str">
        <f t="shared" si="12"/>
        <v>36M</v>
      </c>
      <c r="AU76" s="1262" t="s">
        <v>326</v>
      </c>
      <c r="AV76" s="1265">
        <v>36</v>
      </c>
      <c r="AW76" s="1039">
        <v>0.47999999999999987</v>
      </c>
      <c r="AY76" s="435" t="s">
        <v>200</v>
      </c>
      <c r="AZ76" s="435">
        <v>36</v>
      </c>
      <c r="BA76" s="436">
        <v>0.48</v>
      </c>
    </row>
    <row r="77" spans="1:53" ht="15" customHeight="1">
      <c r="A77" s="63">
        <f t="shared" si="29"/>
        <v>74</v>
      </c>
      <c r="B77" s="63" t="s">
        <v>1308</v>
      </c>
      <c r="C77" s="63" t="s">
        <v>2333</v>
      </c>
      <c r="D77" s="63" t="s">
        <v>2172</v>
      </c>
      <c r="E77" s="64">
        <v>2925</v>
      </c>
      <c r="F77" s="65" t="s">
        <v>144</v>
      </c>
      <c r="G77" s="389">
        <f t="shared" si="26"/>
        <v>0.74</v>
      </c>
      <c r="H77" s="389">
        <f t="shared" si="26"/>
        <v>0.66</v>
      </c>
      <c r="I77" s="389">
        <f t="shared" si="26"/>
        <v>0.56999999999999995</v>
      </c>
      <c r="J77" s="389">
        <f t="shared" si="26"/>
        <v>0.49</v>
      </c>
      <c r="K77" s="389">
        <f t="shared" si="26"/>
        <v>0.43000000000000005</v>
      </c>
      <c r="L77" s="720">
        <v>0.06</v>
      </c>
      <c r="M77" s="63" t="s">
        <v>170</v>
      </c>
      <c r="N77" s="440">
        <v>4.3999999999999997E-2</v>
      </c>
      <c r="O77" s="390">
        <v>6.0000000000000001E-3</v>
      </c>
      <c r="P77" s="390">
        <v>0</v>
      </c>
      <c r="Q77" s="390">
        <v>0</v>
      </c>
      <c r="R77" s="390">
        <v>0</v>
      </c>
      <c r="S77" s="63" t="s">
        <v>2144</v>
      </c>
      <c r="T77" s="63"/>
      <c r="U77" s="1039"/>
      <c r="V77" s="1039"/>
      <c r="W77" s="1039"/>
      <c r="X77" s="64" t="s">
        <v>2364</v>
      </c>
      <c r="Y77" s="439"/>
      <c r="Z77" s="439"/>
      <c r="AA77" s="439"/>
      <c r="AT77" s="400" t="str">
        <f t="shared" si="12"/>
        <v>48M</v>
      </c>
      <c r="AU77" s="1262" t="s">
        <v>326</v>
      </c>
      <c r="AV77" s="1265">
        <v>48</v>
      </c>
      <c r="AW77" s="1039">
        <v>0.39999999999999997</v>
      </c>
      <c r="AY77" s="435" t="s">
        <v>200</v>
      </c>
      <c r="AZ77" s="435">
        <v>48</v>
      </c>
      <c r="BA77" s="436">
        <v>0.42</v>
      </c>
    </row>
    <row r="78" spans="1:53" ht="15" customHeight="1">
      <c r="A78" s="63">
        <f t="shared" si="29"/>
        <v>75</v>
      </c>
      <c r="B78" s="63" t="s">
        <v>1306</v>
      </c>
      <c r="C78" s="63" t="s">
        <v>1856</v>
      </c>
      <c r="D78" s="1234" t="s">
        <v>2547</v>
      </c>
      <c r="E78" s="64">
        <v>2989</v>
      </c>
      <c r="F78" s="65" t="s">
        <v>144</v>
      </c>
      <c r="G78" s="389">
        <f t="shared" si="26"/>
        <v>0.74</v>
      </c>
      <c r="H78" s="389">
        <f t="shared" si="26"/>
        <v>0.66</v>
      </c>
      <c r="I78" s="389">
        <f t="shared" si="26"/>
        <v>0.56999999999999995</v>
      </c>
      <c r="J78" s="389">
        <f t="shared" si="26"/>
        <v>0.49</v>
      </c>
      <c r="K78" s="389">
        <f t="shared" si="26"/>
        <v>0.43000000000000005</v>
      </c>
      <c r="L78" s="720">
        <v>0.06</v>
      </c>
      <c r="M78" s="63" t="s">
        <v>170</v>
      </c>
      <c r="N78" s="440">
        <v>4.3999999999999997E-2</v>
      </c>
      <c r="O78" s="390">
        <v>6.0000000000000001E-3</v>
      </c>
      <c r="P78" s="390">
        <v>0</v>
      </c>
      <c r="Q78" s="390">
        <v>0</v>
      </c>
      <c r="R78" s="390">
        <v>0</v>
      </c>
      <c r="S78" s="63" t="s">
        <v>587</v>
      </c>
      <c r="T78" s="63"/>
      <c r="U78" s="1039"/>
      <c r="V78" s="1039"/>
      <c r="W78" s="1039"/>
      <c r="X78" s="64" t="s">
        <v>2364</v>
      </c>
      <c r="Y78" s="439"/>
      <c r="Z78" s="439"/>
      <c r="AA78" s="439"/>
      <c r="AT78" s="1030" t="str">
        <f t="shared" si="12"/>
        <v>60M</v>
      </c>
      <c r="AU78" s="1266" t="s">
        <v>326</v>
      </c>
      <c r="AV78" s="1267">
        <v>60</v>
      </c>
      <c r="AW78" s="1268">
        <v>0.33999999999999997</v>
      </c>
      <c r="AY78" s="435" t="s">
        <v>200</v>
      </c>
      <c r="AZ78" s="435">
        <v>60</v>
      </c>
      <c r="BA78" s="436">
        <v>0.33</v>
      </c>
    </row>
    <row r="79" spans="1:53" ht="15" customHeight="1">
      <c r="A79" s="63">
        <f t="shared" si="29"/>
        <v>76</v>
      </c>
      <c r="B79" s="63" t="s">
        <v>1306</v>
      </c>
      <c r="C79" s="63" t="s">
        <v>1856</v>
      </c>
      <c r="D79" s="1234" t="s">
        <v>2548</v>
      </c>
      <c r="E79" s="64">
        <v>2989</v>
      </c>
      <c r="F79" s="65" t="s">
        <v>144</v>
      </c>
      <c r="G79" s="389">
        <f t="shared" si="26"/>
        <v>0.74</v>
      </c>
      <c r="H79" s="389">
        <f t="shared" si="26"/>
        <v>0.66</v>
      </c>
      <c r="I79" s="389">
        <f t="shared" si="26"/>
        <v>0.56999999999999995</v>
      </c>
      <c r="J79" s="389">
        <f t="shared" si="26"/>
        <v>0.49</v>
      </c>
      <c r="K79" s="389">
        <f t="shared" si="26"/>
        <v>0.43000000000000005</v>
      </c>
      <c r="L79" s="720">
        <v>0.06</v>
      </c>
      <c r="M79" s="63" t="s">
        <v>170</v>
      </c>
      <c r="N79" s="440">
        <v>4.3999999999999997E-2</v>
      </c>
      <c r="O79" s="390">
        <v>6.0000000000000001E-3</v>
      </c>
      <c r="P79" s="390">
        <v>0</v>
      </c>
      <c r="Q79" s="390">
        <v>0</v>
      </c>
      <c r="R79" s="390">
        <v>0</v>
      </c>
      <c r="S79" s="63" t="s">
        <v>587</v>
      </c>
      <c r="T79" s="63"/>
      <c r="U79" s="1039"/>
      <c r="V79" s="1039"/>
      <c r="W79" s="1039"/>
      <c r="X79" s="64" t="s">
        <v>2364</v>
      </c>
      <c r="Y79" s="439"/>
      <c r="Z79" s="439"/>
      <c r="AA79" s="439"/>
      <c r="AT79" s="400" t="str">
        <f t="shared" si="12"/>
        <v>12M-1</v>
      </c>
      <c r="AU79" s="1259" t="s">
        <v>3219</v>
      </c>
      <c r="AV79" s="1260">
        <v>12</v>
      </c>
      <c r="AW79" s="1261">
        <v>0.65</v>
      </c>
      <c r="AY79" s="1074" t="s">
        <v>201</v>
      </c>
      <c r="AZ79" s="1074">
        <v>12</v>
      </c>
      <c r="BA79" s="1075">
        <v>0.64</v>
      </c>
    </row>
    <row r="80" spans="1:53" ht="15" customHeight="1">
      <c r="A80" s="63">
        <f t="shared" si="29"/>
        <v>77</v>
      </c>
      <c r="B80" s="63" t="s">
        <v>1308</v>
      </c>
      <c r="C80" s="63" t="s">
        <v>1856</v>
      </c>
      <c r="D80" s="1234" t="s">
        <v>2173</v>
      </c>
      <c r="E80" s="64">
        <v>2999</v>
      </c>
      <c r="F80" s="65" t="s">
        <v>144</v>
      </c>
      <c r="G80" s="389">
        <f t="shared" si="26"/>
        <v>0.74</v>
      </c>
      <c r="H80" s="389">
        <f t="shared" si="26"/>
        <v>0.66</v>
      </c>
      <c r="I80" s="389">
        <f t="shared" si="26"/>
        <v>0.56999999999999995</v>
      </c>
      <c r="J80" s="389">
        <f t="shared" si="26"/>
        <v>0.49</v>
      </c>
      <c r="K80" s="389">
        <f t="shared" si="26"/>
        <v>0.43000000000000005</v>
      </c>
      <c r="L80" s="720">
        <v>0.06</v>
      </c>
      <c r="M80" s="63" t="s">
        <v>170</v>
      </c>
      <c r="N80" s="440">
        <v>4.3999999999999997E-2</v>
      </c>
      <c r="O80" s="390">
        <v>6.0000000000000001E-3</v>
      </c>
      <c r="P80" s="390">
        <v>0</v>
      </c>
      <c r="Q80" s="390">
        <v>0</v>
      </c>
      <c r="R80" s="390">
        <v>0</v>
      </c>
      <c r="S80" s="63" t="s">
        <v>2145</v>
      </c>
      <c r="T80" s="63"/>
      <c r="U80" s="1039"/>
      <c r="V80" s="1039"/>
      <c r="W80" s="1039"/>
      <c r="X80" s="64" t="s">
        <v>2364</v>
      </c>
      <c r="Y80" s="439"/>
      <c r="Z80" s="439"/>
      <c r="AA80" s="439"/>
      <c r="AT80" s="400" t="str">
        <f t="shared" si="12"/>
        <v>24M-1</v>
      </c>
      <c r="AU80" s="1262" t="s">
        <v>3219</v>
      </c>
      <c r="AV80" s="1263">
        <v>24</v>
      </c>
      <c r="AW80" s="1039">
        <v>0.56999999999999995</v>
      </c>
    </row>
    <row r="81" spans="1:49" ht="15" customHeight="1">
      <c r="A81" s="63">
        <f t="shared" si="29"/>
        <v>78</v>
      </c>
      <c r="B81" s="63" t="s">
        <v>1308</v>
      </c>
      <c r="C81" s="63" t="s">
        <v>1856</v>
      </c>
      <c r="D81" s="1234" t="s">
        <v>2174</v>
      </c>
      <c r="E81" s="64">
        <v>2999</v>
      </c>
      <c r="F81" s="65" t="s">
        <v>144</v>
      </c>
      <c r="G81" s="389">
        <f t="shared" si="26"/>
        <v>0.73</v>
      </c>
      <c r="H81" s="389">
        <f t="shared" si="26"/>
        <v>0.65</v>
      </c>
      <c r="I81" s="389">
        <f t="shared" si="26"/>
        <v>0.55999999999999994</v>
      </c>
      <c r="J81" s="389">
        <f t="shared" si="26"/>
        <v>0.48</v>
      </c>
      <c r="K81" s="389">
        <f t="shared" si="26"/>
        <v>0.42000000000000004</v>
      </c>
      <c r="L81" s="720">
        <v>0.06</v>
      </c>
      <c r="M81" s="63" t="s">
        <v>176</v>
      </c>
      <c r="N81" s="440">
        <v>4.3999999999999997E-2</v>
      </c>
      <c r="O81" s="390">
        <v>6.0000000000000001E-3</v>
      </c>
      <c r="P81" s="390">
        <v>0</v>
      </c>
      <c r="Q81" s="390">
        <v>0</v>
      </c>
      <c r="R81" s="390">
        <v>0</v>
      </c>
      <c r="S81" s="63" t="s">
        <v>587</v>
      </c>
      <c r="T81" s="63"/>
      <c r="U81" s="1039"/>
      <c r="V81" s="1039"/>
      <c r="W81" s="1039"/>
      <c r="X81" s="64" t="s">
        <v>2364</v>
      </c>
      <c r="Y81" s="439"/>
      <c r="Z81" s="439"/>
      <c r="AA81" s="439"/>
      <c r="AT81" s="400" t="str">
        <f t="shared" si="12"/>
        <v>36M-1</v>
      </c>
      <c r="AU81" s="1262" t="s">
        <v>3219</v>
      </c>
      <c r="AV81" s="1265">
        <v>36</v>
      </c>
      <c r="AW81" s="1039">
        <v>0.47</v>
      </c>
    </row>
    <row r="82" spans="1:49" ht="15" customHeight="1">
      <c r="A82" s="63">
        <f t="shared" si="29"/>
        <v>79</v>
      </c>
      <c r="B82" s="63" t="s">
        <v>1308</v>
      </c>
      <c r="C82" s="63" t="s">
        <v>1856</v>
      </c>
      <c r="D82" s="1234" t="s">
        <v>1736</v>
      </c>
      <c r="E82" s="64">
        <v>2999</v>
      </c>
      <c r="F82" s="65" t="s">
        <v>1873</v>
      </c>
      <c r="G82" s="389">
        <f t="shared" si="26"/>
        <v>0.65999999999999992</v>
      </c>
      <c r="H82" s="389">
        <f t="shared" si="26"/>
        <v>0.57999999999999996</v>
      </c>
      <c r="I82" s="389">
        <f t="shared" si="26"/>
        <v>0.48999999999999988</v>
      </c>
      <c r="J82" s="389">
        <f t="shared" si="26"/>
        <v>0.41</v>
      </c>
      <c r="K82" s="389">
        <f t="shared" si="26"/>
        <v>0.35</v>
      </c>
      <c r="L82" s="720">
        <v>0.06</v>
      </c>
      <c r="M82" s="63" t="s">
        <v>325</v>
      </c>
      <c r="N82" s="440">
        <v>4.3999999999999997E-2</v>
      </c>
      <c r="O82" s="390">
        <v>6.0000000000000001E-3</v>
      </c>
      <c r="P82" s="390">
        <v>0</v>
      </c>
      <c r="Q82" s="390">
        <v>0</v>
      </c>
      <c r="R82" s="390">
        <v>0</v>
      </c>
      <c r="S82" s="63" t="s">
        <v>587</v>
      </c>
      <c r="T82" s="63"/>
      <c r="U82" s="1039"/>
      <c r="V82" s="1039"/>
      <c r="W82" s="1039"/>
      <c r="X82" s="64" t="s">
        <v>2364</v>
      </c>
      <c r="Y82" s="439"/>
      <c r="Z82" s="439"/>
      <c r="AA82" s="439"/>
      <c r="AT82" s="400" t="str">
        <f t="shared" si="12"/>
        <v>48M-1</v>
      </c>
      <c r="AU82" s="1262" t="s">
        <v>3219</v>
      </c>
      <c r="AV82" s="1265">
        <v>48</v>
      </c>
      <c r="AW82" s="1039">
        <v>0.39999999999999997</v>
      </c>
    </row>
    <row r="83" spans="1:49" ht="15" customHeight="1">
      <c r="A83" s="63">
        <f t="shared" si="29"/>
        <v>80</v>
      </c>
      <c r="B83" s="63" t="s">
        <v>1308</v>
      </c>
      <c r="C83" s="63" t="s">
        <v>1856</v>
      </c>
      <c r="D83" s="1234" t="s">
        <v>1881</v>
      </c>
      <c r="E83" s="64">
        <v>3982</v>
      </c>
      <c r="F83" s="65" t="s">
        <v>619</v>
      </c>
      <c r="G83" s="389">
        <f t="shared" si="26"/>
        <v>0.73</v>
      </c>
      <c r="H83" s="389">
        <f t="shared" si="26"/>
        <v>0.65</v>
      </c>
      <c r="I83" s="389">
        <f t="shared" si="26"/>
        <v>0.55999999999999994</v>
      </c>
      <c r="J83" s="389">
        <f t="shared" si="26"/>
        <v>0.48</v>
      </c>
      <c r="K83" s="389">
        <f t="shared" si="26"/>
        <v>0.42000000000000004</v>
      </c>
      <c r="L83" s="720">
        <v>0.06</v>
      </c>
      <c r="M83" s="63" t="s">
        <v>176</v>
      </c>
      <c r="N83" s="440">
        <v>4.3999999999999997E-2</v>
      </c>
      <c r="O83" s="390">
        <v>6.0000000000000001E-3</v>
      </c>
      <c r="P83" s="390">
        <v>0</v>
      </c>
      <c r="Q83" s="390">
        <v>0</v>
      </c>
      <c r="R83" s="390">
        <v>0</v>
      </c>
      <c r="S83" s="63" t="s">
        <v>2146</v>
      </c>
      <c r="T83" s="63"/>
      <c r="U83" s="1039"/>
      <c r="V83" s="1039"/>
      <c r="W83" s="1039"/>
      <c r="X83" s="64" t="s">
        <v>2364</v>
      </c>
      <c r="Y83" s="439"/>
      <c r="Z83" s="439"/>
      <c r="AA83" s="439"/>
      <c r="AT83" s="1030" t="str">
        <f t="shared" si="12"/>
        <v>60M-1</v>
      </c>
      <c r="AU83" s="1266" t="s">
        <v>3219</v>
      </c>
      <c r="AV83" s="1267">
        <v>60</v>
      </c>
      <c r="AW83" s="1268">
        <v>0.33999999999999997</v>
      </c>
    </row>
    <row r="84" spans="1:49" ht="15" customHeight="1">
      <c r="A84" s="63">
        <f t="shared" si="29"/>
        <v>81</v>
      </c>
      <c r="B84" s="63" t="s">
        <v>1308</v>
      </c>
      <c r="C84" s="63" t="s">
        <v>1856</v>
      </c>
      <c r="D84" s="1234" t="s">
        <v>2338</v>
      </c>
      <c r="E84" s="64">
        <v>3982</v>
      </c>
      <c r="F84" s="65" t="s">
        <v>619</v>
      </c>
      <c r="G84" s="389">
        <f t="shared" si="26"/>
        <v>0.66999999999999993</v>
      </c>
      <c r="H84" s="389">
        <f t="shared" si="26"/>
        <v>0.59</v>
      </c>
      <c r="I84" s="389">
        <f t="shared" si="26"/>
        <v>0.49999999999999989</v>
      </c>
      <c r="J84" s="389">
        <f t="shared" si="26"/>
        <v>0.42</v>
      </c>
      <c r="K84" s="389">
        <f t="shared" si="26"/>
        <v>0.36</v>
      </c>
      <c r="L84" s="720">
        <v>0.06</v>
      </c>
      <c r="M84" s="63" t="s">
        <v>660</v>
      </c>
      <c r="N84" s="440">
        <v>4.3999999999999997E-2</v>
      </c>
      <c r="O84" s="390">
        <v>6.0000000000000001E-3</v>
      </c>
      <c r="P84" s="390">
        <v>0</v>
      </c>
      <c r="Q84" s="390">
        <v>0</v>
      </c>
      <c r="R84" s="390">
        <v>0</v>
      </c>
      <c r="S84" s="63" t="s">
        <v>2143</v>
      </c>
      <c r="T84" s="63"/>
      <c r="U84" s="1039"/>
      <c r="V84" s="1039"/>
      <c r="W84" s="1039"/>
      <c r="X84" s="64" t="s">
        <v>2364</v>
      </c>
      <c r="Y84" s="439"/>
      <c r="Z84" s="439"/>
      <c r="AA84" s="439"/>
      <c r="AT84" s="400" t="str">
        <f t="shared" si="12"/>
        <v>12N</v>
      </c>
      <c r="AU84" s="1259" t="s">
        <v>327</v>
      </c>
      <c r="AV84" s="1260">
        <v>12</v>
      </c>
      <c r="AW84" s="1261">
        <v>0.6399999999999999</v>
      </c>
    </row>
    <row r="85" spans="1:49" ht="15" customHeight="1">
      <c r="A85" s="63">
        <f t="shared" si="29"/>
        <v>82</v>
      </c>
      <c r="B85" s="63" t="s">
        <v>1308</v>
      </c>
      <c r="C85" s="63" t="s">
        <v>1856</v>
      </c>
      <c r="D85" s="1234" t="s">
        <v>2175</v>
      </c>
      <c r="E85" s="64">
        <v>5980</v>
      </c>
      <c r="F85" s="65" t="s">
        <v>1874</v>
      </c>
      <c r="G85" s="389">
        <f t="shared" si="26"/>
        <v>0.65999999999999992</v>
      </c>
      <c r="H85" s="389">
        <f t="shared" si="26"/>
        <v>0.57999999999999996</v>
      </c>
      <c r="I85" s="389">
        <f t="shared" si="26"/>
        <v>0.48999999999999988</v>
      </c>
      <c r="J85" s="389">
        <f t="shared" si="26"/>
        <v>0.41</v>
      </c>
      <c r="K85" s="389">
        <f t="shared" si="26"/>
        <v>0.35</v>
      </c>
      <c r="L85" s="720">
        <v>0.06</v>
      </c>
      <c r="M85" s="63" t="s">
        <v>325</v>
      </c>
      <c r="N85" s="440">
        <v>4.3999999999999997E-2</v>
      </c>
      <c r="O85" s="390">
        <v>6.0000000000000001E-3</v>
      </c>
      <c r="P85" s="390">
        <v>0</v>
      </c>
      <c r="Q85" s="390">
        <v>0</v>
      </c>
      <c r="R85" s="390">
        <v>0</v>
      </c>
      <c r="S85" s="63" t="s">
        <v>2142</v>
      </c>
      <c r="T85" s="63"/>
      <c r="U85" s="1039"/>
      <c r="V85" s="1039"/>
      <c r="W85" s="1039"/>
      <c r="X85" s="64" t="s">
        <v>2364</v>
      </c>
      <c r="Y85" s="439"/>
      <c r="Z85" s="439"/>
      <c r="AA85" s="439"/>
      <c r="AT85" s="400" t="str">
        <f t="shared" si="12"/>
        <v>24N</v>
      </c>
      <c r="AU85" s="1262" t="s">
        <v>327</v>
      </c>
      <c r="AV85" s="1263">
        <v>24</v>
      </c>
      <c r="AW85" s="1264">
        <v>0.55999999999999994</v>
      </c>
    </row>
    <row r="86" spans="1:49" ht="15" customHeight="1">
      <c r="A86" s="63">
        <f t="shared" si="29"/>
        <v>83</v>
      </c>
      <c r="B86" s="63" t="s">
        <v>1308</v>
      </c>
      <c r="C86" s="63" t="s">
        <v>1856</v>
      </c>
      <c r="D86" s="1234" t="s">
        <v>2176</v>
      </c>
      <c r="E86" s="64">
        <v>3982</v>
      </c>
      <c r="F86" s="65" t="s">
        <v>189</v>
      </c>
      <c r="G86" s="389">
        <f t="shared" si="26"/>
        <v>0.66999999999999993</v>
      </c>
      <c r="H86" s="389">
        <f t="shared" si="26"/>
        <v>0.59</v>
      </c>
      <c r="I86" s="389">
        <f t="shared" si="26"/>
        <v>0.49999999999999989</v>
      </c>
      <c r="J86" s="389">
        <f t="shared" si="26"/>
        <v>0.42</v>
      </c>
      <c r="K86" s="389">
        <f t="shared" si="26"/>
        <v>0.36</v>
      </c>
      <c r="L86" s="720">
        <v>0.06</v>
      </c>
      <c r="M86" s="63" t="s">
        <v>660</v>
      </c>
      <c r="N86" s="440">
        <v>4.3999999999999997E-2</v>
      </c>
      <c r="O86" s="390">
        <v>6.0000000000000001E-3</v>
      </c>
      <c r="P86" s="390">
        <v>0</v>
      </c>
      <c r="Q86" s="390">
        <v>0</v>
      </c>
      <c r="R86" s="390">
        <v>0</v>
      </c>
      <c r="S86" s="63" t="str">
        <f t="shared" ref="S86:S109" si="30">+IF(LEFT(D86,1)="E","Y",IF(LEFT(D86,1)="S","Y",IF(LEFT(D86,1)="X","Y","N")))</f>
        <v>N</v>
      </c>
      <c r="T86" s="63"/>
      <c r="U86" s="1039"/>
      <c r="V86" s="1039"/>
      <c r="W86" s="1039"/>
      <c r="X86" s="64" t="s">
        <v>2364</v>
      </c>
      <c r="Y86" s="439"/>
      <c r="Z86" s="439"/>
      <c r="AA86" s="439"/>
      <c r="AT86" s="400" t="str">
        <f t="shared" si="12"/>
        <v>36N</v>
      </c>
      <c r="AU86" s="1262" t="s">
        <v>327</v>
      </c>
      <c r="AV86" s="1265">
        <v>36</v>
      </c>
      <c r="AW86" s="1039">
        <v>0.46999999999999986</v>
      </c>
    </row>
    <row r="87" spans="1:49" ht="15" customHeight="1">
      <c r="A87" s="63">
        <f t="shared" si="29"/>
        <v>84</v>
      </c>
      <c r="B87" s="63" t="s">
        <v>1308</v>
      </c>
      <c r="C87" s="63" t="s">
        <v>1856</v>
      </c>
      <c r="D87" s="1234" t="s">
        <v>1882</v>
      </c>
      <c r="E87" s="64">
        <v>1991</v>
      </c>
      <c r="F87" s="65" t="s">
        <v>619</v>
      </c>
      <c r="G87" s="389">
        <f t="shared" si="26"/>
        <v>0.65999999999999992</v>
      </c>
      <c r="H87" s="389">
        <f t="shared" si="26"/>
        <v>0.57999999999999996</v>
      </c>
      <c r="I87" s="389">
        <f t="shared" si="26"/>
        <v>0.48999999999999988</v>
      </c>
      <c r="J87" s="389">
        <f t="shared" si="26"/>
        <v>0.41</v>
      </c>
      <c r="K87" s="389">
        <f t="shared" si="26"/>
        <v>0.35</v>
      </c>
      <c r="L87" s="720">
        <v>0.06</v>
      </c>
      <c r="M87" s="63" t="s">
        <v>325</v>
      </c>
      <c r="N87" s="440">
        <v>4.3999999999999997E-2</v>
      </c>
      <c r="O87" s="390">
        <v>6.0000000000000001E-3</v>
      </c>
      <c r="P87" s="390">
        <v>0</v>
      </c>
      <c r="Q87" s="390">
        <v>0</v>
      </c>
      <c r="R87" s="390">
        <v>0</v>
      </c>
      <c r="S87" s="63" t="str">
        <f t="shared" si="30"/>
        <v>N</v>
      </c>
      <c r="T87" s="63"/>
      <c r="U87" s="1039"/>
      <c r="V87" s="1039"/>
      <c r="W87" s="1039"/>
      <c r="X87" s="64" t="s">
        <v>2364</v>
      </c>
      <c r="Y87" s="439"/>
      <c r="Z87" s="439"/>
      <c r="AA87" s="439"/>
      <c r="AT87" s="400" t="str">
        <f t="shared" si="12"/>
        <v>48N</v>
      </c>
      <c r="AU87" s="1262" t="s">
        <v>327</v>
      </c>
      <c r="AV87" s="1265">
        <v>48</v>
      </c>
      <c r="AW87" s="1039">
        <v>0.38999999999999996</v>
      </c>
    </row>
    <row r="88" spans="1:49" ht="15" customHeight="1">
      <c r="A88" s="63">
        <f t="shared" si="29"/>
        <v>85</v>
      </c>
      <c r="B88" s="63" t="s">
        <v>1308</v>
      </c>
      <c r="C88" s="63" t="s">
        <v>1856</v>
      </c>
      <c r="D88" s="63" t="s">
        <v>2177</v>
      </c>
      <c r="E88" s="64">
        <v>1991</v>
      </c>
      <c r="F88" s="65" t="s">
        <v>144</v>
      </c>
      <c r="G88" s="389">
        <f t="shared" si="26"/>
        <v>0.65999999999999992</v>
      </c>
      <c r="H88" s="389">
        <f t="shared" si="26"/>
        <v>0.57999999999999996</v>
      </c>
      <c r="I88" s="389">
        <f t="shared" si="26"/>
        <v>0.48999999999999988</v>
      </c>
      <c r="J88" s="389">
        <f t="shared" si="26"/>
        <v>0.41</v>
      </c>
      <c r="K88" s="389">
        <f t="shared" si="26"/>
        <v>0.35</v>
      </c>
      <c r="L88" s="720">
        <v>0.06</v>
      </c>
      <c r="M88" s="63" t="s">
        <v>325</v>
      </c>
      <c r="N88" s="440">
        <v>4.3999999999999997E-2</v>
      </c>
      <c r="O88" s="390">
        <v>6.0000000000000001E-3</v>
      </c>
      <c r="P88" s="390">
        <v>0</v>
      </c>
      <c r="Q88" s="390">
        <v>0</v>
      </c>
      <c r="R88" s="390">
        <v>0</v>
      </c>
      <c r="S88" s="63" t="str">
        <f t="shared" si="30"/>
        <v>N</v>
      </c>
      <c r="T88" s="63"/>
      <c r="U88" s="1039"/>
      <c r="V88" s="1039"/>
      <c r="W88" s="1039"/>
      <c r="X88" s="64" t="s">
        <v>2364</v>
      </c>
      <c r="Y88" s="439"/>
      <c r="Z88" s="439"/>
      <c r="AA88" s="439"/>
      <c r="AG88" s="631"/>
      <c r="AT88" s="1030" t="str">
        <f t="shared" si="12"/>
        <v>60N</v>
      </c>
      <c r="AU88" s="1266" t="s">
        <v>327</v>
      </c>
      <c r="AV88" s="1267">
        <v>60</v>
      </c>
      <c r="AW88" s="1268">
        <v>0.32999999999999996</v>
      </c>
    </row>
    <row r="89" spans="1:49" ht="15" customHeight="1">
      <c r="A89" s="63">
        <f t="shared" si="29"/>
        <v>86</v>
      </c>
      <c r="B89" s="63" t="s">
        <v>2332</v>
      </c>
      <c r="C89" s="63" t="s">
        <v>1856</v>
      </c>
      <c r="D89" s="63" t="s">
        <v>1883</v>
      </c>
      <c r="E89" s="64">
        <v>2996</v>
      </c>
      <c r="F89" s="65" t="s">
        <v>144</v>
      </c>
      <c r="G89" s="389">
        <f t="shared" si="26"/>
        <v>0.65999999999999992</v>
      </c>
      <c r="H89" s="389">
        <f t="shared" si="26"/>
        <v>0.57999999999999996</v>
      </c>
      <c r="I89" s="389">
        <f t="shared" si="26"/>
        <v>0.48999999999999988</v>
      </c>
      <c r="J89" s="389">
        <f t="shared" si="26"/>
        <v>0.41</v>
      </c>
      <c r="K89" s="389">
        <f t="shared" si="26"/>
        <v>0.35</v>
      </c>
      <c r="L89" s="720">
        <v>0.06</v>
      </c>
      <c r="M89" s="63" t="s">
        <v>325</v>
      </c>
      <c r="N89" s="440">
        <v>4.3999999999999997E-2</v>
      </c>
      <c r="O89" s="390">
        <v>6.0000000000000001E-3</v>
      </c>
      <c r="P89" s="390">
        <v>0</v>
      </c>
      <c r="Q89" s="390">
        <v>0</v>
      </c>
      <c r="R89" s="390">
        <v>0</v>
      </c>
      <c r="S89" s="63" t="str">
        <f t="shared" si="30"/>
        <v>N</v>
      </c>
      <c r="T89" s="63"/>
      <c r="U89" s="1039"/>
      <c r="V89" s="1039"/>
      <c r="W89" s="1039"/>
      <c r="X89" s="64" t="s">
        <v>2364</v>
      </c>
      <c r="Y89" s="439"/>
      <c r="Z89" s="439"/>
      <c r="AA89" s="439"/>
      <c r="AG89" s="631"/>
      <c r="AT89" s="400" t="str">
        <f t="shared" ref="AT89:AT98" si="31">AV89&amp;AU89</f>
        <v>12O</v>
      </c>
      <c r="AU89" s="1259" t="s">
        <v>328</v>
      </c>
      <c r="AV89" s="1260">
        <v>12</v>
      </c>
      <c r="AW89" s="1261">
        <v>0.63</v>
      </c>
    </row>
    <row r="90" spans="1:49" ht="15" customHeight="1">
      <c r="A90" s="63">
        <f t="shared" si="29"/>
        <v>87</v>
      </c>
      <c r="B90" s="63" t="s">
        <v>1308</v>
      </c>
      <c r="C90" s="63" t="s">
        <v>1856</v>
      </c>
      <c r="D90" s="1234" t="s">
        <v>2178</v>
      </c>
      <c r="E90" s="64">
        <v>1991</v>
      </c>
      <c r="F90" s="65" t="s">
        <v>144</v>
      </c>
      <c r="G90" s="389">
        <f t="shared" si="26"/>
        <v>0.65999999999999992</v>
      </c>
      <c r="H90" s="389">
        <f t="shared" si="26"/>
        <v>0.57999999999999996</v>
      </c>
      <c r="I90" s="389">
        <f t="shared" si="26"/>
        <v>0.48999999999999988</v>
      </c>
      <c r="J90" s="389">
        <f t="shared" si="26"/>
        <v>0.41</v>
      </c>
      <c r="K90" s="389">
        <f t="shared" si="26"/>
        <v>0.35</v>
      </c>
      <c r="L90" s="720">
        <v>0.06</v>
      </c>
      <c r="M90" s="63" t="s">
        <v>325</v>
      </c>
      <c r="N90" s="440">
        <v>4.3999999999999997E-2</v>
      </c>
      <c r="O90" s="390">
        <v>6.0000000000000001E-3</v>
      </c>
      <c r="P90" s="390">
        <v>0</v>
      </c>
      <c r="Q90" s="390">
        <v>0</v>
      </c>
      <c r="R90" s="390">
        <v>0</v>
      </c>
      <c r="S90" s="63" t="str">
        <f t="shared" si="30"/>
        <v>N</v>
      </c>
      <c r="T90" s="63"/>
      <c r="U90" s="1039"/>
      <c r="V90" s="1039"/>
      <c r="W90" s="1039"/>
      <c r="X90" s="64" t="s">
        <v>2364</v>
      </c>
      <c r="Y90" s="439"/>
      <c r="Z90" s="439"/>
      <c r="AA90" s="439"/>
      <c r="AT90" s="400" t="str">
        <f t="shared" si="31"/>
        <v>24O</v>
      </c>
      <c r="AU90" s="1262" t="s">
        <v>328</v>
      </c>
      <c r="AV90" s="1265">
        <v>24</v>
      </c>
      <c r="AW90" s="1039">
        <v>0.55000000000000004</v>
      </c>
    </row>
    <row r="91" spans="1:49" ht="15" customHeight="1">
      <c r="A91" s="63">
        <f t="shared" si="29"/>
        <v>88</v>
      </c>
      <c r="B91" s="63" t="s">
        <v>1308</v>
      </c>
      <c r="C91" s="63" t="s">
        <v>1856</v>
      </c>
      <c r="D91" s="63" t="s">
        <v>1455</v>
      </c>
      <c r="E91" s="64">
        <v>2999</v>
      </c>
      <c r="F91" s="65" t="s">
        <v>144</v>
      </c>
      <c r="G91" s="389">
        <f t="shared" si="26"/>
        <v>0.64999999999999991</v>
      </c>
      <c r="H91" s="389">
        <f t="shared" si="26"/>
        <v>0.56999999999999995</v>
      </c>
      <c r="I91" s="389">
        <f t="shared" si="26"/>
        <v>0.47999999999999987</v>
      </c>
      <c r="J91" s="389">
        <f t="shared" si="26"/>
        <v>0.39999999999999997</v>
      </c>
      <c r="K91" s="389">
        <f t="shared" si="26"/>
        <v>0.33999999999999997</v>
      </c>
      <c r="L91" s="720">
        <v>0.06</v>
      </c>
      <c r="M91" s="63" t="s">
        <v>326</v>
      </c>
      <c r="N91" s="440">
        <v>4.3999999999999997E-2</v>
      </c>
      <c r="O91" s="390">
        <v>6.0000000000000001E-3</v>
      </c>
      <c r="P91" s="390">
        <v>0</v>
      </c>
      <c r="Q91" s="390">
        <v>0</v>
      </c>
      <c r="R91" s="390">
        <v>0</v>
      </c>
      <c r="S91" s="63" t="str">
        <f t="shared" si="30"/>
        <v>N</v>
      </c>
      <c r="T91" s="63"/>
      <c r="U91" s="1039"/>
      <c r="V91" s="1039"/>
      <c r="W91" s="1039"/>
      <c r="X91" s="64" t="s">
        <v>2364</v>
      </c>
      <c r="Y91" s="439"/>
      <c r="Z91" s="439"/>
      <c r="AA91" s="439"/>
      <c r="AT91" s="400" t="str">
        <f t="shared" si="31"/>
        <v>36O</v>
      </c>
      <c r="AU91" s="1262" t="s">
        <v>328</v>
      </c>
      <c r="AV91" s="1265">
        <v>36</v>
      </c>
      <c r="AW91" s="1039">
        <v>0.46</v>
      </c>
    </row>
    <row r="92" spans="1:49" ht="15" customHeight="1">
      <c r="A92" s="63">
        <f t="shared" si="29"/>
        <v>89</v>
      </c>
      <c r="B92" s="63" t="s">
        <v>2332</v>
      </c>
      <c r="C92" s="63" t="s">
        <v>1856</v>
      </c>
      <c r="D92" s="63" t="s">
        <v>2339</v>
      </c>
      <c r="E92" s="64">
        <v>2999</v>
      </c>
      <c r="F92" s="65" t="s">
        <v>144</v>
      </c>
      <c r="G92" s="389">
        <f t="shared" si="26"/>
        <v>0.65999999999999992</v>
      </c>
      <c r="H92" s="389">
        <f t="shared" si="26"/>
        <v>0.57999999999999996</v>
      </c>
      <c r="I92" s="389">
        <f t="shared" si="26"/>
        <v>0.48999999999999988</v>
      </c>
      <c r="J92" s="389">
        <f t="shared" si="26"/>
        <v>0.41</v>
      </c>
      <c r="K92" s="389">
        <f t="shared" si="26"/>
        <v>0.35</v>
      </c>
      <c r="L92" s="720">
        <v>0.06</v>
      </c>
      <c r="M92" s="63" t="s">
        <v>325</v>
      </c>
      <c r="N92" s="440">
        <v>4.3999999999999997E-2</v>
      </c>
      <c r="O92" s="390">
        <v>6.0000000000000001E-3</v>
      </c>
      <c r="P92" s="390">
        <v>0</v>
      </c>
      <c r="Q92" s="390">
        <v>0</v>
      </c>
      <c r="R92" s="390">
        <v>0</v>
      </c>
      <c r="S92" s="63" t="str">
        <f t="shared" si="30"/>
        <v>N</v>
      </c>
      <c r="T92" s="63"/>
      <c r="U92" s="1039"/>
      <c r="V92" s="1039"/>
      <c r="W92" s="1039"/>
      <c r="X92" s="64" t="s">
        <v>2364</v>
      </c>
      <c r="Y92" s="439"/>
      <c r="Z92" s="439"/>
      <c r="AA92" s="439"/>
      <c r="AT92" s="400" t="str">
        <f t="shared" si="31"/>
        <v>48O</v>
      </c>
      <c r="AU92" s="1262" t="s">
        <v>328</v>
      </c>
      <c r="AV92" s="1265">
        <v>48</v>
      </c>
      <c r="AW92" s="1039">
        <v>0.38</v>
      </c>
    </row>
    <row r="93" spans="1:49" ht="15" customHeight="1">
      <c r="A93" s="63">
        <f t="shared" si="29"/>
        <v>90</v>
      </c>
      <c r="B93" s="63" t="s">
        <v>1308</v>
      </c>
      <c r="C93" s="63" t="s">
        <v>1856</v>
      </c>
      <c r="D93" s="63" t="s">
        <v>1875</v>
      </c>
      <c r="E93" s="64">
        <v>2999</v>
      </c>
      <c r="F93" s="65" t="s">
        <v>144</v>
      </c>
      <c r="G93" s="389">
        <f t="shared" si="26"/>
        <v>0.65999999999999992</v>
      </c>
      <c r="H93" s="389">
        <f t="shared" si="26"/>
        <v>0.57999999999999996</v>
      </c>
      <c r="I93" s="389">
        <f t="shared" si="26"/>
        <v>0.48999999999999988</v>
      </c>
      <c r="J93" s="389">
        <f t="shared" si="26"/>
        <v>0.41</v>
      </c>
      <c r="K93" s="389">
        <f t="shared" si="26"/>
        <v>0.35</v>
      </c>
      <c r="L93" s="720">
        <v>0.06</v>
      </c>
      <c r="M93" s="63" t="s">
        <v>325</v>
      </c>
      <c r="N93" s="440">
        <v>4.3999999999999997E-2</v>
      </c>
      <c r="O93" s="390">
        <v>6.0000000000000001E-3</v>
      </c>
      <c r="P93" s="390">
        <v>0</v>
      </c>
      <c r="Q93" s="390">
        <v>0</v>
      </c>
      <c r="R93" s="390">
        <v>0</v>
      </c>
      <c r="S93" s="63" t="str">
        <f t="shared" si="30"/>
        <v>N</v>
      </c>
      <c r="T93" s="63"/>
      <c r="U93" s="1039"/>
      <c r="V93" s="1039"/>
      <c r="W93" s="1039"/>
      <c r="X93" s="64" t="s">
        <v>2364</v>
      </c>
      <c r="Y93" s="439"/>
      <c r="Z93" s="439"/>
      <c r="AA93" s="439"/>
      <c r="AT93" s="1030" t="str">
        <f t="shared" si="31"/>
        <v>60O</v>
      </c>
      <c r="AU93" s="1266" t="s">
        <v>328</v>
      </c>
      <c r="AV93" s="1267">
        <v>60</v>
      </c>
      <c r="AW93" s="1268">
        <v>0.32</v>
      </c>
    </row>
    <row r="94" spans="1:49" ht="15" customHeight="1">
      <c r="A94" s="63">
        <f t="shared" si="29"/>
        <v>91</v>
      </c>
      <c r="B94" s="63" t="s">
        <v>1308</v>
      </c>
      <c r="C94" s="63" t="s">
        <v>1856</v>
      </c>
      <c r="D94" s="1234" t="s">
        <v>2179</v>
      </c>
      <c r="E94" s="64">
        <v>3982</v>
      </c>
      <c r="F94" s="65" t="s">
        <v>189</v>
      </c>
      <c r="G94" s="389">
        <f t="shared" si="26"/>
        <v>0.7</v>
      </c>
      <c r="H94" s="389">
        <f t="shared" si="26"/>
        <v>0.62</v>
      </c>
      <c r="I94" s="389">
        <f t="shared" si="26"/>
        <v>0.52999999999999992</v>
      </c>
      <c r="J94" s="389">
        <f t="shared" si="26"/>
        <v>0.45</v>
      </c>
      <c r="K94" s="389">
        <f t="shared" si="26"/>
        <v>0.39</v>
      </c>
      <c r="L94" s="720">
        <v>0.06</v>
      </c>
      <c r="M94" s="63" t="s">
        <v>3268</v>
      </c>
      <c r="N94" s="440">
        <v>4.3999999999999997E-2</v>
      </c>
      <c r="O94" s="390">
        <v>6.0000000000000001E-3</v>
      </c>
      <c r="P94" s="390">
        <v>0</v>
      </c>
      <c r="Q94" s="390">
        <v>0</v>
      </c>
      <c r="R94" s="390">
        <v>0</v>
      </c>
      <c r="S94" s="63" t="str">
        <f t="shared" si="30"/>
        <v>N</v>
      </c>
      <c r="T94" s="63"/>
      <c r="U94" s="1039"/>
      <c r="V94" s="1039"/>
      <c r="W94" s="1039"/>
      <c r="X94" s="64" t="s">
        <v>2364</v>
      </c>
      <c r="Y94" s="439"/>
      <c r="Z94" s="439"/>
      <c r="AA94" s="439"/>
      <c r="AT94" s="400" t="str">
        <f t="shared" si="31"/>
        <v>12P</v>
      </c>
      <c r="AU94" s="1259" t="s">
        <v>664</v>
      </c>
      <c r="AV94" s="1260">
        <v>12</v>
      </c>
      <c r="AW94" s="1261">
        <v>0.61999999999999988</v>
      </c>
    </row>
    <row r="95" spans="1:49" ht="15" customHeight="1">
      <c r="A95" s="63">
        <f t="shared" si="29"/>
        <v>92</v>
      </c>
      <c r="B95" s="63" t="s">
        <v>1308</v>
      </c>
      <c r="C95" s="63" t="s">
        <v>1856</v>
      </c>
      <c r="D95" s="1234" t="s">
        <v>1737</v>
      </c>
      <c r="E95" s="64">
        <v>3982</v>
      </c>
      <c r="F95" s="65" t="s">
        <v>189</v>
      </c>
      <c r="G95" s="389">
        <f t="shared" si="26"/>
        <v>0.7</v>
      </c>
      <c r="H95" s="389">
        <f t="shared" si="26"/>
        <v>0.62</v>
      </c>
      <c r="I95" s="389">
        <f t="shared" si="26"/>
        <v>0.52999999999999992</v>
      </c>
      <c r="J95" s="389">
        <f t="shared" si="26"/>
        <v>0.45</v>
      </c>
      <c r="K95" s="389">
        <f t="shared" si="26"/>
        <v>0.39</v>
      </c>
      <c r="L95" s="720">
        <v>0.06</v>
      </c>
      <c r="M95" s="63" t="s">
        <v>3268</v>
      </c>
      <c r="N95" s="440">
        <v>4.3999999999999997E-2</v>
      </c>
      <c r="O95" s="390">
        <v>6.0000000000000001E-3</v>
      </c>
      <c r="P95" s="390">
        <v>0</v>
      </c>
      <c r="Q95" s="390">
        <v>0</v>
      </c>
      <c r="R95" s="390">
        <v>0</v>
      </c>
      <c r="S95" s="63" t="str">
        <f t="shared" si="30"/>
        <v>N</v>
      </c>
      <c r="T95" s="63"/>
      <c r="U95" s="1039"/>
      <c r="V95" s="1039"/>
      <c r="W95" s="1039"/>
      <c r="X95" s="64" t="s">
        <v>2364</v>
      </c>
      <c r="Y95" s="439"/>
      <c r="Z95" s="439"/>
      <c r="AA95" s="439"/>
      <c r="AT95" s="400" t="str">
        <f t="shared" si="31"/>
        <v>24P</v>
      </c>
      <c r="AU95" s="1262" t="s">
        <v>664</v>
      </c>
      <c r="AV95" s="1263">
        <v>24</v>
      </c>
      <c r="AW95" s="1264">
        <v>0.53999999999999992</v>
      </c>
    </row>
    <row r="96" spans="1:49" ht="15" customHeight="1">
      <c r="A96" s="63">
        <f t="shared" si="29"/>
        <v>93</v>
      </c>
      <c r="B96" s="63" t="s">
        <v>1308</v>
      </c>
      <c r="C96" s="63" t="s">
        <v>1856</v>
      </c>
      <c r="D96" s="63" t="s">
        <v>1863</v>
      </c>
      <c r="E96" s="64">
        <v>1991</v>
      </c>
      <c r="F96" s="65" t="s">
        <v>189</v>
      </c>
      <c r="G96" s="389">
        <f t="shared" si="26"/>
        <v>0.65999999999999992</v>
      </c>
      <c r="H96" s="389">
        <f t="shared" si="26"/>
        <v>0.57999999999999996</v>
      </c>
      <c r="I96" s="389">
        <f t="shared" si="26"/>
        <v>0.48999999999999988</v>
      </c>
      <c r="J96" s="389">
        <f t="shared" si="26"/>
        <v>0.41</v>
      </c>
      <c r="K96" s="389">
        <f t="shared" si="26"/>
        <v>0.35</v>
      </c>
      <c r="L96" s="720">
        <v>0.06</v>
      </c>
      <c r="M96" s="63" t="s">
        <v>325</v>
      </c>
      <c r="N96" s="440">
        <v>4.3999999999999997E-2</v>
      </c>
      <c r="O96" s="390">
        <v>6.0000000000000001E-3</v>
      </c>
      <c r="P96" s="390">
        <v>0</v>
      </c>
      <c r="Q96" s="390">
        <v>0</v>
      </c>
      <c r="R96" s="390">
        <v>0</v>
      </c>
      <c r="S96" s="63" t="str">
        <f t="shared" si="30"/>
        <v>N</v>
      </c>
      <c r="T96" s="63"/>
      <c r="U96" s="1039"/>
      <c r="V96" s="1039"/>
      <c r="W96" s="1039"/>
      <c r="X96" s="64" t="s">
        <v>2364</v>
      </c>
      <c r="Y96" s="439"/>
      <c r="Z96" s="439"/>
      <c r="AA96" s="439"/>
      <c r="AT96" s="400" t="str">
        <f t="shared" si="31"/>
        <v>36P</v>
      </c>
      <c r="AU96" s="1262" t="s">
        <v>664</v>
      </c>
      <c r="AV96" s="1265">
        <v>36</v>
      </c>
      <c r="AW96" s="1039">
        <v>0.44999999999999984</v>
      </c>
    </row>
    <row r="97" spans="1:49" ht="15" customHeight="1">
      <c r="A97" s="63">
        <f t="shared" si="29"/>
        <v>94</v>
      </c>
      <c r="B97" s="63" t="s">
        <v>1308</v>
      </c>
      <c r="C97" s="63" t="s">
        <v>1856</v>
      </c>
      <c r="D97" s="1234" t="s">
        <v>1884</v>
      </c>
      <c r="E97" s="64">
        <v>1991</v>
      </c>
      <c r="F97" s="65" t="s">
        <v>620</v>
      </c>
      <c r="G97" s="389">
        <f t="shared" si="26"/>
        <v>0.65999999999999992</v>
      </c>
      <c r="H97" s="389">
        <f t="shared" si="26"/>
        <v>0.57999999999999996</v>
      </c>
      <c r="I97" s="389">
        <f t="shared" si="26"/>
        <v>0.48999999999999988</v>
      </c>
      <c r="J97" s="389">
        <f t="shared" si="26"/>
        <v>0.41</v>
      </c>
      <c r="K97" s="389">
        <f t="shared" si="26"/>
        <v>0.35</v>
      </c>
      <c r="L97" s="720">
        <v>0.06</v>
      </c>
      <c r="M97" s="63" t="s">
        <v>325</v>
      </c>
      <c r="N97" s="440">
        <v>4.3999999999999997E-2</v>
      </c>
      <c r="O97" s="390">
        <v>6.0000000000000001E-3</v>
      </c>
      <c r="P97" s="390">
        <v>0</v>
      </c>
      <c r="Q97" s="390">
        <v>0</v>
      </c>
      <c r="R97" s="390">
        <v>0</v>
      </c>
      <c r="S97" s="63" t="str">
        <f t="shared" ref="S97:S99" si="32">+IF(LEFT(D97,1)="E","Y",IF(LEFT(D97,1)="S","Y",IF(LEFT(D97,1)="X","Y","N")))</f>
        <v>N</v>
      </c>
      <c r="T97" s="63"/>
      <c r="U97" s="1039"/>
      <c r="V97" s="1039"/>
      <c r="W97" s="1039"/>
      <c r="X97" s="64" t="s">
        <v>2364</v>
      </c>
      <c r="Y97" s="439"/>
      <c r="Z97" s="439"/>
      <c r="AA97" s="439"/>
      <c r="AT97" s="400" t="str">
        <f t="shared" si="31"/>
        <v>48P</v>
      </c>
      <c r="AU97" s="1262" t="s">
        <v>664</v>
      </c>
      <c r="AV97" s="1265">
        <v>48</v>
      </c>
      <c r="AW97" s="1039">
        <v>0.36999999999999994</v>
      </c>
    </row>
    <row r="98" spans="1:49" ht="15" customHeight="1">
      <c r="A98" s="1236">
        <f t="shared" si="29"/>
        <v>95</v>
      </c>
      <c r="B98" s="1236" t="s">
        <v>1306</v>
      </c>
      <c r="C98" s="1236" t="s">
        <v>1856</v>
      </c>
      <c r="D98" s="1236" t="s">
        <v>3126</v>
      </c>
      <c r="E98" s="1235">
        <v>1991</v>
      </c>
      <c r="F98" s="1237" t="s">
        <v>189</v>
      </c>
      <c r="G98" s="389">
        <f t="shared" si="26"/>
        <v>0.65999999999999992</v>
      </c>
      <c r="H98" s="389">
        <f t="shared" si="26"/>
        <v>0.57999999999999996</v>
      </c>
      <c r="I98" s="389">
        <f t="shared" si="26"/>
        <v>0.48999999999999988</v>
      </c>
      <c r="J98" s="389">
        <f t="shared" si="26"/>
        <v>0.41</v>
      </c>
      <c r="K98" s="389">
        <f t="shared" si="26"/>
        <v>0.35</v>
      </c>
      <c r="L98" s="720">
        <v>0.06</v>
      </c>
      <c r="M98" s="63" t="s">
        <v>3161</v>
      </c>
      <c r="N98" s="1238">
        <v>4.3999999999999997E-2</v>
      </c>
      <c r="O98" s="1239">
        <v>6.0000000000000001E-3</v>
      </c>
      <c r="P98" s="1239">
        <v>0</v>
      </c>
      <c r="Q98" s="1239">
        <v>0</v>
      </c>
      <c r="R98" s="1239">
        <v>0</v>
      </c>
      <c r="S98" s="1236" t="str">
        <f t="shared" si="32"/>
        <v>N</v>
      </c>
      <c r="T98" s="1236"/>
      <c r="U98" s="1240"/>
      <c r="V98" s="1240"/>
      <c r="W98" s="1240"/>
      <c r="X98" s="64" t="s">
        <v>2364</v>
      </c>
      <c r="Y98" s="439"/>
      <c r="Z98" s="439"/>
      <c r="AA98" s="439"/>
      <c r="AT98" s="1030" t="str">
        <f t="shared" si="31"/>
        <v>60P</v>
      </c>
      <c r="AU98" s="1266" t="s">
        <v>664</v>
      </c>
      <c r="AV98" s="1267">
        <v>60</v>
      </c>
      <c r="AW98" s="1268">
        <v>0.30999999999999994</v>
      </c>
    </row>
    <row r="99" spans="1:49" ht="15" customHeight="1">
      <c r="A99" s="63">
        <f t="shared" si="29"/>
        <v>96</v>
      </c>
      <c r="B99" s="63" t="s">
        <v>1308</v>
      </c>
      <c r="C99" s="63" t="s">
        <v>1856</v>
      </c>
      <c r="D99" s="1234" t="s">
        <v>1864</v>
      </c>
      <c r="E99" s="1235">
        <v>1991</v>
      </c>
      <c r="F99" s="65" t="s">
        <v>189</v>
      </c>
      <c r="G99" s="389">
        <f t="shared" si="26"/>
        <v>0.65999999999999992</v>
      </c>
      <c r="H99" s="389">
        <f t="shared" si="26"/>
        <v>0.57999999999999996</v>
      </c>
      <c r="I99" s="389">
        <f t="shared" si="26"/>
        <v>0.48999999999999988</v>
      </c>
      <c r="J99" s="389">
        <f t="shared" si="26"/>
        <v>0.41</v>
      </c>
      <c r="K99" s="389">
        <f t="shared" si="26"/>
        <v>0.35</v>
      </c>
      <c r="L99" s="720">
        <v>0.06</v>
      </c>
      <c r="M99" s="63" t="s">
        <v>325</v>
      </c>
      <c r="N99" s="440">
        <v>4.3999999999999997E-2</v>
      </c>
      <c r="O99" s="390">
        <v>6.0000000000000001E-3</v>
      </c>
      <c r="P99" s="390">
        <v>0</v>
      </c>
      <c r="Q99" s="390">
        <v>0</v>
      </c>
      <c r="R99" s="390">
        <v>0</v>
      </c>
      <c r="S99" s="63" t="str">
        <f t="shared" si="32"/>
        <v>N</v>
      </c>
      <c r="T99" s="63"/>
      <c r="U99" s="1039"/>
      <c r="V99" s="1039"/>
      <c r="W99" s="1039"/>
      <c r="X99" s="64" t="s">
        <v>2364</v>
      </c>
      <c r="Y99" s="439"/>
      <c r="Z99" s="439"/>
      <c r="AA99" s="439"/>
      <c r="AT99" s="400" t="str">
        <f t="shared" ref="AT99:AT124" si="33">AV99&amp;AU99</f>
        <v>12Q</v>
      </c>
      <c r="AU99" s="1259" t="s">
        <v>665</v>
      </c>
      <c r="AV99" s="1260">
        <v>12</v>
      </c>
      <c r="AW99" s="1261">
        <v>0.6</v>
      </c>
    </row>
    <row r="100" spans="1:49" ht="15" customHeight="1">
      <c r="A100" s="63">
        <f t="shared" si="29"/>
        <v>97</v>
      </c>
      <c r="B100" s="63" t="s">
        <v>1308</v>
      </c>
      <c r="C100" s="63" t="s">
        <v>1856</v>
      </c>
      <c r="D100" s="1234" t="s">
        <v>1865</v>
      </c>
      <c r="E100" s="64">
        <v>3982</v>
      </c>
      <c r="F100" s="65" t="s">
        <v>189</v>
      </c>
      <c r="G100" s="389">
        <f t="shared" si="26"/>
        <v>0.64999999999999991</v>
      </c>
      <c r="H100" s="389">
        <f t="shared" si="26"/>
        <v>0.56999999999999995</v>
      </c>
      <c r="I100" s="389">
        <f t="shared" si="26"/>
        <v>0.47999999999999987</v>
      </c>
      <c r="J100" s="389">
        <f t="shared" si="26"/>
        <v>0.39999999999999997</v>
      </c>
      <c r="K100" s="389">
        <f t="shared" si="26"/>
        <v>0.33999999999999997</v>
      </c>
      <c r="L100" s="720">
        <v>0.06</v>
      </c>
      <c r="M100" s="63" t="s">
        <v>326</v>
      </c>
      <c r="N100" s="440">
        <v>4.3999999999999997E-2</v>
      </c>
      <c r="O100" s="390">
        <v>6.0000000000000001E-3</v>
      </c>
      <c r="P100" s="390">
        <v>0</v>
      </c>
      <c r="Q100" s="390">
        <v>0</v>
      </c>
      <c r="R100" s="390">
        <v>0</v>
      </c>
      <c r="S100" s="63" t="str">
        <f t="shared" si="30"/>
        <v>N</v>
      </c>
      <c r="T100" s="63"/>
      <c r="U100" s="1039"/>
      <c r="V100" s="1039"/>
      <c r="W100" s="1039"/>
      <c r="X100" s="64" t="s">
        <v>2364</v>
      </c>
      <c r="Y100" s="439"/>
      <c r="Z100" s="439"/>
      <c r="AA100" s="439"/>
      <c r="AT100" s="400" t="str">
        <f t="shared" si="33"/>
        <v>24Q</v>
      </c>
      <c r="AU100" s="1262" t="s">
        <v>665</v>
      </c>
      <c r="AV100" s="1263">
        <v>24</v>
      </c>
      <c r="AW100" s="1264">
        <v>0.52</v>
      </c>
    </row>
    <row r="101" spans="1:49" ht="15" customHeight="1">
      <c r="A101" s="63">
        <f t="shared" si="29"/>
        <v>98</v>
      </c>
      <c r="B101" s="63" t="s">
        <v>1308</v>
      </c>
      <c r="C101" s="63" t="s">
        <v>1856</v>
      </c>
      <c r="D101" s="1234" t="s">
        <v>2180</v>
      </c>
      <c r="E101" s="64">
        <v>2999</v>
      </c>
      <c r="F101" s="65" t="s">
        <v>189</v>
      </c>
      <c r="G101" s="389">
        <f t="shared" si="26"/>
        <v>0.65999999999999992</v>
      </c>
      <c r="H101" s="389">
        <f t="shared" si="26"/>
        <v>0.57999999999999996</v>
      </c>
      <c r="I101" s="389">
        <f t="shared" si="26"/>
        <v>0.48999999999999988</v>
      </c>
      <c r="J101" s="389">
        <f t="shared" si="26"/>
        <v>0.41</v>
      </c>
      <c r="K101" s="389">
        <f t="shared" si="26"/>
        <v>0.35</v>
      </c>
      <c r="L101" s="720">
        <v>0.06</v>
      </c>
      <c r="M101" s="63" t="s">
        <v>325</v>
      </c>
      <c r="N101" s="440">
        <v>4.3999999999999997E-2</v>
      </c>
      <c r="O101" s="390">
        <v>6.0000000000000001E-3</v>
      </c>
      <c r="P101" s="390">
        <v>0</v>
      </c>
      <c r="Q101" s="390">
        <v>0</v>
      </c>
      <c r="R101" s="390">
        <v>0</v>
      </c>
      <c r="S101" s="63" t="str">
        <f t="shared" si="30"/>
        <v>N</v>
      </c>
      <c r="T101" s="63"/>
      <c r="U101" s="1039"/>
      <c r="V101" s="1039"/>
      <c r="W101" s="1039"/>
      <c r="X101" s="64" t="s">
        <v>2364</v>
      </c>
      <c r="Y101" s="439"/>
      <c r="Z101" s="439"/>
      <c r="AA101" s="439"/>
      <c r="AT101" s="400" t="str">
        <f t="shared" si="33"/>
        <v>36Q</v>
      </c>
      <c r="AU101" s="1262" t="s">
        <v>665</v>
      </c>
      <c r="AV101" s="1265">
        <v>36</v>
      </c>
      <c r="AW101" s="1039">
        <v>0.43</v>
      </c>
    </row>
    <row r="102" spans="1:49" ht="15" customHeight="1">
      <c r="A102" s="63">
        <f t="shared" si="29"/>
        <v>99</v>
      </c>
      <c r="B102" s="63" t="s">
        <v>1308</v>
      </c>
      <c r="C102" s="63" t="s">
        <v>1856</v>
      </c>
      <c r="D102" s="1234" t="s">
        <v>1866</v>
      </c>
      <c r="E102" s="64">
        <v>2999</v>
      </c>
      <c r="F102" s="65" t="s">
        <v>189</v>
      </c>
      <c r="G102" s="389">
        <f t="shared" si="26"/>
        <v>0.65999999999999992</v>
      </c>
      <c r="H102" s="389">
        <f t="shared" si="26"/>
        <v>0.57999999999999996</v>
      </c>
      <c r="I102" s="389">
        <f t="shared" si="26"/>
        <v>0.48999999999999988</v>
      </c>
      <c r="J102" s="389">
        <f t="shared" si="26"/>
        <v>0.41</v>
      </c>
      <c r="K102" s="389">
        <f t="shared" si="26"/>
        <v>0.35</v>
      </c>
      <c r="L102" s="720">
        <v>0.06</v>
      </c>
      <c r="M102" s="63" t="s">
        <v>325</v>
      </c>
      <c r="N102" s="440">
        <v>4.3999999999999997E-2</v>
      </c>
      <c r="O102" s="390">
        <v>6.0000000000000001E-3</v>
      </c>
      <c r="P102" s="390">
        <v>0</v>
      </c>
      <c r="Q102" s="390">
        <v>0</v>
      </c>
      <c r="R102" s="390">
        <v>0</v>
      </c>
      <c r="S102" s="63" t="str">
        <f t="shared" si="30"/>
        <v>N</v>
      </c>
      <c r="T102" s="63"/>
      <c r="U102" s="1039"/>
      <c r="V102" s="1039"/>
      <c r="W102" s="1039"/>
      <c r="X102" s="64" t="s">
        <v>2364</v>
      </c>
      <c r="Y102" s="439"/>
      <c r="Z102" s="439"/>
      <c r="AA102" s="439"/>
      <c r="AT102" s="400" t="str">
        <f t="shared" si="33"/>
        <v>48Q</v>
      </c>
      <c r="AU102" s="1262" t="s">
        <v>665</v>
      </c>
      <c r="AV102" s="1265">
        <v>48</v>
      </c>
      <c r="AW102" s="1039">
        <v>0.35</v>
      </c>
    </row>
    <row r="103" spans="1:49" ht="15" customHeight="1">
      <c r="A103" s="63">
        <f t="shared" si="29"/>
        <v>100</v>
      </c>
      <c r="B103" s="63" t="s">
        <v>1308</v>
      </c>
      <c r="C103" s="63" t="s">
        <v>1856</v>
      </c>
      <c r="D103" s="63" t="s">
        <v>1885</v>
      </c>
      <c r="E103" s="64">
        <v>3982</v>
      </c>
      <c r="F103" s="65" t="s">
        <v>1876</v>
      </c>
      <c r="G103" s="389">
        <f t="shared" si="26"/>
        <v>0.64999999999999991</v>
      </c>
      <c r="H103" s="389">
        <f t="shared" si="26"/>
        <v>0.56999999999999995</v>
      </c>
      <c r="I103" s="389">
        <f t="shared" si="26"/>
        <v>0.47999999999999987</v>
      </c>
      <c r="J103" s="389">
        <f t="shared" si="26"/>
        <v>0.39999999999999997</v>
      </c>
      <c r="K103" s="389">
        <f t="shared" si="26"/>
        <v>0.33999999999999997</v>
      </c>
      <c r="L103" s="720">
        <v>0.06</v>
      </c>
      <c r="M103" s="63" t="s">
        <v>326</v>
      </c>
      <c r="N103" s="440">
        <v>4.3999999999999997E-2</v>
      </c>
      <c r="O103" s="390">
        <v>6.0000000000000001E-3</v>
      </c>
      <c r="P103" s="390">
        <v>0</v>
      </c>
      <c r="Q103" s="390">
        <v>0</v>
      </c>
      <c r="R103" s="390">
        <v>0</v>
      </c>
      <c r="S103" s="63" t="str">
        <f t="shared" si="30"/>
        <v>N</v>
      </c>
      <c r="T103" s="63"/>
      <c r="U103" s="1039"/>
      <c r="V103" s="1039"/>
      <c r="W103" s="1039"/>
      <c r="X103" s="64" t="s">
        <v>2364</v>
      </c>
      <c r="Y103" s="439"/>
      <c r="Z103" s="439"/>
      <c r="AA103" s="439"/>
      <c r="AT103" s="1030" t="str">
        <f t="shared" si="33"/>
        <v>60Q</v>
      </c>
      <c r="AU103" s="1266" t="s">
        <v>665</v>
      </c>
      <c r="AV103" s="1267">
        <v>60</v>
      </c>
      <c r="AW103" s="1268">
        <v>0.3</v>
      </c>
    </row>
    <row r="104" spans="1:49" ht="15" customHeight="1">
      <c r="A104" s="63">
        <f t="shared" si="29"/>
        <v>101</v>
      </c>
      <c r="B104" s="63" t="s">
        <v>1308</v>
      </c>
      <c r="C104" s="63" t="s">
        <v>2333</v>
      </c>
      <c r="D104" s="1234" t="s">
        <v>2181</v>
      </c>
      <c r="E104" s="64">
        <v>2999</v>
      </c>
      <c r="F104" s="65" t="s">
        <v>144</v>
      </c>
      <c r="G104" s="389">
        <f t="shared" si="26"/>
        <v>0.72</v>
      </c>
      <c r="H104" s="389">
        <f t="shared" si="26"/>
        <v>0.64</v>
      </c>
      <c r="I104" s="389">
        <f t="shared" si="26"/>
        <v>0.54999999999999993</v>
      </c>
      <c r="J104" s="389">
        <f t="shared" si="26"/>
        <v>0.47000000000000003</v>
      </c>
      <c r="K104" s="389">
        <f t="shared" si="26"/>
        <v>0.41000000000000003</v>
      </c>
      <c r="L104" s="720">
        <v>0.06</v>
      </c>
      <c r="M104" s="63" t="s">
        <v>320</v>
      </c>
      <c r="N104" s="440">
        <v>4.3999999999999997E-2</v>
      </c>
      <c r="O104" s="390">
        <v>6.0000000000000001E-3</v>
      </c>
      <c r="P104" s="390">
        <v>0</v>
      </c>
      <c r="Q104" s="390">
        <v>0</v>
      </c>
      <c r="R104" s="390">
        <v>0</v>
      </c>
      <c r="S104" s="63" t="str">
        <f t="shared" si="30"/>
        <v>N</v>
      </c>
      <c r="T104" s="63"/>
      <c r="U104" s="1039"/>
      <c r="V104" s="1039"/>
      <c r="W104" s="1039"/>
      <c r="X104" s="64" t="s">
        <v>2364</v>
      </c>
      <c r="Y104" s="439"/>
      <c r="Z104" s="439"/>
      <c r="AA104" s="439"/>
      <c r="AT104" s="400" t="str">
        <f t="shared" si="33"/>
        <v>12R</v>
      </c>
      <c r="AU104" s="1269" t="s">
        <v>329</v>
      </c>
      <c r="AV104" s="1270">
        <v>12</v>
      </c>
      <c r="AW104" s="1271">
        <v>0.57999999999999996</v>
      </c>
    </row>
    <row r="105" spans="1:49" ht="15" customHeight="1">
      <c r="A105" s="63">
        <f t="shared" si="29"/>
        <v>102</v>
      </c>
      <c r="B105" s="63" t="s">
        <v>1308</v>
      </c>
      <c r="C105" s="63" t="s">
        <v>1856</v>
      </c>
      <c r="D105" s="1234" t="s">
        <v>1886</v>
      </c>
      <c r="E105" s="64">
        <v>3982</v>
      </c>
      <c r="F105" s="65" t="s">
        <v>144</v>
      </c>
      <c r="G105" s="389">
        <f t="shared" si="26"/>
        <v>0.57999999999999996</v>
      </c>
      <c r="H105" s="389">
        <f t="shared" si="26"/>
        <v>0.5</v>
      </c>
      <c r="I105" s="389">
        <f t="shared" si="26"/>
        <v>0.41</v>
      </c>
      <c r="J105" s="389">
        <f t="shared" si="26"/>
        <v>0.32999999999999996</v>
      </c>
      <c r="K105" s="389">
        <f t="shared" si="26"/>
        <v>0.26999999999999996</v>
      </c>
      <c r="L105" s="720">
        <v>0.06</v>
      </c>
      <c r="M105" s="63" t="s">
        <v>662</v>
      </c>
      <c r="N105" s="440">
        <v>4.3999999999999997E-2</v>
      </c>
      <c r="O105" s="390">
        <v>6.0000000000000001E-3</v>
      </c>
      <c r="P105" s="390">
        <v>0</v>
      </c>
      <c r="Q105" s="390">
        <v>0</v>
      </c>
      <c r="R105" s="390">
        <v>0</v>
      </c>
      <c r="S105" s="63" t="str">
        <f t="shared" si="30"/>
        <v>N</v>
      </c>
      <c r="T105" s="63"/>
      <c r="U105" s="1039"/>
      <c r="V105" s="1039"/>
      <c r="W105" s="1039"/>
      <c r="X105" s="64" t="s">
        <v>2364</v>
      </c>
      <c r="Y105" s="439"/>
      <c r="Z105" s="439"/>
      <c r="AA105" s="439"/>
      <c r="AT105" s="400" t="str">
        <f t="shared" si="33"/>
        <v>24R</v>
      </c>
      <c r="AU105" s="1269" t="s">
        <v>329</v>
      </c>
      <c r="AV105" s="1272">
        <v>24</v>
      </c>
      <c r="AW105" s="1273">
        <v>0.5</v>
      </c>
    </row>
    <row r="106" spans="1:49" ht="15" customHeight="1">
      <c r="A106" s="1236">
        <f t="shared" si="29"/>
        <v>103</v>
      </c>
      <c r="B106" s="1236" t="s">
        <v>1306</v>
      </c>
      <c r="C106" s="1236" t="s">
        <v>1856</v>
      </c>
      <c r="D106" s="1236" t="s">
        <v>3127</v>
      </c>
      <c r="E106" s="1235">
        <v>3982</v>
      </c>
      <c r="F106" s="1237" t="s">
        <v>144</v>
      </c>
      <c r="G106" s="389">
        <f t="shared" si="26"/>
        <v>0.59</v>
      </c>
      <c r="H106" s="389">
        <f t="shared" si="26"/>
        <v>0.51</v>
      </c>
      <c r="I106" s="389">
        <f t="shared" si="26"/>
        <v>0.42</v>
      </c>
      <c r="J106" s="389">
        <f t="shared" si="26"/>
        <v>0.34</v>
      </c>
      <c r="K106" s="389">
        <f t="shared" si="26"/>
        <v>0.28000000000000003</v>
      </c>
      <c r="L106" s="720">
        <v>0.06</v>
      </c>
      <c r="M106" s="63" t="s">
        <v>3162</v>
      </c>
      <c r="N106" s="1238">
        <v>4.3999999999999997E-2</v>
      </c>
      <c r="O106" s="1239">
        <v>6.0000000000000001E-3</v>
      </c>
      <c r="P106" s="1239">
        <v>0</v>
      </c>
      <c r="Q106" s="1239">
        <v>0</v>
      </c>
      <c r="R106" s="1239">
        <v>0</v>
      </c>
      <c r="S106" s="1236" t="str">
        <f t="shared" ref="S106" si="34">+IF(LEFT(D106,1)="E","Y",IF(LEFT(D106,1)="S","Y",IF(LEFT(D106,1)="X","Y","N")))</f>
        <v>N</v>
      </c>
      <c r="T106" s="1236"/>
      <c r="U106" s="1240"/>
      <c r="V106" s="1240"/>
      <c r="W106" s="1240"/>
      <c r="X106" s="64" t="s">
        <v>2364</v>
      </c>
      <c r="Y106" s="439"/>
      <c r="Z106" s="439"/>
      <c r="AA106" s="439"/>
      <c r="AT106" s="400" t="str">
        <f t="shared" si="33"/>
        <v>36R</v>
      </c>
      <c r="AU106" s="1269" t="s">
        <v>329</v>
      </c>
      <c r="AV106" s="1270">
        <v>36</v>
      </c>
      <c r="AW106" s="1271">
        <v>0.41</v>
      </c>
    </row>
    <row r="107" spans="1:49" ht="15" customHeight="1">
      <c r="A107" s="63">
        <f t="shared" si="29"/>
        <v>104</v>
      </c>
      <c r="B107" s="63" t="s">
        <v>1308</v>
      </c>
      <c r="C107" s="63" t="s">
        <v>1856</v>
      </c>
      <c r="D107" s="1234" t="s">
        <v>1738</v>
      </c>
      <c r="E107" s="1235">
        <v>3982</v>
      </c>
      <c r="F107" s="65" t="s">
        <v>144</v>
      </c>
      <c r="G107" s="389">
        <f t="shared" ref="G107:K157" si="35">+INDEX($AW$4:$AW$138,MATCH(G$3&amp;$M107,$AT$4:$AT$138,0))</f>
        <v>0.59</v>
      </c>
      <c r="H107" s="389">
        <f t="shared" si="35"/>
        <v>0.51</v>
      </c>
      <c r="I107" s="389">
        <f t="shared" si="35"/>
        <v>0.42</v>
      </c>
      <c r="J107" s="389">
        <f t="shared" si="35"/>
        <v>0.34</v>
      </c>
      <c r="K107" s="389">
        <f t="shared" si="35"/>
        <v>0.28000000000000003</v>
      </c>
      <c r="L107" s="720">
        <v>0.06</v>
      </c>
      <c r="M107" s="63" t="s">
        <v>666</v>
      </c>
      <c r="N107" s="440">
        <v>4.3999999999999997E-2</v>
      </c>
      <c r="O107" s="390">
        <v>6.0000000000000001E-3</v>
      </c>
      <c r="P107" s="390">
        <v>0</v>
      </c>
      <c r="Q107" s="390">
        <v>0</v>
      </c>
      <c r="R107" s="390">
        <v>0</v>
      </c>
      <c r="S107" s="63" t="str">
        <f t="shared" si="30"/>
        <v>N</v>
      </c>
      <c r="T107" s="63"/>
      <c r="U107" s="1039"/>
      <c r="V107" s="1039"/>
      <c r="W107" s="1039"/>
      <c r="X107" s="64" t="s">
        <v>2364</v>
      </c>
      <c r="Y107" s="439"/>
      <c r="Z107" s="439"/>
      <c r="AA107" s="439"/>
      <c r="AT107" s="400" t="str">
        <f t="shared" si="33"/>
        <v>48R</v>
      </c>
      <c r="AU107" s="1269" t="s">
        <v>329</v>
      </c>
      <c r="AV107" s="1270">
        <v>48</v>
      </c>
      <c r="AW107" s="1271">
        <v>0.32999999999999996</v>
      </c>
    </row>
    <row r="108" spans="1:49" ht="15" customHeight="1">
      <c r="A108" s="63">
        <f t="shared" si="29"/>
        <v>105</v>
      </c>
      <c r="B108" s="63" t="s">
        <v>1308</v>
      </c>
      <c r="C108" s="63" t="s">
        <v>1856</v>
      </c>
      <c r="D108" s="63" t="s">
        <v>1739</v>
      </c>
      <c r="E108" s="64">
        <v>0</v>
      </c>
      <c r="F108" s="65" t="s">
        <v>621</v>
      </c>
      <c r="G108" s="389">
        <f t="shared" si="35"/>
        <v>0.66999999999999993</v>
      </c>
      <c r="H108" s="389">
        <f t="shared" si="35"/>
        <v>0.59</v>
      </c>
      <c r="I108" s="389">
        <f t="shared" si="35"/>
        <v>0.49999999999999989</v>
      </c>
      <c r="J108" s="389">
        <f t="shared" si="35"/>
        <v>0.42</v>
      </c>
      <c r="K108" s="389">
        <f t="shared" si="35"/>
        <v>0.36</v>
      </c>
      <c r="L108" s="720">
        <v>0.06</v>
      </c>
      <c r="M108" s="63" t="s">
        <v>660</v>
      </c>
      <c r="N108" s="440">
        <v>4.3999999999999997E-2</v>
      </c>
      <c r="O108" s="390">
        <v>6.0000000000000001E-3</v>
      </c>
      <c r="P108" s="390">
        <v>0</v>
      </c>
      <c r="Q108" s="390">
        <v>0</v>
      </c>
      <c r="R108" s="390">
        <v>0</v>
      </c>
      <c r="S108" s="63" t="str">
        <f t="shared" si="30"/>
        <v>N</v>
      </c>
      <c r="T108" s="63"/>
      <c r="U108" s="1039"/>
      <c r="V108" s="1039"/>
      <c r="W108" s="1039"/>
      <c r="X108" s="64" t="s">
        <v>2364</v>
      </c>
      <c r="Y108" s="439"/>
      <c r="Z108" s="439"/>
      <c r="AA108" s="439"/>
      <c r="AT108" s="400" t="str">
        <f t="shared" si="33"/>
        <v>60R</v>
      </c>
      <c r="AU108" s="1269" t="s">
        <v>329</v>
      </c>
      <c r="AV108" s="1270">
        <v>60</v>
      </c>
      <c r="AW108" s="1271">
        <v>0.28999999999999998</v>
      </c>
    </row>
    <row r="109" spans="1:49" ht="15" customHeight="1">
      <c r="A109" s="63">
        <f t="shared" si="29"/>
        <v>106</v>
      </c>
      <c r="B109" s="63" t="s">
        <v>1308</v>
      </c>
      <c r="C109" s="63" t="s">
        <v>1856</v>
      </c>
      <c r="D109" s="63" t="s">
        <v>2340</v>
      </c>
      <c r="E109" s="64">
        <v>0</v>
      </c>
      <c r="F109" s="65" t="s">
        <v>621</v>
      </c>
      <c r="G109" s="389">
        <f t="shared" si="35"/>
        <v>0.57999999999999996</v>
      </c>
      <c r="H109" s="389">
        <f t="shared" si="35"/>
        <v>0.5</v>
      </c>
      <c r="I109" s="389">
        <f t="shared" si="35"/>
        <v>0.41</v>
      </c>
      <c r="J109" s="389">
        <f t="shared" si="35"/>
        <v>0.32999999999999996</v>
      </c>
      <c r="K109" s="389">
        <f t="shared" si="35"/>
        <v>0.26999999999999996</v>
      </c>
      <c r="L109" s="720">
        <v>0.06</v>
      </c>
      <c r="M109" s="63" t="s">
        <v>662</v>
      </c>
      <c r="N109" s="440">
        <v>4.3999999999999997E-2</v>
      </c>
      <c r="O109" s="390">
        <v>6.0000000000000001E-3</v>
      </c>
      <c r="P109" s="390">
        <v>0</v>
      </c>
      <c r="Q109" s="390">
        <v>0</v>
      </c>
      <c r="R109" s="390">
        <v>0</v>
      </c>
      <c r="S109" s="63" t="str">
        <f t="shared" si="30"/>
        <v>N</v>
      </c>
      <c r="T109" s="63"/>
      <c r="U109" s="1039"/>
      <c r="V109" s="1039"/>
      <c r="W109" s="1039"/>
      <c r="X109" s="64" t="s">
        <v>2364</v>
      </c>
      <c r="Y109" s="439"/>
      <c r="Z109" s="439"/>
      <c r="AA109" s="439"/>
      <c r="AT109" s="400" t="str">
        <f t="shared" si="33"/>
        <v>12S</v>
      </c>
      <c r="AU109" s="1269" t="s">
        <v>666</v>
      </c>
      <c r="AV109" s="1270">
        <v>12</v>
      </c>
      <c r="AW109" s="1271">
        <v>0.59</v>
      </c>
    </row>
    <row r="110" spans="1:49" ht="15" customHeight="1">
      <c r="A110" s="63">
        <f t="shared" ref="A110:A133" si="36">ROW()-3</f>
        <v>107</v>
      </c>
      <c r="B110" s="63" t="s">
        <v>1308</v>
      </c>
      <c r="C110" s="63"/>
      <c r="D110" s="63"/>
      <c r="E110" s="64"/>
      <c r="F110" s="65"/>
      <c r="G110" s="389" t="e">
        <f t="shared" si="35"/>
        <v>#N/A</v>
      </c>
      <c r="H110" s="389" t="e">
        <f t="shared" si="35"/>
        <v>#N/A</v>
      </c>
      <c r="I110" s="389" t="e">
        <f t="shared" si="35"/>
        <v>#N/A</v>
      </c>
      <c r="J110" s="389" t="e">
        <f t="shared" si="35"/>
        <v>#N/A</v>
      </c>
      <c r="K110" s="389" t="e">
        <f t="shared" si="35"/>
        <v>#N/A</v>
      </c>
      <c r="L110" s="720"/>
      <c r="M110" s="63"/>
      <c r="N110" s="440"/>
      <c r="O110" s="390"/>
      <c r="P110" s="390">
        <v>0</v>
      </c>
      <c r="Q110" s="390">
        <v>0</v>
      </c>
      <c r="R110" s="390">
        <v>0</v>
      </c>
      <c r="S110" s="63" t="str">
        <f t="shared" ref="S110:S172" si="37">+IF(LEFT(D110,1)="E","Y",IF(LEFT(D110,1)="S","Y",IF(LEFT(D110,1)="X","Y","N")))</f>
        <v>N</v>
      </c>
      <c r="T110" s="63"/>
      <c r="U110" s="1039"/>
      <c r="V110" s="1039"/>
      <c r="W110" s="1039"/>
      <c r="X110" s="64" t="s">
        <v>2364</v>
      </c>
      <c r="Y110" s="439"/>
      <c r="Z110" s="439"/>
      <c r="AA110" s="439"/>
      <c r="AT110" s="400" t="str">
        <f t="shared" si="33"/>
        <v>24S</v>
      </c>
      <c r="AU110" s="1269" t="s">
        <v>666</v>
      </c>
      <c r="AV110" s="1272">
        <v>24</v>
      </c>
      <c r="AW110" s="1273">
        <v>0.51</v>
      </c>
    </row>
    <row r="111" spans="1:49" ht="15" customHeight="1">
      <c r="A111" s="63">
        <f t="shared" si="36"/>
        <v>108</v>
      </c>
      <c r="B111" s="63" t="s">
        <v>1308</v>
      </c>
      <c r="C111" s="63"/>
      <c r="D111" s="63"/>
      <c r="E111" s="64"/>
      <c r="F111" s="65"/>
      <c r="G111" s="389" t="e">
        <f t="shared" si="35"/>
        <v>#N/A</v>
      </c>
      <c r="H111" s="389" t="e">
        <f t="shared" si="35"/>
        <v>#N/A</v>
      </c>
      <c r="I111" s="389" t="e">
        <f t="shared" si="35"/>
        <v>#N/A</v>
      </c>
      <c r="J111" s="389" t="e">
        <f t="shared" si="35"/>
        <v>#N/A</v>
      </c>
      <c r="K111" s="389" t="e">
        <f t="shared" si="35"/>
        <v>#N/A</v>
      </c>
      <c r="L111" s="720"/>
      <c r="M111" s="63"/>
      <c r="N111" s="440"/>
      <c r="O111" s="390"/>
      <c r="P111" s="390">
        <v>0</v>
      </c>
      <c r="Q111" s="390">
        <v>0</v>
      </c>
      <c r="R111" s="390">
        <v>0</v>
      </c>
      <c r="S111" s="63" t="str">
        <f t="shared" si="37"/>
        <v>N</v>
      </c>
      <c r="T111" s="63"/>
      <c r="U111" s="1039"/>
      <c r="V111" s="1039"/>
      <c r="W111" s="1039"/>
      <c r="X111" s="64" t="s">
        <v>2364</v>
      </c>
      <c r="Y111" s="439"/>
      <c r="Z111" s="439"/>
      <c r="AA111" s="439"/>
      <c r="AT111" s="400" t="str">
        <f t="shared" si="33"/>
        <v>36S</v>
      </c>
      <c r="AU111" s="1269" t="s">
        <v>666</v>
      </c>
      <c r="AV111" s="1270">
        <v>36</v>
      </c>
      <c r="AW111" s="1271">
        <v>0.42</v>
      </c>
    </row>
    <row r="112" spans="1:49" ht="15" customHeight="1">
      <c r="A112" s="63">
        <f t="shared" si="36"/>
        <v>109</v>
      </c>
      <c r="B112" s="63" t="s">
        <v>1308</v>
      </c>
      <c r="C112" s="63"/>
      <c r="D112" s="63"/>
      <c r="E112" s="64"/>
      <c r="F112" s="65"/>
      <c r="G112" s="389" t="e">
        <f t="shared" si="35"/>
        <v>#N/A</v>
      </c>
      <c r="H112" s="389" t="e">
        <f t="shared" si="35"/>
        <v>#N/A</v>
      </c>
      <c r="I112" s="389" t="e">
        <f t="shared" si="35"/>
        <v>#N/A</v>
      </c>
      <c r="J112" s="389" t="e">
        <f t="shared" si="35"/>
        <v>#N/A</v>
      </c>
      <c r="K112" s="389" t="e">
        <f t="shared" si="35"/>
        <v>#N/A</v>
      </c>
      <c r="L112" s="720"/>
      <c r="M112" s="63"/>
      <c r="N112" s="440"/>
      <c r="O112" s="390"/>
      <c r="P112" s="390">
        <v>0</v>
      </c>
      <c r="Q112" s="390">
        <v>0</v>
      </c>
      <c r="R112" s="390">
        <v>0</v>
      </c>
      <c r="S112" s="63" t="str">
        <f t="shared" si="37"/>
        <v>N</v>
      </c>
      <c r="T112" s="63"/>
      <c r="U112" s="1039"/>
      <c r="V112" s="1039"/>
      <c r="W112" s="1039"/>
      <c r="X112" s="64" t="s">
        <v>2364</v>
      </c>
      <c r="Y112" s="439"/>
      <c r="Z112" s="439"/>
      <c r="AA112" s="439"/>
      <c r="AT112" s="400" t="str">
        <f t="shared" si="33"/>
        <v>48S</v>
      </c>
      <c r="AU112" s="1269" t="s">
        <v>666</v>
      </c>
      <c r="AV112" s="1270">
        <v>48</v>
      </c>
      <c r="AW112" s="1271">
        <v>0.34</v>
      </c>
    </row>
    <row r="113" spans="1:49" ht="15" customHeight="1">
      <c r="A113" s="63">
        <f t="shared" si="36"/>
        <v>110</v>
      </c>
      <c r="B113" s="63" t="s">
        <v>1308</v>
      </c>
      <c r="C113" s="63"/>
      <c r="D113" s="63"/>
      <c r="E113" s="64"/>
      <c r="F113" s="65"/>
      <c r="G113" s="389" t="e">
        <f t="shared" si="35"/>
        <v>#N/A</v>
      </c>
      <c r="H113" s="389" t="e">
        <f t="shared" si="35"/>
        <v>#N/A</v>
      </c>
      <c r="I113" s="389" t="e">
        <f t="shared" si="35"/>
        <v>#N/A</v>
      </c>
      <c r="J113" s="389" t="e">
        <f t="shared" si="35"/>
        <v>#N/A</v>
      </c>
      <c r="K113" s="389" t="e">
        <f t="shared" si="35"/>
        <v>#N/A</v>
      </c>
      <c r="L113" s="720"/>
      <c r="M113" s="63"/>
      <c r="N113" s="440"/>
      <c r="O113" s="390"/>
      <c r="P113" s="390">
        <v>0</v>
      </c>
      <c r="Q113" s="390">
        <v>0</v>
      </c>
      <c r="R113" s="390">
        <v>0</v>
      </c>
      <c r="S113" s="63" t="str">
        <f t="shared" si="37"/>
        <v>N</v>
      </c>
      <c r="T113" s="63"/>
      <c r="U113" s="1039"/>
      <c r="V113" s="1039"/>
      <c r="W113" s="1039"/>
      <c r="X113" s="64" t="s">
        <v>2364</v>
      </c>
      <c r="Y113" s="439"/>
      <c r="Z113" s="439"/>
      <c r="AA113" s="439"/>
      <c r="AT113" s="400" t="str">
        <f t="shared" si="33"/>
        <v>60S</v>
      </c>
      <c r="AU113" s="1269" t="s">
        <v>666</v>
      </c>
      <c r="AV113" s="1270">
        <v>60</v>
      </c>
      <c r="AW113" s="1271">
        <v>0.28000000000000003</v>
      </c>
    </row>
    <row r="114" spans="1:49" ht="15" customHeight="1">
      <c r="A114" s="63">
        <f t="shared" si="36"/>
        <v>111</v>
      </c>
      <c r="B114" s="63" t="s">
        <v>1308</v>
      </c>
      <c r="C114" s="63"/>
      <c r="D114" s="63"/>
      <c r="E114" s="64"/>
      <c r="F114" s="65"/>
      <c r="G114" s="389" t="e">
        <f t="shared" si="35"/>
        <v>#N/A</v>
      </c>
      <c r="H114" s="389" t="e">
        <f t="shared" si="35"/>
        <v>#N/A</v>
      </c>
      <c r="I114" s="389" t="e">
        <f t="shared" si="35"/>
        <v>#N/A</v>
      </c>
      <c r="J114" s="389" t="e">
        <f t="shared" si="35"/>
        <v>#N/A</v>
      </c>
      <c r="K114" s="389" t="e">
        <f t="shared" si="35"/>
        <v>#N/A</v>
      </c>
      <c r="L114" s="720"/>
      <c r="M114" s="63"/>
      <c r="N114" s="440"/>
      <c r="O114" s="390"/>
      <c r="P114" s="390">
        <v>0</v>
      </c>
      <c r="Q114" s="390">
        <v>0</v>
      </c>
      <c r="R114" s="390">
        <v>0</v>
      </c>
      <c r="S114" s="63" t="str">
        <f t="shared" si="37"/>
        <v>N</v>
      </c>
      <c r="T114" s="63"/>
      <c r="U114" s="1039"/>
      <c r="V114" s="1039"/>
      <c r="W114" s="1039"/>
      <c r="X114" s="64" t="s">
        <v>2364</v>
      </c>
      <c r="Y114" s="439"/>
      <c r="Z114" s="439"/>
      <c r="AA114" s="439"/>
      <c r="AT114" s="400" t="str">
        <f t="shared" si="33"/>
        <v>12SA1</v>
      </c>
      <c r="AU114" s="1274" t="s">
        <v>3153</v>
      </c>
      <c r="AV114" s="1275">
        <v>12</v>
      </c>
      <c r="AW114" s="1276">
        <v>0.78500000000000003</v>
      </c>
    </row>
    <row r="115" spans="1:49" ht="15" customHeight="1">
      <c r="A115" s="63">
        <f t="shared" si="36"/>
        <v>112</v>
      </c>
      <c r="B115" s="63" t="s">
        <v>1308</v>
      </c>
      <c r="C115" s="63"/>
      <c r="D115" s="63"/>
      <c r="E115" s="64"/>
      <c r="F115" s="65"/>
      <c r="G115" s="389" t="e">
        <f t="shared" si="35"/>
        <v>#N/A</v>
      </c>
      <c r="H115" s="389" t="e">
        <f t="shared" si="35"/>
        <v>#N/A</v>
      </c>
      <c r="I115" s="389" t="e">
        <f t="shared" si="35"/>
        <v>#N/A</v>
      </c>
      <c r="J115" s="389" t="e">
        <f t="shared" si="35"/>
        <v>#N/A</v>
      </c>
      <c r="K115" s="389" t="e">
        <f t="shared" si="35"/>
        <v>#N/A</v>
      </c>
      <c r="L115" s="720"/>
      <c r="M115" s="63"/>
      <c r="N115" s="440"/>
      <c r="O115" s="390"/>
      <c r="P115" s="390">
        <v>0</v>
      </c>
      <c r="Q115" s="390">
        <v>0</v>
      </c>
      <c r="R115" s="390">
        <v>0</v>
      </c>
      <c r="S115" s="63" t="str">
        <f t="shared" si="37"/>
        <v>N</v>
      </c>
      <c r="T115" s="63"/>
      <c r="U115" s="1039"/>
      <c r="V115" s="1039"/>
      <c r="W115" s="1039"/>
      <c r="X115" s="64" t="s">
        <v>2364</v>
      </c>
      <c r="Y115" s="439"/>
      <c r="Z115" s="439"/>
      <c r="AA115" s="439"/>
      <c r="AT115" s="400" t="str">
        <f t="shared" si="33"/>
        <v>24SA1</v>
      </c>
      <c r="AU115" s="1274" t="s">
        <v>3153</v>
      </c>
      <c r="AV115" s="1275">
        <v>24</v>
      </c>
      <c r="AW115" s="1276">
        <v>0.70499999999999996</v>
      </c>
    </row>
    <row r="116" spans="1:49" ht="15" customHeight="1">
      <c r="A116" s="63">
        <f t="shared" si="36"/>
        <v>113</v>
      </c>
      <c r="B116" s="63" t="s">
        <v>1308</v>
      </c>
      <c r="C116" s="63"/>
      <c r="D116" s="63"/>
      <c r="E116" s="64"/>
      <c r="F116" s="65"/>
      <c r="G116" s="389" t="e">
        <f t="shared" si="35"/>
        <v>#N/A</v>
      </c>
      <c r="H116" s="389" t="e">
        <f t="shared" si="35"/>
        <v>#N/A</v>
      </c>
      <c r="I116" s="389" t="e">
        <f t="shared" si="35"/>
        <v>#N/A</v>
      </c>
      <c r="J116" s="389" t="e">
        <f t="shared" si="35"/>
        <v>#N/A</v>
      </c>
      <c r="K116" s="389" t="e">
        <f t="shared" si="35"/>
        <v>#N/A</v>
      </c>
      <c r="L116" s="720"/>
      <c r="M116" s="63"/>
      <c r="N116" s="440"/>
      <c r="O116" s="390"/>
      <c r="P116" s="390">
        <v>0</v>
      </c>
      <c r="Q116" s="390">
        <v>0</v>
      </c>
      <c r="R116" s="390">
        <v>0</v>
      </c>
      <c r="S116" s="63" t="str">
        <f t="shared" si="37"/>
        <v>N</v>
      </c>
      <c r="T116" s="63"/>
      <c r="U116" s="1039"/>
      <c r="V116" s="1039"/>
      <c r="W116" s="1039"/>
      <c r="X116" s="64" t="s">
        <v>2364</v>
      </c>
      <c r="Y116" s="439"/>
      <c r="Z116" s="439"/>
      <c r="AA116" s="439"/>
      <c r="AT116" s="400" t="str">
        <f t="shared" si="33"/>
        <v>36SA1</v>
      </c>
      <c r="AU116" s="1274" t="s">
        <v>3153</v>
      </c>
      <c r="AV116" s="1275">
        <v>36</v>
      </c>
      <c r="AW116" s="1276">
        <v>0.61499999999999999</v>
      </c>
    </row>
    <row r="117" spans="1:49" ht="15" customHeight="1">
      <c r="A117" s="63">
        <f t="shared" si="36"/>
        <v>114</v>
      </c>
      <c r="B117" s="63" t="s">
        <v>1308</v>
      </c>
      <c r="C117" s="63"/>
      <c r="D117" s="63"/>
      <c r="E117" s="64"/>
      <c r="F117" s="65"/>
      <c r="G117" s="389" t="e">
        <f t="shared" si="35"/>
        <v>#N/A</v>
      </c>
      <c r="H117" s="389" t="e">
        <f t="shared" si="35"/>
        <v>#N/A</v>
      </c>
      <c r="I117" s="389" t="e">
        <f t="shared" si="35"/>
        <v>#N/A</v>
      </c>
      <c r="J117" s="389" t="e">
        <f t="shared" si="35"/>
        <v>#N/A</v>
      </c>
      <c r="K117" s="389" t="e">
        <f t="shared" si="35"/>
        <v>#N/A</v>
      </c>
      <c r="L117" s="720"/>
      <c r="M117" s="63"/>
      <c r="N117" s="440"/>
      <c r="O117" s="390"/>
      <c r="P117" s="390">
        <v>0</v>
      </c>
      <c r="Q117" s="390">
        <v>0</v>
      </c>
      <c r="R117" s="390">
        <v>0</v>
      </c>
      <c r="S117" s="63" t="str">
        <f t="shared" si="37"/>
        <v>N</v>
      </c>
      <c r="T117" s="63"/>
      <c r="U117" s="1039"/>
      <c r="V117" s="1039"/>
      <c r="W117" s="1039"/>
      <c r="X117" s="64" t="s">
        <v>2364</v>
      </c>
      <c r="Y117" s="439"/>
      <c r="Z117" s="439"/>
      <c r="AA117" s="439"/>
      <c r="AT117" s="400" t="str">
        <f t="shared" si="33"/>
        <v>48SA1</v>
      </c>
      <c r="AU117" s="1274" t="s">
        <v>3153</v>
      </c>
      <c r="AV117" s="1275">
        <v>48</v>
      </c>
      <c r="AW117" s="1276">
        <v>0.53500000000000003</v>
      </c>
    </row>
    <row r="118" spans="1:49" ht="15" customHeight="1">
      <c r="A118" s="63">
        <f t="shared" si="36"/>
        <v>115</v>
      </c>
      <c r="B118" s="63" t="s">
        <v>1308</v>
      </c>
      <c r="C118" s="63" t="s">
        <v>1889</v>
      </c>
      <c r="D118" s="1234" t="s">
        <v>1456</v>
      </c>
      <c r="E118" s="64">
        <v>1998</v>
      </c>
      <c r="F118" s="65" t="s">
        <v>619</v>
      </c>
      <c r="G118" s="389">
        <f t="shared" si="35"/>
        <v>0.71</v>
      </c>
      <c r="H118" s="389">
        <f t="shared" si="35"/>
        <v>0.63</v>
      </c>
      <c r="I118" s="389">
        <f t="shared" si="35"/>
        <v>0.53999999999999992</v>
      </c>
      <c r="J118" s="389">
        <f t="shared" si="35"/>
        <v>0.46</v>
      </c>
      <c r="K118" s="389">
        <f t="shared" si="35"/>
        <v>0.4</v>
      </c>
      <c r="L118" s="720">
        <v>0.06</v>
      </c>
      <c r="M118" s="63" t="s">
        <v>321</v>
      </c>
      <c r="N118" s="440">
        <v>4.3999999999999997E-2</v>
      </c>
      <c r="O118" s="390">
        <v>6.0000000000000001E-3</v>
      </c>
      <c r="P118" s="390">
        <v>0</v>
      </c>
      <c r="Q118" s="390">
        <v>0</v>
      </c>
      <c r="R118" s="390">
        <v>0</v>
      </c>
      <c r="S118" s="63" t="str">
        <f t="shared" si="37"/>
        <v>N</v>
      </c>
      <c r="T118" s="63"/>
      <c r="U118" s="1039"/>
      <c r="V118" s="1039"/>
      <c r="W118" s="1039"/>
      <c r="X118" s="64" t="s">
        <v>2364</v>
      </c>
      <c r="Y118" s="439"/>
      <c r="Z118" s="439"/>
      <c r="AA118" s="439"/>
      <c r="AT118" s="400" t="str">
        <f t="shared" si="33"/>
        <v>60SA1</v>
      </c>
      <c r="AU118" s="1274" t="s">
        <v>3153</v>
      </c>
      <c r="AV118" s="1275">
        <v>60</v>
      </c>
      <c r="AW118" s="1276">
        <v>0.47499999999999998</v>
      </c>
    </row>
    <row r="119" spans="1:49" ht="15" customHeight="1">
      <c r="A119" s="63">
        <f t="shared" si="36"/>
        <v>116</v>
      </c>
      <c r="B119" s="63" t="s">
        <v>1308</v>
      </c>
      <c r="C119" s="63" t="s">
        <v>1889</v>
      </c>
      <c r="D119" s="1234" t="s">
        <v>1890</v>
      </c>
      <c r="E119" s="64">
        <v>1998</v>
      </c>
      <c r="F119" s="65" t="s">
        <v>619</v>
      </c>
      <c r="G119" s="389">
        <f t="shared" si="35"/>
        <v>0.71</v>
      </c>
      <c r="H119" s="389">
        <f t="shared" si="35"/>
        <v>0.63</v>
      </c>
      <c r="I119" s="389">
        <f t="shared" si="35"/>
        <v>0.53999999999999992</v>
      </c>
      <c r="J119" s="389">
        <f t="shared" si="35"/>
        <v>0.46</v>
      </c>
      <c r="K119" s="389">
        <f t="shared" si="35"/>
        <v>0.4</v>
      </c>
      <c r="L119" s="720">
        <v>0.06</v>
      </c>
      <c r="M119" s="63" t="s">
        <v>321</v>
      </c>
      <c r="N119" s="440">
        <v>4.3999999999999997E-2</v>
      </c>
      <c r="O119" s="390">
        <v>6.0000000000000001E-3</v>
      </c>
      <c r="P119" s="390">
        <v>0</v>
      </c>
      <c r="Q119" s="390">
        <v>0</v>
      </c>
      <c r="R119" s="390">
        <v>0</v>
      </c>
      <c r="S119" s="63" t="str">
        <f t="shared" si="37"/>
        <v>N</v>
      </c>
      <c r="T119" s="63"/>
      <c r="U119" s="1039"/>
      <c r="V119" s="1039"/>
      <c r="W119" s="1039"/>
      <c r="X119" s="64" t="s">
        <v>2364</v>
      </c>
      <c r="Y119" s="439"/>
      <c r="Z119" s="439"/>
      <c r="AA119" s="439"/>
      <c r="AT119" s="400" t="str">
        <f t="shared" si="33"/>
        <v>12T</v>
      </c>
      <c r="AU119" s="1277" t="s">
        <v>662</v>
      </c>
      <c r="AV119" s="1278">
        <v>12</v>
      </c>
      <c r="AW119" s="1279">
        <v>0.57999999999999996</v>
      </c>
    </row>
    <row r="120" spans="1:49" ht="15" customHeight="1">
      <c r="A120" s="63">
        <f t="shared" si="36"/>
        <v>117</v>
      </c>
      <c r="B120" s="63" t="s">
        <v>1308</v>
      </c>
      <c r="C120" s="63" t="s">
        <v>1889</v>
      </c>
      <c r="D120" s="1234" t="s">
        <v>1910</v>
      </c>
      <c r="E120" s="64">
        <v>1998</v>
      </c>
      <c r="F120" s="65" t="s">
        <v>1891</v>
      </c>
      <c r="G120" s="389">
        <f t="shared" si="35"/>
        <v>0.65999999999999992</v>
      </c>
      <c r="H120" s="389">
        <f t="shared" si="35"/>
        <v>0.57999999999999996</v>
      </c>
      <c r="I120" s="389">
        <f t="shared" si="35"/>
        <v>0.48999999999999988</v>
      </c>
      <c r="J120" s="389">
        <f t="shared" si="35"/>
        <v>0.41</v>
      </c>
      <c r="K120" s="389">
        <f t="shared" si="35"/>
        <v>0.35</v>
      </c>
      <c r="L120" s="720">
        <v>0.06</v>
      </c>
      <c r="M120" s="63" t="s">
        <v>325</v>
      </c>
      <c r="N120" s="440">
        <v>4.3999999999999997E-2</v>
      </c>
      <c r="O120" s="390">
        <v>6.0000000000000001E-3</v>
      </c>
      <c r="P120" s="390">
        <v>0</v>
      </c>
      <c r="Q120" s="390">
        <v>0</v>
      </c>
      <c r="R120" s="390">
        <v>0</v>
      </c>
      <c r="S120" s="63" t="str">
        <f t="shared" si="37"/>
        <v>N</v>
      </c>
      <c r="T120" s="63"/>
      <c r="U120" s="1039"/>
      <c r="V120" s="1039"/>
      <c r="W120" s="1039"/>
      <c r="X120" s="64" t="s">
        <v>2364</v>
      </c>
      <c r="Y120" s="439"/>
      <c r="Z120" s="439"/>
      <c r="AA120" s="439"/>
      <c r="AT120" s="400" t="str">
        <f t="shared" si="33"/>
        <v>24T</v>
      </c>
      <c r="AU120" s="1277" t="s">
        <v>662</v>
      </c>
      <c r="AV120" s="1278">
        <v>24</v>
      </c>
      <c r="AW120" s="1279">
        <v>0.5</v>
      </c>
    </row>
    <row r="121" spans="1:49" ht="15" customHeight="1">
      <c r="A121" s="63">
        <f t="shared" si="36"/>
        <v>118</v>
      </c>
      <c r="B121" s="63" t="s">
        <v>1308</v>
      </c>
      <c r="C121" s="63" t="s">
        <v>1889</v>
      </c>
      <c r="D121" s="1234" t="s">
        <v>2182</v>
      </c>
      <c r="E121" s="64">
        <v>1995</v>
      </c>
      <c r="F121" s="65" t="s">
        <v>144</v>
      </c>
      <c r="G121" s="389">
        <f t="shared" si="35"/>
        <v>0.7</v>
      </c>
      <c r="H121" s="389">
        <f t="shared" si="35"/>
        <v>0.62</v>
      </c>
      <c r="I121" s="389">
        <f t="shared" si="35"/>
        <v>0.52999999999999992</v>
      </c>
      <c r="J121" s="389">
        <f t="shared" si="35"/>
        <v>0.45</v>
      </c>
      <c r="K121" s="389">
        <f t="shared" si="35"/>
        <v>0.39</v>
      </c>
      <c r="L121" s="720">
        <v>0.06</v>
      </c>
      <c r="M121" s="63" t="s">
        <v>322</v>
      </c>
      <c r="N121" s="440">
        <v>4.3999999999999997E-2</v>
      </c>
      <c r="O121" s="390">
        <v>6.0000000000000001E-3</v>
      </c>
      <c r="P121" s="390">
        <v>0</v>
      </c>
      <c r="Q121" s="390">
        <v>0</v>
      </c>
      <c r="R121" s="390">
        <v>0</v>
      </c>
      <c r="S121" s="63" t="str">
        <f t="shared" si="37"/>
        <v>N</v>
      </c>
      <c r="T121" s="63"/>
      <c r="U121" s="1039"/>
      <c r="V121" s="1039"/>
      <c r="W121" s="1039"/>
      <c r="X121" s="64" t="s">
        <v>2364</v>
      </c>
      <c r="Y121" s="439"/>
      <c r="Z121" s="439"/>
      <c r="AA121" s="439"/>
      <c r="AT121" s="400" t="str">
        <f t="shared" si="33"/>
        <v>36T</v>
      </c>
      <c r="AU121" s="1277" t="s">
        <v>662</v>
      </c>
      <c r="AV121" s="1278">
        <v>36</v>
      </c>
      <c r="AW121" s="1279">
        <v>0.41</v>
      </c>
    </row>
    <row r="122" spans="1:49" ht="15" customHeight="1">
      <c r="A122" s="63">
        <f t="shared" si="36"/>
        <v>119</v>
      </c>
      <c r="B122" s="63" t="s">
        <v>1308</v>
      </c>
      <c r="C122" s="63" t="s">
        <v>1889</v>
      </c>
      <c r="D122" s="1234" t="s">
        <v>2183</v>
      </c>
      <c r="E122" s="64">
        <v>1995</v>
      </c>
      <c r="F122" s="65" t="s">
        <v>144</v>
      </c>
      <c r="G122" s="389">
        <f t="shared" si="35"/>
        <v>0.7</v>
      </c>
      <c r="H122" s="389">
        <f t="shared" si="35"/>
        <v>0.62</v>
      </c>
      <c r="I122" s="389">
        <f t="shared" si="35"/>
        <v>0.52999999999999992</v>
      </c>
      <c r="J122" s="389">
        <f t="shared" si="35"/>
        <v>0.45</v>
      </c>
      <c r="K122" s="389">
        <f t="shared" si="35"/>
        <v>0.39</v>
      </c>
      <c r="L122" s="720">
        <v>0.06</v>
      </c>
      <c r="M122" s="63" t="s">
        <v>322</v>
      </c>
      <c r="N122" s="440">
        <v>4.3999999999999997E-2</v>
      </c>
      <c r="O122" s="390">
        <v>6.0000000000000001E-3</v>
      </c>
      <c r="P122" s="390">
        <v>0</v>
      </c>
      <c r="Q122" s="390">
        <v>0</v>
      </c>
      <c r="R122" s="390">
        <v>0</v>
      </c>
      <c r="S122" s="63" t="str">
        <f t="shared" si="37"/>
        <v>N</v>
      </c>
      <c r="T122" s="63"/>
      <c r="U122" s="1039"/>
      <c r="V122" s="1039"/>
      <c r="W122" s="1039"/>
      <c r="X122" s="64" t="s">
        <v>2364</v>
      </c>
      <c r="Y122" s="439"/>
      <c r="Z122" s="439"/>
      <c r="AA122" s="439"/>
      <c r="AT122" s="400" t="str">
        <f t="shared" si="33"/>
        <v>48T</v>
      </c>
      <c r="AU122" s="1277" t="s">
        <v>662</v>
      </c>
      <c r="AV122" s="1278">
        <v>48</v>
      </c>
      <c r="AW122" s="1279">
        <v>0.32999999999999996</v>
      </c>
    </row>
    <row r="123" spans="1:49" ht="15" customHeight="1">
      <c r="A123" s="63">
        <f t="shared" si="36"/>
        <v>120</v>
      </c>
      <c r="B123" s="63" t="s">
        <v>1308</v>
      </c>
      <c r="C123" s="63" t="s">
        <v>1889</v>
      </c>
      <c r="D123" s="1234" t="s">
        <v>1911</v>
      </c>
      <c r="E123" s="64">
        <v>1998</v>
      </c>
      <c r="F123" s="65" t="s">
        <v>144</v>
      </c>
      <c r="G123" s="389">
        <f t="shared" si="35"/>
        <v>0.7</v>
      </c>
      <c r="H123" s="389">
        <f t="shared" si="35"/>
        <v>0.62</v>
      </c>
      <c r="I123" s="389">
        <f t="shared" si="35"/>
        <v>0.52999999999999992</v>
      </c>
      <c r="J123" s="389">
        <f t="shared" si="35"/>
        <v>0.45</v>
      </c>
      <c r="K123" s="389">
        <f t="shared" si="35"/>
        <v>0.39</v>
      </c>
      <c r="L123" s="720">
        <v>0.06</v>
      </c>
      <c r="M123" s="63" t="s">
        <v>322</v>
      </c>
      <c r="N123" s="440">
        <v>4.3999999999999997E-2</v>
      </c>
      <c r="O123" s="390">
        <v>6.0000000000000001E-3</v>
      </c>
      <c r="P123" s="390">
        <v>0</v>
      </c>
      <c r="Q123" s="390">
        <v>0</v>
      </c>
      <c r="R123" s="390">
        <v>0</v>
      </c>
      <c r="S123" s="63" t="str">
        <f t="shared" si="37"/>
        <v>N</v>
      </c>
      <c r="T123" s="63"/>
      <c r="U123" s="1039"/>
      <c r="V123" s="1039"/>
      <c r="W123" s="1039"/>
      <c r="X123" s="64" t="s">
        <v>2364</v>
      </c>
      <c r="Y123" s="439"/>
      <c r="Z123" s="439"/>
      <c r="AA123" s="439"/>
      <c r="AT123" s="400" t="str">
        <f t="shared" si="33"/>
        <v>60T</v>
      </c>
      <c r="AU123" s="1277" t="s">
        <v>662</v>
      </c>
      <c r="AV123" s="1278">
        <v>60</v>
      </c>
      <c r="AW123" s="1279">
        <v>0.26999999999999996</v>
      </c>
    </row>
    <row r="124" spans="1:49" ht="15" customHeight="1">
      <c r="A124" s="63">
        <f t="shared" si="36"/>
        <v>121</v>
      </c>
      <c r="B124" s="63" t="s">
        <v>1308</v>
      </c>
      <c r="C124" s="63" t="s">
        <v>1889</v>
      </c>
      <c r="D124" s="1234" t="s">
        <v>1740</v>
      </c>
      <c r="E124" s="64">
        <v>1998</v>
      </c>
      <c r="F124" s="65" t="s">
        <v>144</v>
      </c>
      <c r="G124" s="389">
        <f t="shared" si="35"/>
        <v>0.7</v>
      </c>
      <c r="H124" s="389">
        <f t="shared" si="35"/>
        <v>0.62</v>
      </c>
      <c r="I124" s="389">
        <f t="shared" si="35"/>
        <v>0.52999999999999992</v>
      </c>
      <c r="J124" s="389">
        <f t="shared" si="35"/>
        <v>0.45</v>
      </c>
      <c r="K124" s="389">
        <f t="shared" si="35"/>
        <v>0.39</v>
      </c>
      <c r="L124" s="720">
        <v>0.06</v>
      </c>
      <c r="M124" s="63" t="s">
        <v>322</v>
      </c>
      <c r="N124" s="440">
        <v>4.3999999999999997E-2</v>
      </c>
      <c r="O124" s="390">
        <v>6.0000000000000001E-3</v>
      </c>
      <c r="P124" s="390">
        <v>0</v>
      </c>
      <c r="Q124" s="390">
        <v>0</v>
      </c>
      <c r="R124" s="390">
        <v>0</v>
      </c>
      <c r="S124" s="63" t="str">
        <f t="shared" si="37"/>
        <v>N</v>
      </c>
      <c r="T124" s="63"/>
      <c r="U124" s="1039"/>
      <c r="V124" s="1039"/>
      <c r="W124" s="1039"/>
      <c r="X124" s="64" t="s">
        <v>2364</v>
      </c>
      <c r="Y124" s="439"/>
      <c r="Z124" s="439"/>
      <c r="AA124" s="439"/>
      <c r="AT124" s="400" t="str">
        <f t="shared" si="33"/>
        <v>12U</v>
      </c>
      <c r="AU124" s="1269" t="s">
        <v>330</v>
      </c>
      <c r="AV124" s="1270">
        <v>12</v>
      </c>
      <c r="AW124" s="1271">
        <v>0.56999999999999984</v>
      </c>
    </row>
    <row r="125" spans="1:49" ht="15" customHeight="1">
      <c r="A125" s="63">
        <f t="shared" si="36"/>
        <v>122</v>
      </c>
      <c r="B125" s="63" t="s">
        <v>1308</v>
      </c>
      <c r="C125" s="63" t="s">
        <v>1889</v>
      </c>
      <c r="D125" s="63" t="s">
        <v>1741</v>
      </c>
      <c r="E125" s="64">
        <v>1998</v>
      </c>
      <c r="F125" s="65" t="s">
        <v>144</v>
      </c>
      <c r="G125" s="389">
        <f t="shared" si="35"/>
        <v>0.7</v>
      </c>
      <c r="H125" s="389">
        <f t="shared" si="35"/>
        <v>0.62</v>
      </c>
      <c r="I125" s="389">
        <f t="shared" si="35"/>
        <v>0.52999999999999992</v>
      </c>
      <c r="J125" s="389">
        <f t="shared" si="35"/>
        <v>0.45</v>
      </c>
      <c r="K125" s="389">
        <f t="shared" si="35"/>
        <v>0.39</v>
      </c>
      <c r="L125" s="720">
        <v>0.06</v>
      </c>
      <c r="M125" s="63" t="s">
        <v>3159</v>
      </c>
      <c r="N125" s="440">
        <v>4.3999999999999997E-2</v>
      </c>
      <c r="O125" s="390">
        <v>6.0000000000000001E-3</v>
      </c>
      <c r="P125" s="390">
        <v>0</v>
      </c>
      <c r="Q125" s="390">
        <v>0</v>
      </c>
      <c r="R125" s="390">
        <v>0</v>
      </c>
      <c r="S125" s="63" t="str">
        <f t="shared" si="37"/>
        <v>N</v>
      </c>
      <c r="T125" s="63"/>
      <c r="U125" s="1039"/>
      <c r="V125" s="1039"/>
      <c r="W125" s="1039"/>
      <c r="X125" s="64" t="s">
        <v>2364</v>
      </c>
      <c r="Y125" s="439"/>
      <c r="Z125" s="439"/>
      <c r="AA125" s="439"/>
      <c r="AT125" s="400" t="str">
        <f t="shared" ref="AT125:AT133" si="38">AV125&amp;AU125</f>
        <v>24U</v>
      </c>
      <c r="AU125" s="1269" t="s">
        <v>330</v>
      </c>
      <c r="AV125" s="1272">
        <v>24</v>
      </c>
      <c r="AW125" s="1273">
        <v>0.48999999999999988</v>
      </c>
    </row>
    <row r="126" spans="1:49" ht="15" customHeight="1">
      <c r="A126" s="63">
        <f t="shared" si="36"/>
        <v>123</v>
      </c>
      <c r="B126" s="63" t="s">
        <v>1308</v>
      </c>
      <c r="C126" s="63" t="s">
        <v>1889</v>
      </c>
      <c r="D126" s="1234" t="s">
        <v>2341</v>
      </c>
      <c r="E126" s="64">
        <v>1998</v>
      </c>
      <c r="F126" s="65" t="s">
        <v>144</v>
      </c>
      <c r="G126" s="389">
        <f t="shared" si="35"/>
        <v>0.71</v>
      </c>
      <c r="H126" s="389">
        <f t="shared" si="35"/>
        <v>0.63</v>
      </c>
      <c r="I126" s="389">
        <f t="shared" si="35"/>
        <v>0.53999999999999992</v>
      </c>
      <c r="J126" s="389">
        <f t="shared" si="35"/>
        <v>0.46</v>
      </c>
      <c r="K126" s="389">
        <f t="shared" si="35"/>
        <v>0.4</v>
      </c>
      <c r="L126" s="720">
        <v>0.06</v>
      </c>
      <c r="M126" s="63" t="s">
        <v>321</v>
      </c>
      <c r="N126" s="440">
        <v>4.3999999999999997E-2</v>
      </c>
      <c r="O126" s="390">
        <v>6.0000000000000001E-3</v>
      </c>
      <c r="P126" s="390">
        <v>0</v>
      </c>
      <c r="Q126" s="390">
        <v>0</v>
      </c>
      <c r="R126" s="390">
        <v>0</v>
      </c>
      <c r="S126" s="63" t="str">
        <f t="shared" si="37"/>
        <v>N</v>
      </c>
      <c r="T126" s="63"/>
      <c r="U126" s="1039"/>
      <c r="V126" s="1039"/>
      <c r="W126" s="1039"/>
      <c r="X126" s="64" t="s">
        <v>2364</v>
      </c>
      <c r="Y126" s="439"/>
      <c r="Z126" s="439"/>
      <c r="AA126" s="439"/>
      <c r="AT126" s="400" t="str">
        <f t="shared" si="38"/>
        <v>36U</v>
      </c>
      <c r="AU126" s="1269" t="s">
        <v>330</v>
      </c>
      <c r="AV126" s="1270">
        <v>36</v>
      </c>
      <c r="AW126" s="1271">
        <v>0.3999999999999998</v>
      </c>
    </row>
    <row r="127" spans="1:49" ht="15" customHeight="1">
      <c r="A127" s="63">
        <f t="shared" si="36"/>
        <v>124</v>
      </c>
      <c r="B127" s="63" t="s">
        <v>1308</v>
      </c>
      <c r="C127" s="63" t="s">
        <v>1889</v>
      </c>
      <c r="D127" s="1234" t="s">
        <v>1721</v>
      </c>
      <c r="E127" s="64">
        <v>1998</v>
      </c>
      <c r="F127" s="65" t="s">
        <v>144</v>
      </c>
      <c r="G127" s="389">
        <f t="shared" si="35"/>
        <v>0.71</v>
      </c>
      <c r="H127" s="389">
        <f t="shared" si="35"/>
        <v>0.63</v>
      </c>
      <c r="I127" s="389">
        <f t="shared" si="35"/>
        <v>0.53999999999999992</v>
      </c>
      <c r="J127" s="389">
        <f t="shared" si="35"/>
        <v>0.46</v>
      </c>
      <c r="K127" s="389">
        <f t="shared" si="35"/>
        <v>0.4</v>
      </c>
      <c r="L127" s="720">
        <v>0.06</v>
      </c>
      <c r="M127" s="63" t="s">
        <v>321</v>
      </c>
      <c r="N127" s="440">
        <v>4.3999999999999997E-2</v>
      </c>
      <c r="O127" s="390">
        <v>6.0000000000000001E-3</v>
      </c>
      <c r="P127" s="390">
        <v>0</v>
      </c>
      <c r="Q127" s="390">
        <v>0</v>
      </c>
      <c r="R127" s="390">
        <v>0</v>
      </c>
      <c r="S127" s="63" t="str">
        <f t="shared" si="37"/>
        <v>N</v>
      </c>
      <c r="T127" s="63"/>
      <c r="U127" s="1039"/>
      <c r="V127" s="1039"/>
      <c r="W127" s="1039"/>
      <c r="X127" s="64" t="s">
        <v>2364</v>
      </c>
      <c r="Y127" s="439"/>
      <c r="Z127" s="439"/>
      <c r="AA127" s="439"/>
      <c r="AT127" s="400" t="str">
        <f t="shared" si="38"/>
        <v>48U</v>
      </c>
      <c r="AU127" s="1269" t="s">
        <v>330</v>
      </c>
      <c r="AV127" s="1270">
        <v>48</v>
      </c>
      <c r="AW127" s="1271">
        <v>0.3199999999999999</v>
      </c>
    </row>
    <row r="128" spans="1:49" ht="15" customHeight="1">
      <c r="A128" s="63">
        <f t="shared" si="36"/>
        <v>125</v>
      </c>
      <c r="B128" s="63" t="s">
        <v>1308</v>
      </c>
      <c r="C128" s="63" t="s">
        <v>1889</v>
      </c>
      <c r="D128" s="1234" t="s">
        <v>2342</v>
      </c>
      <c r="E128" s="64">
        <v>1998</v>
      </c>
      <c r="F128" s="65" t="s">
        <v>144</v>
      </c>
      <c r="G128" s="389">
        <f t="shared" si="35"/>
        <v>0.65999999999999992</v>
      </c>
      <c r="H128" s="389">
        <f t="shared" si="35"/>
        <v>0.57999999999999996</v>
      </c>
      <c r="I128" s="389">
        <f t="shared" si="35"/>
        <v>0.48999999999999988</v>
      </c>
      <c r="J128" s="389">
        <f t="shared" si="35"/>
        <v>0.41</v>
      </c>
      <c r="K128" s="389">
        <f t="shared" si="35"/>
        <v>0.35</v>
      </c>
      <c r="L128" s="720">
        <v>0.06</v>
      </c>
      <c r="M128" s="63" t="s">
        <v>325</v>
      </c>
      <c r="N128" s="440">
        <v>4.3999999999999997E-2</v>
      </c>
      <c r="O128" s="390">
        <v>6.0000000000000001E-3</v>
      </c>
      <c r="P128" s="390">
        <v>0</v>
      </c>
      <c r="Q128" s="390">
        <v>0</v>
      </c>
      <c r="R128" s="390">
        <v>0</v>
      </c>
      <c r="S128" s="63" t="str">
        <f t="shared" si="37"/>
        <v>N</v>
      </c>
      <c r="T128" s="63"/>
      <c r="U128" s="1039"/>
      <c r="V128" s="1039"/>
      <c r="W128" s="1039"/>
      <c r="X128" s="64" t="s">
        <v>2364</v>
      </c>
      <c r="Y128" s="439"/>
      <c r="Z128" s="439"/>
      <c r="AA128" s="439"/>
      <c r="AT128" s="400" t="str">
        <f t="shared" si="38"/>
        <v>60U</v>
      </c>
      <c r="AU128" s="1269" t="s">
        <v>330</v>
      </c>
      <c r="AV128" s="1270">
        <v>60</v>
      </c>
      <c r="AW128" s="1271">
        <v>0.2599999999999999</v>
      </c>
    </row>
    <row r="129" spans="1:49" ht="15" customHeight="1">
      <c r="A129" s="63">
        <f t="shared" si="36"/>
        <v>126</v>
      </c>
      <c r="B129" s="63" t="s">
        <v>1308</v>
      </c>
      <c r="C129" s="63" t="s">
        <v>1889</v>
      </c>
      <c r="D129" s="1234" t="s">
        <v>1470</v>
      </c>
      <c r="E129" s="64">
        <v>2998</v>
      </c>
      <c r="F129" s="65" t="s">
        <v>144</v>
      </c>
      <c r="G129" s="389">
        <f t="shared" si="35"/>
        <v>0.65999999999999992</v>
      </c>
      <c r="H129" s="389">
        <f t="shared" si="35"/>
        <v>0.57999999999999996</v>
      </c>
      <c r="I129" s="389">
        <f t="shared" si="35"/>
        <v>0.48999999999999988</v>
      </c>
      <c r="J129" s="389">
        <f t="shared" si="35"/>
        <v>0.41</v>
      </c>
      <c r="K129" s="389">
        <f t="shared" si="35"/>
        <v>0.35</v>
      </c>
      <c r="L129" s="720">
        <v>0.06</v>
      </c>
      <c r="M129" s="63" t="s">
        <v>325</v>
      </c>
      <c r="N129" s="440">
        <v>4.3999999999999997E-2</v>
      </c>
      <c r="O129" s="390">
        <v>6.0000000000000001E-3</v>
      </c>
      <c r="P129" s="390">
        <v>0</v>
      </c>
      <c r="Q129" s="390">
        <v>0</v>
      </c>
      <c r="R129" s="390">
        <v>0</v>
      </c>
      <c r="S129" s="63" t="str">
        <f t="shared" si="37"/>
        <v>N</v>
      </c>
      <c r="T129" s="63"/>
      <c r="U129" s="1039"/>
      <c r="V129" s="1039"/>
      <c r="W129" s="1039"/>
      <c r="X129" s="64" t="s">
        <v>2364</v>
      </c>
      <c r="Y129" s="439"/>
      <c r="Z129" s="439"/>
      <c r="AA129" s="439"/>
      <c r="AT129" s="400" t="str">
        <f t="shared" si="38"/>
        <v>12X</v>
      </c>
      <c r="AU129" s="1277" t="s">
        <v>331</v>
      </c>
      <c r="AV129" s="1278">
        <v>12</v>
      </c>
      <c r="AW129" s="1279">
        <v>0.54</v>
      </c>
    </row>
    <row r="130" spans="1:49" ht="15" customHeight="1">
      <c r="A130" s="63">
        <f t="shared" si="36"/>
        <v>127</v>
      </c>
      <c r="B130" s="63" t="s">
        <v>2332</v>
      </c>
      <c r="C130" s="63" t="s">
        <v>1889</v>
      </c>
      <c r="D130" s="1234" t="s">
        <v>1912</v>
      </c>
      <c r="E130" s="64">
        <v>1995</v>
      </c>
      <c r="F130" s="65" t="s">
        <v>144</v>
      </c>
      <c r="G130" s="389">
        <f t="shared" si="35"/>
        <v>0.74</v>
      </c>
      <c r="H130" s="389">
        <f t="shared" si="35"/>
        <v>0.66</v>
      </c>
      <c r="I130" s="389">
        <f t="shared" si="35"/>
        <v>0.56999999999999995</v>
      </c>
      <c r="J130" s="389">
        <f t="shared" si="35"/>
        <v>0.49</v>
      </c>
      <c r="K130" s="389">
        <f t="shared" si="35"/>
        <v>0.43000000000000005</v>
      </c>
      <c r="L130" s="720">
        <v>0.06</v>
      </c>
      <c r="M130" s="63" t="s">
        <v>170</v>
      </c>
      <c r="N130" s="440">
        <v>4.3999999999999997E-2</v>
      </c>
      <c r="O130" s="390">
        <v>6.0000000000000001E-3</v>
      </c>
      <c r="P130" s="390">
        <v>0</v>
      </c>
      <c r="Q130" s="390">
        <v>0</v>
      </c>
      <c r="R130" s="390">
        <v>0</v>
      </c>
      <c r="S130" s="63" t="str">
        <f t="shared" si="37"/>
        <v>N</v>
      </c>
      <c r="T130" s="63"/>
      <c r="U130" s="1039"/>
      <c r="V130" s="1039"/>
      <c r="W130" s="1039"/>
      <c r="X130" s="64" t="s">
        <v>2364</v>
      </c>
      <c r="Y130" s="439"/>
      <c r="Z130" s="439"/>
      <c r="AA130" s="439"/>
      <c r="AT130" s="400" t="str">
        <f t="shared" si="38"/>
        <v>24X</v>
      </c>
      <c r="AU130" s="1277" t="s">
        <v>331</v>
      </c>
      <c r="AV130" s="1278">
        <v>24</v>
      </c>
      <c r="AW130" s="1279">
        <v>0.45999999999999996</v>
      </c>
    </row>
    <row r="131" spans="1:49" ht="15" customHeight="1">
      <c r="A131" s="63">
        <f t="shared" si="36"/>
        <v>128</v>
      </c>
      <c r="B131" s="63" t="s">
        <v>1308</v>
      </c>
      <c r="C131" s="63" t="s">
        <v>2343</v>
      </c>
      <c r="D131" s="1234" t="s">
        <v>1913</v>
      </c>
      <c r="E131" s="64">
        <v>1995</v>
      </c>
      <c r="F131" s="65" t="s">
        <v>144</v>
      </c>
      <c r="G131" s="389">
        <f t="shared" si="35"/>
        <v>0.74</v>
      </c>
      <c r="H131" s="389">
        <f t="shared" si="35"/>
        <v>0.66</v>
      </c>
      <c r="I131" s="389">
        <f t="shared" si="35"/>
        <v>0.56999999999999995</v>
      </c>
      <c r="J131" s="389">
        <f t="shared" si="35"/>
        <v>0.49</v>
      </c>
      <c r="K131" s="389">
        <f t="shared" si="35"/>
        <v>0.43000000000000005</v>
      </c>
      <c r="L131" s="720">
        <v>0.06</v>
      </c>
      <c r="M131" s="63" t="s">
        <v>170</v>
      </c>
      <c r="N131" s="440">
        <v>4.3999999999999997E-2</v>
      </c>
      <c r="O131" s="390">
        <v>6.0000000000000001E-3</v>
      </c>
      <c r="P131" s="390">
        <v>0</v>
      </c>
      <c r="Q131" s="390">
        <v>0</v>
      </c>
      <c r="R131" s="390">
        <v>0</v>
      </c>
      <c r="S131" s="63" t="str">
        <f t="shared" si="37"/>
        <v>N</v>
      </c>
      <c r="T131" s="63"/>
      <c r="U131" s="1039"/>
      <c r="V131" s="1039"/>
      <c r="W131" s="1039"/>
      <c r="X131" s="64" t="s">
        <v>2364</v>
      </c>
      <c r="Y131" s="439"/>
      <c r="Z131" s="439"/>
      <c r="AA131" s="439"/>
      <c r="AT131" s="400" t="str">
        <f t="shared" si="38"/>
        <v>36X</v>
      </c>
      <c r="AU131" s="1277" t="s">
        <v>331</v>
      </c>
      <c r="AV131" s="1278">
        <v>36</v>
      </c>
      <c r="AW131" s="1279">
        <v>0.37</v>
      </c>
    </row>
    <row r="132" spans="1:49" ht="15" customHeight="1">
      <c r="A132" s="63">
        <f t="shared" si="36"/>
        <v>129</v>
      </c>
      <c r="B132" s="63" t="s">
        <v>1308</v>
      </c>
      <c r="C132" s="63" t="s">
        <v>1889</v>
      </c>
      <c r="D132" s="1234" t="s">
        <v>2184</v>
      </c>
      <c r="E132" s="64">
        <v>1995</v>
      </c>
      <c r="F132" s="65" t="s">
        <v>144</v>
      </c>
      <c r="G132" s="389">
        <f t="shared" si="35"/>
        <v>0.74</v>
      </c>
      <c r="H132" s="389">
        <f t="shared" si="35"/>
        <v>0.66</v>
      </c>
      <c r="I132" s="389">
        <f t="shared" si="35"/>
        <v>0.56999999999999995</v>
      </c>
      <c r="J132" s="389">
        <f t="shared" si="35"/>
        <v>0.49</v>
      </c>
      <c r="K132" s="389">
        <f t="shared" si="35"/>
        <v>0.43000000000000005</v>
      </c>
      <c r="L132" s="720">
        <v>0.06</v>
      </c>
      <c r="M132" s="63" t="s">
        <v>170</v>
      </c>
      <c r="N132" s="440">
        <v>4.3999999999999997E-2</v>
      </c>
      <c r="O132" s="390">
        <v>6.0000000000000001E-3</v>
      </c>
      <c r="P132" s="390">
        <v>0</v>
      </c>
      <c r="Q132" s="390">
        <v>0</v>
      </c>
      <c r="R132" s="390">
        <v>0</v>
      </c>
      <c r="S132" s="63" t="str">
        <f t="shared" si="37"/>
        <v>N</v>
      </c>
      <c r="T132" s="63"/>
      <c r="U132" s="1039"/>
      <c r="V132" s="1039"/>
      <c r="W132" s="1039"/>
      <c r="X132" s="64" t="s">
        <v>2364</v>
      </c>
      <c r="Y132" s="439"/>
      <c r="Z132" s="439"/>
      <c r="AA132" s="439"/>
      <c r="AT132" s="400" t="str">
        <f t="shared" si="38"/>
        <v>48X</v>
      </c>
      <c r="AU132" s="1277" t="s">
        <v>331</v>
      </c>
      <c r="AV132" s="1278">
        <v>48</v>
      </c>
      <c r="AW132" s="1279">
        <v>0.28999999999999998</v>
      </c>
    </row>
    <row r="133" spans="1:49" ht="15" customHeight="1">
      <c r="A133" s="63">
        <f t="shared" si="36"/>
        <v>130</v>
      </c>
      <c r="B133" s="63" t="s">
        <v>1308</v>
      </c>
      <c r="C133" s="63" t="s">
        <v>1889</v>
      </c>
      <c r="D133" s="1234" t="s">
        <v>2185</v>
      </c>
      <c r="E133" s="64">
        <v>1995</v>
      </c>
      <c r="F133" s="65" t="s">
        <v>144</v>
      </c>
      <c r="G133" s="389">
        <f t="shared" si="35"/>
        <v>0.74</v>
      </c>
      <c r="H133" s="389">
        <f t="shared" si="35"/>
        <v>0.66</v>
      </c>
      <c r="I133" s="389">
        <f t="shared" si="35"/>
        <v>0.56999999999999995</v>
      </c>
      <c r="J133" s="389">
        <f t="shared" si="35"/>
        <v>0.49</v>
      </c>
      <c r="K133" s="389">
        <f t="shared" si="35"/>
        <v>0.43000000000000005</v>
      </c>
      <c r="L133" s="720">
        <v>0.06</v>
      </c>
      <c r="M133" s="63" t="s">
        <v>170</v>
      </c>
      <c r="N133" s="440">
        <v>4.3999999999999997E-2</v>
      </c>
      <c r="O133" s="390">
        <v>6.0000000000000001E-3</v>
      </c>
      <c r="P133" s="390">
        <v>0</v>
      </c>
      <c r="Q133" s="390">
        <v>0</v>
      </c>
      <c r="R133" s="390">
        <v>0</v>
      </c>
      <c r="S133" s="63" t="str">
        <f t="shared" si="37"/>
        <v>N</v>
      </c>
      <c r="T133" s="63"/>
      <c r="U133" s="1039"/>
      <c r="V133" s="1039"/>
      <c r="W133" s="1039"/>
      <c r="X133" s="64" t="s">
        <v>2364</v>
      </c>
      <c r="Y133" s="439"/>
      <c r="Z133" s="439"/>
      <c r="AA133" s="439"/>
      <c r="AB133" s="439"/>
      <c r="AC133" s="439"/>
      <c r="AT133" s="400" t="str">
        <f t="shared" si="38"/>
        <v>60X</v>
      </c>
      <c r="AU133" s="1277" t="s">
        <v>331</v>
      </c>
      <c r="AV133" s="1278">
        <v>60</v>
      </c>
      <c r="AW133" s="1279">
        <v>0.23</v>
      </c>
    </row>
    <row r="134" spans="1:49" ht="15" customHeight="1">
      <c r="A134" s="63">
        <f t="shared" ref="A134:A202" si="39">ROW()-3</f>
        <v>131</v>
      </c>
      <c r="B134" s="63" t="s">
        <v>1308</v>
      </c>
      <c r="C134" s="63" t="s">
        <v>1889</v>
      </c>
      <c r="D134" s="1234" t="s">
        <v>1914</v>
      </c>
      <c r="E134" s="64">
        <v>1998</v>
      </c>
      <c r="F134" s="65" t="s">
        <v>144</v>
      </c>
      <c r="G134" s="389">
        <f t="shared" si="35"/>
        <v>0.74</v>
      </c>
      <c r="H134" s="389">
        <f t="shared" si="35"/>
        <v>0.66</v>
      </c>
      <c r="I134" s="389">
        <f t="shared" si="35"/>
        <v>0.56999999999999995</v>
      </c>
      <c r="J134" s="389">
        <f t="shared" si="35"/>
        <v>0.49</v>
      </c>
      <c r="K134" s="389">
        <f t="shared" si="35"/>
        <v>0.43000000000000005</v>
      </c>
      <c r="L134" s="720">
        <v>0.06</v>
      </c>
      <c r="M134" s="63" t="s">
        <v>170</v>
      </c>
      <c r="N134" s="440">
        <v>4.3999999999999997E-2</v>
      </c>
      <c r="O134" s="390">
        <v>6.0000000000000001E-3</v>
      </c>
      <c r="P134" s="390">
        <v>0</v>
      </c>
      <c r="Q134" s="390">
        <v>0</v>
      </c>
      <c r="R134" s="390">
        <v>0</v>
      </c>
      <c r="S134" s="63" t="str">
        <f t="shared" si="37"/>
        <v>N</v>
      </c>
      <c r="T134" s="63"/>
      <c r="U134" s="1039"/>
      <c r="V134" s="1039"/>
      <c r="W134" s="1039"/>
      <c r="X134" s="64" t="s">
        <v>2364</v>
      </c>
      <c r="Y134" s="439"/>
      <c r="Z134" s="439"/>
      <c r="AA134" s="439"/>
      <c r="AB134" s="439"/>
      <c r="AC134" s="439"/>
      <c r="AT134" s="400" t="str">
        <f t="shared" ref="AT134:AT138" si="40">AV134&amp;AU134</f>
        <v>12Z</v>
      </c>
      <c r="AU134" s="1269" t="s">
        <v>669</v>
      </c>
      <c r="AV134" s="1270">
        <v>12</v>
      </c>
      <c r="AW134" s="1271">
        <v>0.5199999999999998</v>
      </c>
    </row>
    <row r="135" spans="1:49" ht="15" customHeight="1">
      <c r="A135" s="63">
        <f t="shared" si="39"/>
        <v>132</v>
      </c>
      <c r="B135" s="63" t="s">
        <v>1308</v>
      </c>
      <c r="C135" s="63" t="s">
        <v>1889</v>
      </c>
      <c r="D135" s="1234" t="s">
        <v>1915</v>
      </c>
      <c r="E135" s="64">
        <v>1998</v>
      </c>
      <c r="F135" s="65" t="s">
        <v>144</v>
      </c>
      <c r="G135" s="389">
        <f t="shared" si="35"/>
        <v>0.74</v>
      </c>
      <c r="H135" s="389">
        <f t="shared" si="35"/>
        <v>0.66</v>
      </c>
      <c r="I135" s="389">
        <f t="shared" si="35"/>
        <v>0.56999999999999995</v>
      </c>
      <c r="J135" s="389">
        <f t="shared" si="35"/>
        <v>0.49</v>
      </c>
      <c r="K135" s="389">
        <f t="shared" si="35"/>
        <v>0.43000000000000005</v>
      </c>
      <c r="L135" s="720">
        <v>0.06</v>
      </c>
      <c r="M135" s="63" t="s">
        <v>170</v>
      </c>
      <c r="N135" s="440">
        <v>4.3999999999999997E-2</v>
      </c>
      <c r="O135" s="390">
        <v>6.0000000000000001E-3</v>
      </c>
      <c r="P135" s="390">
        <v>0</v>
      </c>
      <c r="Q135" s="390">
        <v>0</v>
      </c>
      <c r="R135" s="390">
        <v>0</v>
      </c>
      <c r="S135" s="63" t="str">
        <f t="shared" si="37"/>
        <v>N</v>
      </c>
      <c r="T135" s="63"/>
      <c r="U135" s="1039"/>
      <c r="V135" s="1039"/>
      <c r="W135" s="1039"/>
      <c r="X135" s="64" t="s">
        <v>2364</v>
      </c>
      <c r="Y135" s="439"/>
      <c r="Z135" s="439"/>
      <c r="AA135" s="439"/>
      <c r="AB135" s="439"/>
      <c r="AC135" s="439"/>
      <c r="AT135" s="400" t="str">
        <f t="shared" si="40"/>
        <v>24Z</v>
      </c>
      <c r="AU135" s="1269" t="s">
        <v>669</v>
      </c>
      <c r="AV135" s="1272">
        <v>24</v>
      </c>
      <c r="AW135" s="1273">
        <v>0.43999999999999984</v>
      </c>
    </row>
    <row r="136" spans="1:49" ht="15" customHeight="1">
      <c r="A136" s="63">
        <f t="shared" si="39"/>
        <v>133</v>
      </c>
      <c r="B136" s="63" t="s">
        <v>1308</v>
      </c>
      <c r="C136" s="63" t="s">
        <v>2343</v>
      </c>
      <c r="D136" s="1234" t="s">
        <v>1916</v>
      </c>
      <c r="E136" s="64">
        <v>1998</v>
      </c>
      <c r="F136" s="65" t="s">
        <v>144</v>
      </c>
      <c r="G136" s="389">
        <f t="shared" si="35"/>
        <v>0.7</v>
      </c>
      <c r="H136" s="389">
        <f t="shared" si="35"/>
        <v>0.62</v>
      </c>
      <c r="I136" s="389">
        <f t="shared" si="35"/>
        <v>0.52999999999999992</v>
      </c>
      <c r="J136" s="389">
        <f t="shared" si="35"/>
        <v>0.45</v>
      </c>
      <c r="K136" s="389">
        <f t="shared" si="35"/>
        <v>0.39</v>
      </c>
      <c r="L136" s="720">
        <v>0.06</v>
      </c>
      <c r="M136" s="63" t="s">
        <v>322</v>
      </c>
      <c r="N136" s="440">
        <v>4.3999999999999997E-2</v>
      </c>
      <c r="O136" s="390">
        <v>6.0000000000000001E-3</v>
      </c>
      <c r="P136" s="390">
        <v>0</v>
      </c>
      <c r="Q136" s="390">
        <v>0</v>
      </c>
      <c r="R136" s="390">
        <v>0</v>
      </c>
      <c r="S136" s="63" t="str">
        <f t="shared" si="37"/>
        <v>N</v>
      </c>
      <c r="T136" s="63"/>
      <c r="U136" s="1039"/>
      <c r="V136" s="1039"/>
      <c r="W136" s="1039"/>
      <c r="X136" s="64" t="s">
        <v>2364</v>
      </c>
      <c r="AT136" s="400" t="str">
        <f t="shared" si="40"/>
        <v>36Z</v>
      </c>
      <c r="AU136" s="1269" t="s">
        <v>669</v>
      </c>
      <c r="AV136" s="1270">
        <v>36</v>
      </c>
      <c r="AW136" s="1271">
        <v>0.34999999999999976</v>
      </c>
    </row>
    <row r="137" spans="1:49" ht="15" customHeight="1">
      <c r="A137" s="63">
        <f t="shared" si="39"/>
        <v>134</v>
      </c>
      <c r="B137" s="63" t="s">
        <v>1308</v>
      </c>
      <c r="C137" s="63" t="s">
        <v>1889</v>
      </c>
      <c r="D137" s="1234" t="s">
        <v>1892</v>
      </c>
      <c r="E137" s="64">
        <v>1998</v>
      </c>
      <c r="F137" s="65" t="s">
        <v>144</v>
      </c>
      <c r="G137" s="389">
        <f t="shared" si="35"/>
        <v>0.7</v>
      </c>
      <c r="H137" s="389">
        <f t="shared" si="35"/>
        <v>0.62</v>
      </c>
      <c r="I137" s="389">
        <f t="shared" si="35"/>
        <v>0.52999999999999992</v>
      </c>
      <c r="J137" s="389">
        <f t="shared" si="35"/>
        <v>0.45</v>
      </c>
      <c r="K137" s="389">
        <f t="shared" si="35"/>
        <v>0.39</v>
      </c>
      <c r="L137" s="720">
        <v>0.06</v>
      </c>
      <c r="M137" s="63" t="s">
        <v>322</v>
      </c>
      <c r="N137" s="440">
        <v>4.3999999999999997E-2</v>
      </c>
      <c r="O137" s="390">
        <v>6.0000000000000001E-3</v>
      </c>
      <c r="P137" s="390">
        <v>0</v>
      </c>
      <c r="Q137" s="390">
        <v>0</v>
      </c>
      <c r="R137" s="390">
        <v>0</v>
      </c>
      <c r="S137" s="63" t="str">
        <f t="shared" si="37"/>
        <v>N</v>
      </c>
      <c r="T137" s="63"/>
      <c r="U137" s="1039"/>
      <c r="V137" s="1039"/>
      <c r="W137" s="1039"/>
      <c r="X137" s="64" t="s">
        <v>2364</v>
      </c>
      <c r="AT137" s="400" t="str">
        <f t="shared" si="40"/>
        <v>48Z</v>
      </c>
      <c r="AU137" s="1269" t="s">
        <v>669</v>
      </c>
      <c r="AV137" s="1270">
        <v>48</v>
      </c>
      <c r="AW137" s="1271">
        <v>0.26999999999999985</v>
      </c>
    </row>
    <row r="138" spans="1:49" ht="15" customHeight="1">
      <c r="A138" s="63">
        <f t="shared" si="39"/>
        <v>135</v>
      </c>
      <c r="B138" s="63" t="s">
        <v>1308</v>
      </c>
      <c r="C138" s="63" t="s">
        <v>1889</v>
      </c>
      <c r="D138" s="63" t="s">
        <v>2344</v>
      </c>
      <c r="E138" s="64">
        <v>1998</v>
      </c>
      <c r="F138" s="65" t="s">
        <v>144</v>
      </c>
      <c r="G138" s="389">
        <f t="shared" si="35"/>
        <v>0.7</v>
      </c>
      <c r="H138" s="389">
        <f t="shared" si="35"/>
        <v>0.62</v>
      </c>
      <c r="I138" s="389">
        <f t="shared" si="35"/>
        <v>0.52999999999999992</v>
      </c>
      <c r="J138" s="389">
        <f t="shared" si="35"/>
        <v>0.45</v>
      </c>
      <c r="K138" s="389">
        <f t="shared" si="35"/>
        <v>0.39</v>
      </c>
      <c r="L138" s="720">
        <v>0.06</v>
      </c>
      <c r="M138" s="63" t="s">
        <v>322</v>
      </c>
      <c r="N138" s="440">
        <v>4.3999999999999997E-2</v>
      </c>
      <c r="O138" s="390">
        <v>6.0000000000000001E-3</v>
      </c>
      <c r="P138" s="390">
        <v>0</v>
      </c>
      <c r="Q138" s="390">
        <v>0</v>
      </c>
      <c r="R138" s="390">
        <v>0</v>
      </c>
      <c r="S138" s="63" t="str">
        <f t="shared" si="37"/>
        <v>N</v>
      </c>
      <c r="T138" s="63"/>
      <c r="U138" s="1039"/>
      <c r="V138" s="1039"/>
      <c r="W138" s="1039"/>
      <c r="X138" s="64" t="s">
        <v>2364</v>
      </c>
      <c r="AT138" s="400" t="str">
        <f t="shared" si="40"/>
        <v>60Z</v>
      </c>
      <c r="AU138" s="1269" t="s">
        <v>669</v>
      </c>
      <c r="AV138" s="1270">
        <v>60</v>
      </c>
      <c r="AW138" s="1271">
        <v>0.20999999999999988</v>
      </c>
    </row>
    <row r="139" spans="1:49" ht="15" customHeight="1">
      <c r="A139" s="63">
        <f t="shared" si="39"/>
        <v>136</v>
      </c>
      <c r="B139" s="63" t="s">
        <v>1308</v>
      </c>
      <c r="C139" s="63" t="s">
        <v>1889</v>
      </c>
      <c r="D139" s="1234" t="s">
        <v>1722</v>
      </c>
      <c r="E139" s="64">
        <v>1995</v>
      </c>
      <c r="F139" s="65" t="s">
        <v>144</v>
      </c>
      <c r="G139" s="389">
        <f t="shared" si="35"/>
        <v>0.7</v>
      </c>
      <c r="H139" s="389">
        <f t="shared" si="35"/>
        <v>0.62</v>
      </c>
      <c r="I139" s="389">
        <f t="shared" si="35"/>
        <v>0.52999999999999992</v>
      </c>
      <c r="J139" s="389">
        <f t="shared" si="35"/>
        <v>0.45</v>
      </c>
      <c r="K139" s="389">
        <f t="shared" si="35"/>
        <v>0.39</v>
      </c>
      <c r="L139" s="720">
        <v>0.06</v>
      </c>
      <c r="M139" s="63" t="s">
        <v>322</v>
      </c>
      <c r="N139" s="440">
        <v>4.3999999999999997E-2</v>
      </c>
      <c r="O139" s="390">
        <v>6.0000000000000001E-3</v>
      </c>
      <c r="P139" s="390">
        <v>0</v>
      </c>
      <c r="Q139" s="390">
        <v>0</v>
      </c>
      <c r="R139" s="390">
        <v>0</v>
      </c>
      <c r="S139" s="63" t="str">
        <f t="shared" si="37"/>
        <v>N</v>
      </c>
      <c r="T139" s="63"/>
      <c r="U139" s="1039"/>
      <c r="V139" s="1039"/>
      <c r="W139" s="1039"/>
      <c r="X139" s="64" t="s">
        <v>2364</v>
      </c>
      <c r="AT139" s="400"/>
      <c r="AU139" s="435"/>
      <c r="AV139" s="435"/>
      <c r="AW139" s="436"/>
    </row>
    <row r="140" spans="1:49" ht="15" customHeight="1">
      <c r="A140" s="63">
        <f t="shared" si="39"/>
        <v>137</v>
      </c>
      <c r="B140" s="63" t="s">
        <v>1308</v>
      </c>
      <c r="C140" s="63" t="s">
        <v>1889</v>
      </c>
      <c r="D140" s="1234" t="s">
        <v>1917</v>
      </c>
      <c r="E140" s="64">
        <v>1995</v>
      </c>
      <c r="F140" s="65" t="s">
        <v>144</v>
      </c>
      <c r="G140" s="389">
        <f t="shared" si="35"/>
        <v>0.7</v>
      </c>
      <c r="H140" s="389">
        <f t="shared" si="35"/>
        <v>0.62</v>
      </c>
      <c r="I140" s="389">
        <f t="shared" si="35"/>
        <v>0.52999999999999992</v>
      </c>
      <c r="J140" s="389">
        <f t="shared" si="35"/>
        <v>0.45</v>
      </c>
      <c r="K140" s="389">
        <f t="shared" si="35"/>
        <v>0.39</v>
      </c>
      <c r="L140" s="720">
        <v>0.06</v>
      </c>
      <c r="M140" s="63" t="s">
        <v>322</v>
      </c>
      <c r="N140" s="440">
        <v>4.3999999999999997E-2</v>
      </c>
      <c r="O140" s="390">
        <v>6.0000000000000001E-3</v>
      </c>
      <c r="P140" s="390">
        <v>0</v>
      </c>
      <c r="Q140" s="390">
        <v>0</v>
      </c>
      <c r="R140" s="390">
        <v>0</v>
      </c>
      <c r="S140" s="63" t="str">
        <f t="shared" si="37"/>
        <v>N</v>
      </c>
      <c r="T140" s="63"/>
      <c r="U140" s="1039"/>
      <c r="V140" s="1039"/>
      <c r="W140" s="1039"/>
      <c r="X140" s="64" t="s">
        <v>2364</v>
      </c>
      <c r="AT140" s="400"/>
      <c r="AU140" s="435"/>
      <c r="AV140" s="435"/>
      <c r="AW140" s="436"/>
    </row>
    <row r="141" spans="1:49" ht="15" customHeight="1">
      <c r="A141" s="63">
        <f t="shared" si="39"/>
        <v>138</v>
      </c>
      <c r="B141" s="63" t="s">
        <v>1308</v>
      </c>
      <c r="C141" s="63" t="s">
        <v>1889</v>
      </c>
      <c r="D141" s="1234" t="s">
        <v>2345</v>
      </c>
      <c r="E141" s="64">
        <v>2998</v>
      </c>
      <c r="F141" s="65" t="s">
        <v>1891</v>
      </c>
      <c r="G141" s="389">
        <f t="shared" si="35"/>
        <v>0.66999999999999993</v>
      </c>
      <c r="H141" s="389">
        <f t="shared" si="35"/>
        <v>0.59</v>
      </c>
      <c r="I141" s="389">
        <f t="shared" si="35"/>
        <v>0.49999999999999989</v>
      </c>
      <c r="J141" s="389">
        <f t="shared" si="35"/>
        <v>0.42</v>
      </c>
      <c r="K141" s="389">
        <f t="shared" si="35"/>
        <v>0.36</v>
      </c>
      <c r="L141" s="720">
        <v>0.06</v>
      </c>
      <c r="M141" s="63" t="s">
        <v>660</v>
      </c>
      <c r="N141" s="440">
        <v>4.3999999999999997E-2</v>
      </c>
      <c r="O141" s="390">
        <v>6.0000000000000001E-3</v>
      </c>
      <c r="P141" s="390">
        <v>0</v>
      </c>
      <c r="Q141" s="390">
        <v>0</v>
      </c>
      <c r="R141" s="390">
        <v>0</v>
      </c>
      <c r="S141" s="63" t="str">
        <f t="shared" si="37"/>
        <v>N</v>
      </c>
      <c r="T141" s="63"/>
      <c r="U141" s="1039"/>
      <c r="V141" s="1039"/>
      <c r="W141" s="1039"/>
      <c r="X141" s="64" t="s">
        <v>2364</v>
      </c>
      <c r="AT141" s="400"/>
      <c r="AU141" s="435"/>
      <c r="AV141" s="435"/>
      <c r="AW141" s="436"/>
    </row>
    <row r="142" spans="1:49" ht="15" customHeight="1">
      <c r="A142" s="63">
        <f t="shared" si="39"/>
        <v>139</v>
      </c>
      <c r="B142" s="63" t="s">
        <v>1306</v>
      </c>
      <c r="C142" s="63" t="s">
        <v>1307</v>
      </c>
      <c r="D142" s="1234" t="s">
        <v>2549</v>
      </c>
      <c r="E142" s="64">
        <v>2998</v>
      </c>
      <c r="F142" s="65" t="s">
        <v>619</v>
      </c>
      <c r="G142" s="389">
        <f t="shared" si="35"/>
        <v>0.65999999999999992</v>
      </c>
      <c r="H142" s="389">
        <f t="shared" si="35"/>
        <v>0.57999999999999996</v>
      </c>
      <c r="I142" s="389">
        <f t="shared" si="35"/>
        <v>0.48999999999999988</v>
      </c>
      <c r="J142" s="389">
        <f t="shared" si="35"/>
        <v>0.41</v>
      </c>
      <c r="K142" s="389">
        <f t="shared" si="35"/>
        <v>0.35</v>
      </c>
      <c r="L142" s="720">
        <v>0.06</v>
      </c>
      <c r="M142" s="63" t="s">
        <v>325</v>
      </c>
      <c r="N142" s="440">
        <v>4.3999999999999997E-2</v>
      </c>
      <c r="O142" s="390">
        <v>6.0000000000000001E-3</v>
      </c>
      <c r="P142" s="390">
        <v>0</v>
      </c>
      <c r="Q142" s="390">
        <v>0</v>
      </c>
      <c r="R142" s="390">
        <v>0</v>
      </c>
      <c r="S142" s="63" t="str">
        <f t="shared" ref="S142" si="41">+IF(LEFT(D142,1)="E","Y",IF(LEFT(D142,1)="S","Y",IF(LEFT(D142,1)="X","Y","N")))</f>
        <v>N</v>
      </c>
      <c r="T142" s="63"/>
      <c r="U142" s="1039"/>
      <c r="V142" s="1039"/>
      <c r="W142" s="1039"/>
      <c r="X142" s="64" t="s">
        <v>2364</v>
      </c>
      <c r="AT142" s="400"/>
      <c r="AU142" s="435"/>
      <c r="AV142" s="435"/>
      <c r="AW142" s="436"/>
    </row>
    <row r="143" spans="1:49" ht="15" customHeight="1">
      <c r="A143" s="63">
        <f t="shared" si="39"/>
        <v>140</v>
      </c>
      <c r="B143" s="63" t="s">
        <v>1308</v>
      </c>
      <c r="C143" s="63" t="s">
        <v>1889</v>
      </c>
      <c r="D143" s="1234" t="s">
        <v>2186</v>
      </c>
      <c r="E143" s="64">
        <v>1998</v>
      </c>
      <c r="F143" s="65" t="s">
        <v>144</v>
      </c>
      <c r="G143" s="389">
        <f t="shared" si="35"/>
        <v>0.74</v>
      </c>
      <c r="H143" s="389">
        <f t="shared" si="35"/>
        <v>0.66</v>
      </c>
      <c r="I143" s="389">
        <f t="shared" si="35"/>
        <v>0.56999999999999995</v>
      </c>
      <c r="J143" s="389">
        <f t="shared" si="35"/>
        <v>0.49</v>
      </c>
      <c r="K143" s="389">
        <f t="shared" si="35"/>
        <v>0.43000000000000005</v>
      </c>
      <c r="L143" s="720">
        <v>0.06</v>
      </c>
      <c r="M143" s="63" t="s">
        <v>170</v>
      </c>
      <c r="N143" s="440">
        <v>4.3999999999999997E-2</v>
      </c>
      <c r="O143" s="390">
        <v>6.0000000000000001E-3</v>
      </c>
      <c r="P143" s="390">
        <v>0</v>
      </c>
      <c r="Q143" s="390">
        <v>0</v>
      </c>
      <c r="R143" s="390">
        <v>0</v>
      </c>
      <c r="S143" s="63" t="str">
        <f t="shared" si="37"/>
        <v>N</v>
      </c>
      <c r="T143" s="63"/>
      <c r="U143" s="1039"/>
      <c r="V143" s="1039"/>
      <c r="W143" s="1039"/>
      <c r="X143" s="64" t="s">
        <v>2364</v>
      </c>
      <c r="AT143" s="400"/>
      <c r="AU143" s="435"/>
      <c r="AV143" s="435"/>
      <c r="AW143" s="436"/>
    </row>
    <row r="144" spans="1:49" ht="15" customHeight="1">
      <c r="A144" s="63">
        <f t="shared" si="39"/>
        <v>141</v>
      </c>
      <c r="B144" s="63" t="s">
        <v>1308</v>
      </c>
      <c r="C144" s="63" t="s">
        <v>1889</v>
      </c>
      <c r="D144" s="1234" t="s">
        <v>2187</v>
      </c>
      <c r="E144" s="64">
        <v>1998</v>
      </c>
      <c r="F144" s="65" t="s">
        <v>144</v>
      </c>
      <c r="G144" s="389">
        <f t="shared" si="35"/>
        <v>0.74</v>
      </c>
      <c r="H144" s="389">
        <f t="shared" si="35"/>
        <v>0.66</v>
      </c>
      <c r="I144" s="389">
        <f t="shared" si="35"/>
        <v>0.56999999999999995</v>
      </c>
      <c r="J144" s="389">
        <f t="shared" si="35"/>
        <v>0.49</v>
      </c>
      <c r="K144" s="389">
        <f t="shared" si="35"/>
        <v>0.43000000000000005</v>
      </c>
      <c r="L144" s="720">
        <v>0.06</v>
      </c>
      <c r="M144" s="63" t="s">
        <v>170</v>
      </c>
      <c r="N144" s="440">
        <v>4.3999999999999997E-2</v>
      </c>
      <c r="O144" s="390">
        <v>6.0000000000000001E-3</v>
      </c>
      <c r="P144" s="390">
        <v>0</v>
      </c>
      <c r="Q144" s="390">
        <v>0</v>
      </c>
      <c r="R144" s="390">
        <v>0</v>
      </c>
      <c r="S144" s="63" t="str">
        <f t="shared" si="37"/>
        <v>N</v>
      </c>
      <c r="T144" s="63"/>
      <c r="U144" s="1039"/>
      <c r="V144" s="1039"/>
      <c r="W144" s="1039"/>
      <c r="X144" s="64" t="s">
        <v>2364</v>
      </c>
      <c r="AT144" s="400"/>
      <c r="AU144" s="435"/>
      <c r="AV144" s="435"/>
      <c r="AW144" s="436"/>
    </row>
    <row r="145" spans="1:49" ht="15" customHeight="1">
      <c r="A145" s="63">
        <f t="shared" si="39"/>
        <v>142</v>
      </c>
      <c r="B145" s="63" t="s">
        <v>1308</v>
      </c>
      <c r="C145" s="63" t="s">
        <v>1889</v>
      </c>
      <c r="D145" s="1234" t="s">
        <v>2188</v>
      </c>
      <c r="E145" s="64">
        <v>1998</v>
      </c>
      <c r="F145" s="65" t="s">
        <v>144</v>
      </c>
      <c r="G145" s="389">
        <f t="shared" si="35"/>
        <v>0.74</v>
      </c>
      <c r="H145" s="389">
        <f t="shared" si="35"/>
        <v>0.66</v>
      </c>
      <c r="I145" s="389">
        <f t="shared" si="35"/>
        <v>0.56999999999999995</v>
      </c>
      <c r="J145" s="389">
        <f t="shared" si="35"/>
        <v>0.49</v>
      </c>
      <c r="K145" s="389">
        <f t="shared" si="35"/>
        <v>0.43000000000000005</v>
      </c>
      <c r="L145" s="720">
        <v>0.06</v>
      </c>
      <c r="M145" s="63" t="s">
        <v>170</v>
      </c>
      <c r="N145" s="440">
        <v>4.3999999999999997E-2</v>
      </c>
      <c r="O145" s="390">
        <v>6.0000000000000001E-3</v>
      </c>
      <c r="P145" s="390">
        <v>0</v>
      </c>
      <c r="Q145" s="390">
        <v>0</v>
      </c>
      <c r="R145" s="390">
        <v>0</v>
      </c>
      <c r="S145" s="63" t="str">
        <f t="shared" si="37"/>
        <v>N</v>
      </c>
      <c r="T145" s="63"/>
      <c r="U145" s="1039"/>
      <c r="V145" s="1039"/>
      <c r="W145" s="1039"/>
      <c r="X145" s="64" t="s">
        <v>2364</v>
      </c>
      <c r="AT145" s="400"/>
      <c r="AU145" s="435"/>
      <c r="AV145" s="435"/>
      <c r="AW145" s="436"/>
    </row>
    <row r="146" spans="1:49" ht="15" customHeight="1">
      <c r="A146" s="63">
        <f t="shared" si="39"/>
        <v>143</v>
      </c>
      <c r="B146" s="63" t="s">
        <v>1308</v>
      </c>
      <c r="C146" s="63" t="s">
        <v>1889</v>
      </c>
      <c r="D146" s="63" t="s">
        <v>2189</v>
      </c>
      <c r="E146" s="64">
        <v>1998</v>
      </c>
      <c r="F146" s="65" t="s">
        <v>144</v>
      </c>
      <c r="G146" s="389">
        <f t="shared" si="35"/>
        <v>0.74</v>
      </c>
      <c r="H146" s="389">
        <f t="shared" si="35"/>
        <v>0.66</v>
      </c>
      <c r="I146" s="389">
        <f t="shared" si="35"/>
        <v>0.56999999999999995</v>
      </c>
      <c r="J146" s="389">
        <f t="shared" si="35"/>
        <v>0.49</v>
      </c>
      <c r="K146" s="389">
        <f t="shared" si="35"/>
        <v>0.43000000000000005</v>
      </c>
      <c r="L146" s="720">
        <v>0.06</v>
      </c>
      <c r="M146" s="63" t="s">
        <v>170</v>
      </c>
      <c r="N146" s="440">
        <v>4.3999999999999997E-2</v>
      </c>
      <c r="O146" s="390">
        <v>6.0000000000000001E-3</v>
      </c>
      <c r="P146" s="390">
        <v>0</v>
      </c>
      <c r="Q146" s="390">
        <v>0</v>
      </c>
      <c r="R146" s="390">
        <v>0</v>
      </c>
      <c r="S146" s="63" t="str">
        <f t="shared" si="37"/>
        <v>N</v>
      </c>
      <c r="T146" s="63"/>
      <c r="U146" s="1039"/>
      <c r="V146" s="1039"/>
      <c r="W146" s="1039"/>
      <c r="X146" s="64" t="s">
        <v>2364</v>
      </c>
      <c r="AT146" s="400"/>
      <c r="AU146" s="435"/>
      <c r="AV146" s="435"/>
      <c r="AW146" s="436"/>
    </row>
    <row r="147" spans="1:49" ht="15" customHeight="1">
      <c r="A147" s="63">
        <f t="shared" si="39"/>
        <v>144</v>
      </c>
      <c r="B147" s="63" t="s">
        <v>1308</v>
      </c>
      <c r="C147" s="63" t="s">
        <v>1889</v>
      </c>
      <c r="D147" s="1234" t="s">
        <v>2190</v>
      </c>
      <c r="E147" s="64">
        <v>1995</v>
      </c>
      <c r="F147" s="65" t="s">
        <v>144</v>
      </c>
      <c r="G147" s="389">
        <f t="shared" si="35"/>
        <v>0.74</v>
      </c>
      <c r="H147" s="389">
        <f t="shared" si="35"/>
        <v>0.66</v>
      </c>
      <c r="I147" s="389">
        <f t="shared" si="35"/>
        <v>0.56999999999999995</v>
      </c>
      <c r="J147" s="389">
        <f t="shared" si="35"/>
        <v>0.49</v>
      </c>
      <c r="K147" s="389">
        <f t="shared" si="35"/>
        <v>0.43000000000000005</v>
      </c>
      <c r="L147" s="720">
        <v>0.06</v>
      </c>
      <c r="M147" s="63" t="s">
        <v>170</v>
      </c>
      <c r="N147" s="440">
        <v>4.3999999999999997E-2</v>
      </c>
      <c r="O147" s="390">
        <v>6.0000000000000001E-3</v>
      </c>
      <c r="P147" s="390">
        <v>0</v>
      </c>
      <c r="Q147" s="390">
        <v>0</v>
      </c>
      <c r="R147" s="390">
        <v>0</v>
      </c>
      <c r="S147" s="63" t="str">
        <f t="shared" si="37"/>
        <v>N</v>
      </c>
      <c r="T147" s="63"/>
      <c r="U147" s="1039"/>
      <c r="V147" s="1039"/>
      <c r="W147" s="1039"/>
      <c r="X147" s="64" t="s">
        <v>2364</v>
      </c>
      <c r="AT147" s="400"/>
      <c r="AU147" s="435"/>
      <c r="AV147" s="435"/>
      <c r="AW147" s="436"/>
    </row>
    <row r="148" spans="1:49" ht="15" customHeight="1">
      <c r="A148" s="63">
        <f t="shared" si="39"/>
        <v>145</v>
      </c>
      <c r="B148" s="63" t="s">
        <v>1308</v>
      </c>
      <c r="C148" s="63" t="s">
        <v>1889</v>
      </c>
      <c r="D148" s="1234" t="s">
        <v>2191</v>
      </c>
      <c r="E148" s="64">
        <v>2998</v>
      </c>
      <c r="F148" s="65" t="s">
        <v>144</v>
      </c>
      <c r="G148" s="389">
        <f t="shared" si="35"/>
        <v>0.65999999999999992</v>
      </c>
      <c r="H148" s="389">
        <f t="shared" si="35"/>
        <v>0.57999999999999996</v>
      </c>
      <c r="I148" s="389">
        <f t="shared" si="35"/>
        <v>0.48999999999999988</v>
      </c>
      <c r="J148" s="389">
        <f t="shared" si="35"/>
        <v>0.41</v>
      </c>
      <c r="K148" s="389">
        <f t="shared" si="35"/>
        <v>0.35</v>
      </c>
      <c r="L148" s="720">
        <v>0.06</v>
      </c>
      <c r="M148" s="63" t="s">
        <v>325</v>
      </c>
      <c r="N148" s="440">
        <v>4.3999999999999997E-2</v>
      </c>
      <c r="O148" s="390">
        <v>6.0000000000000001E-3</v>
      </c>
      <c r="P148" s="390">
        <v>0</v>
      </c>
      <c r="Q148" s="390">
        <v>0</v>
      </c>
      <c r="R148" s="390">
        <v>0</v>
      </c>
      <c r="S148" s="63" t="str">
        <f t="shared" si="37"/>
        <v>N</v>
      </c>
      <c r="T148" s="63"/>
      <c r="U148" s="1039"/>
      <c r="V148" s="1039"/>
      <c r="W148" s="1039"/>
      <c r="X148" s="64" t="s">
        <v>2364</v>
      </c>
      <c r="AT148" s="400"/>
      <c r="AU148" s="435"/>
      <c r="AV148" s="435"/>
      <c r="AW148" s="436"/>
    </row>
    <row r="149" spans="1:49" ht="15" customHeight="1">
      <c r="A149" s="63">
        <f t="shared" si="39"/>
        <v>146</v>
      </c>
      <c r="B149" s="63" t="s">
        <v>2332</v>
      </c>
      <c r="C149" s="63" t="s">
        <v>1889</v>
      </c>
      <c r="D149" s="1234" t="s">
        <v>2192</v>
      </c>
      <c r="E149" s="64">
        <v>2998</v>
      </c>
      <c r="F149" s="65" t="s">
        <v>144</v>
      </c>
      <c r="G149" s="389">
        <f t="shared" si="35"/>
        <v>0.65999999999999992</v>
      </c>
      <c r="H149" s="389">
        <f t="shared" si="35"/>
        <v>0.57999999999999996</v>
      </c>
      <c r="I149" s="389">
        <f t="shared" si="35"/>
        <v>0.48999999999999988</v>
      </c>
      <c r="J149" s="389">
        <f t="shared" si="35"/>
        <v>0.41</v>
      </c>
      <c r="K149" s="389">
        <f t="shared" si="35"/>
        <v>0.35</v>
      </c>
      <c r="L149" s="720">
        <v>0.06</v>
      </c>
      <c r="M149" s="63" t="s">
        <v>325</v>
      </c>
      <c r="N149" s="440">
        <v>4.3999999999999997E-2</v>
      </c>
      <c r="O149" s="390">
        <v>6.0000000000000001E-3</v>
      </c>
      <c r="P149" s="390">
        <v>0</v>
      </c>
      <c r="Q149" s="390">
        <v>0</v>
      </c>
      <c r="R149" s="390">
        <v>0</v>
      </c>
      <c r="S149" s="63" t="str">
        <f t="shared" si="37"/>
        <v>N</v>
      </c>
      <c r="T149" s="63"/>
      <c r="U149" s="1039"/>
      <c r="V149" s="1039"/>
      <c r="W149" s="1039"/>
      <c r="X149" s="64" t="s">
        <v>2364</v>
      </c>
    </row>
    <row r="150" spans="1:49" ht="15" customHeight="1">
      <c r="A150" s="63">
        <f t="shared" si="39"/>
        <v>147</v>
      </c>
      <c r="B150" s="63" t="s">
        <v>1308</v>
      </c>
      <c r="C150" s="63" t="s">
        <v>1307</v>
      </c>
      <c r="D150" s="1234" t="s">
        <v>1918</v>
      </c>
      <c r="E150" s="64">
        <v>1995</v>
      </c>
      <c r="F150" s="65" t="s">
        <v>144</v>
      </c>
      <c r="G150" s="389">
        <f t="shared" si="35"/>
        <v>0.78500000000000003</v>
      </c>
      <c r="H150" s="389">
        <f t="shared" si="35"/>
        <v>0.70499999999999996</v>
      </c>
      <c r="I150" s="389">
        <f t="shared" si="35"/>
        <v>0.61499999999999999</v>
      </c>
      <c r="J150" s="389">
        <f t="shared" si="35"/>
        <v>0.53500000000000003</v>
      </c>
      <c r="K150" s="389">
        <f t="shared" si="35"/>
        <v>0.47499999999999998</v>
      </c>
      <c r="L150" s="720">
        <v>0.06</v>
      </c>
      <c r="M150" s="63" t="s">
        <v>3153</v>
      </c>
      <c r="N150" s="440">
        <v>4.3999999999999997E-2</v>
      </c>
      <c r="O150" s="390">
        <v>6.0000000000000001E-3</v>
      </c>
      <c r="P150" s="390">
        <v>0</v>
      </c>
      <c r="Q150" s="390">
        <v>0</v>
      </c>
      <c r="R150" s="390">
        <v>0</v>
      </c>
      <c r="S150" s="63" t="str">
        <f t="shared" si="37"/>
        <v>N</v>
      </c>
      <c r="T150" s="63"/>
      <c r="U150" s="1039"/>
      <c r="V150" s="1039"/>
      <c r="W150" s="1039"/>
      <c r="X150" s="64" t="s">
        <v>2364</v>
      </c>
    </row>
    <row r="151" spans="1:49" ht="15" customHeight="1">
      <c r="A151" s="63">
        <f t="shared" si="39"/>
        <v>148</v>
      </c>
      <c r="B151" s="63" t="s">
        <v>2495</v>
      </c>
      <c r="C151" s="63" t="s">
        <v>2519</v>
      </c>
      <c r="D151" s="1234" t="s">
        <v>2520</v>
      </c>
      <c r="E151" s="64">
        <v>1995</v>
      </c>
      <c r="F151" s="65" t="s">
        <v>144</v>
      </c>
      <c r="G151" s="389">
        <f t="shared" si="35"/>
        <v>0.78500000000000003</v>
      </c>
      <c r="H151" s="389">
        <f t="shared" si="35"/>
        <v>0.70499999999999996</v>
      </c>
      <c r="I151" s="389">
        <f t="shared" si="35"/>
        <v>0.61499999999999999</v>
      </c>
      <c r="J151" s="389">
        <f t="shared" si="35"/>
        <v>0.53500000000000003</v>
      </c>
      <c r="K151" s="389">
        <f t="shared" si="35"/>
        <v>0.47499999999999998</v>
      </c>
      <c r="L151" s="720">
        <v>0.06</v>
      </c>
      <c r="M151" s="63" t="s">
        <v>3153</v>
      </c>
      <c r="N151" s="440">
        <v>4.3999999999999997E-2</v>
      </c>
      <c r="O151" s="390">
        <v>6.0000000000000001E-3</v>
      </c>
      <c r="P151" s="390">
        <v>0</v>
      </c>
      <c r="Q151" s="390">
        <v>0</v>
      </c>
      <c r="R151" s="390">
        <v>0</v>
      </c>
      <c r="S151" s="63" t="str">
        <f t="shared" si="37"/>
        <v>N</v>
      </c>
      <c r="T151" s="63"/>
      <c r="U151" s="1039"/>
      <c r="V151" s="1039"/>
      <c r="W151" s="1039"/>
      <c r="X151" s="64" t="s">
        <v>2364</v>
      </c>
    </row>
    <row r="152" spans="1:49" ht="15" customHeight="1">
      <c r="A152" s="63">
        <f t="shared" si="39"/>
        <v>149</v>
      </c>
      <c r="B152" s="63" t="s">
        <v>2495</v>
      </c>
      <c r="C152" s="63" t="s">
        <v>2521</v>
      </c>
      <c r="D152" s="1234" t="s">
        <v>2522</v>
      </c>
      <c r="E152" s="64">
        <v>1995</v>
      </c>
      <c r="F152" s="65" t="s">
        <v>144</v>
      </c>
      <c r="G152" s="389">
        <f t="shared" si="35"/>
        <v>0.78500000000000003</v>
      </c>
      <c r="H152" s="389">
        <f t="shared" si="35"/>
        <v>0.70499999999999996</v>
      </c>
      <c r="I152" s="389">
        <f t="shared" si="35"/>
        <v>0.61499999999999999</v>
      </c>
      <c r="J152" s="389">
        <f t="shared" si="35"/>
        <v>0.53500000000000003</v>
      </c>
      <c r="K152" s="389">
        <f t="shared" si="35"/>
        <v>0.47499999999999998</v>
      </c>
      <c r="L152" s="720">
        <v>0.06</v>
      </c>
      <c r="M152" s="63" t="s">
        <v>3153</v>
      </c>
      <c r="N152" s="440">
        <v>4.3999999999999997E-2</v>
      </c>
      <c r="O152" s="390">
        <v>6.0000000000000001E-3</v>
      </c>
      <c r="P152" s="390">
        <v>0</v>
      </c>
      <c r="Q152" s="390">
        <v>0</v>
      </c>
      <c r="R152" s="390">
        <v>0</v>
      </c>
      <c r="S152" s="63" t="str">
        <f t="shared" si="37"/>
        <v>N</v>
      </c>
      <c r="T152" s="63"/>
      <c r="U152" s="1039"/>
      <c r="V152" s="1039"/>
      <c r="W152" s="1039"/>
      <c r="X152" s="64" t="s">
        <v>2364</v>
      </c>
    </row>
    <row r="153" spans="1:49" ht="15" customHeight="1">
      <c r="A153" s="63">
        <f t="shared" si="39"/>
        <v>150</v>
      </c>
      <c r="B153" s="63" t="s">
        <v>2523</v>
      </c>
      <c r="C153" s="63" t="s">
        <v>2521</v>
      </c>
      <c r="D153" s="1234" t="s">
        <v>1919</v>
      </c>
      <c r="E153" s="64">
        <v>1995</v>
      </c>
      <c r="F153" s="65" t="s">
        <v>144</v>
      </c>
      <c r="G153" s="389">
        <f t="shared" si="35"/>
        <v>0.78500000000000003</v>
      </c>
      <c r="H153" s="389">
        <f t="shared" si="35"/>
        <v>0.70499999999999996</v>
      </c>
      <c r="I153" s="389">
        <f t="shared" si="35"/>
        <v>0.61499999999999999</v>
      </c>
      <c r="J153" s="389">
        <f t="shared" si="35"/>
        <v>0.53500000000000003</v>
      </c>
      <c r="K153" s="389">
        <f t="shared" si="35"/>
        <v>0.47499999999999998</v>
      </c>
      <c r="L153" s="720">
        <v>0.06</v>
      </c>
      <c r="M153" s="63" t="s">
        <v>3153</v>
      </c>
      <c r="N153" s="440">
        <v>4.3999999999999997E-2</v>
      </c>
      <c r="O153" s="390">
        <v>6.0000000000000001E-3</v>
      </c>
      <c r="P153" s="390">
        <v>0</v>
      </c>
      <c r="Q153" s="390">
        <v>0</v>
      </c>
      <c r="R153" s="390">
        <v>0</v>
      </c>
      <c r="S153" s="63" t="str">
        <f t="shared" si="37"/>
        <v>N</v>
      </c>
      <c r="T153" s="63"/>
      <c r="U153" s="1039"/>
      <c r="V153" s="1039"/>
      <c r="W153" s="1039"/>
      <c r="X153" s="64" t="s">
        <v>2364</v>
      </c>
      <c r="Y153" s="439"/>
      <c r="Z153" s="439"/>
      <c r="AA153" s="439"/>
      <c r="AB153" s="439"/>
      <c r="AC153" s="439"/>
    </row>
    <row r="154" spans="1:49" ht="15" customHeight="1">
      <c r="A154" s="63">
        <f t="shared" si="39"/>
        <v>151</v>
      </c>
      <c r="B154" s="63" t="s">
        <v>1308</v>
      </c>
      <c r="C154" s="63" t="s">
        <v>2521</v>
      </c>
      <c r="D154" s="1234" t="s">
        <v>2524</v>
      </c>
      <c r="E154" s="64">
        <v>1998</v>
      </c>
      <c r="F154" s="65" t="s">
        <v>144</v>
      </c>
      <c r="G154" s="389">
        <f t="shared" si="35"/>
        <v>0.78500000000000003</v>
      </c>
      <c r="H154" s="389">
        <f t="shared" si="35"/>
        <v>0.70499999999999996</v>
      </c>
      <c r="I154" s="389">
        <f t="shared" si="35"/>
        <v>0.61499999999999999</v>
      </c>
      <c r="J154" s="389">
        <f t="shared" si="35"/>
        <v>0.53500000000000003</v>
      </c>
      <c r="K154" s="389">
        <f t="shared" si="35"/>
        <v>0.47499999999999998</v>
      </c>
      <c r="L154" s="720">
        <v>0.06</v>
      </c>
      <c r="M154" s="63" t="s">
        <v>3153</v>
      </c>
      <c r="N154" s="440">
        <v>4.3999999999999997E-2</v>
      </c>
      <c r="O154" s="390">
        <v>6.0000000000000001E-3</v>
      </c>
      <c r="P154" s="390">
        <v>0</v>
      </c>
      <c r="Q154" s="390">
        <v>0</v>
      </c>
      <c r="R154" s="390">
        <v>0</v>
      </c>
      <c r="S154" s="63" t="str">
        <f t="shared" si="37"/>
        <v>N</v>
      </c>
      <c r="T154" s="63"/>
      <c r="U154" s="1039"/>
      <c r="V154" s="1039"/>
      <c r="W154" s="1039"/>
      <c r="X154" s="64" t="s">
        <v>2364</v>
      </c>
      <c r="Y154" s="439"/>
      <c r="Z154" s="439"/>
      <c r="AA154" s="439"/>
      <c r="AB154" s="439"/>
      <c r="AC154" s="439"/>
    </row>
    <row r="155" spans="1:49" ht="15" customHeight="1">
      <c r="A155" s="63">
        <f t="shared" si="39"/>
        <v>152</v>
      </c>
      <c r="B155" s="63" t="s">
        <v>2523</v>
      </c>
      <c r="C155" s="63" t="s">
        <v>2521</v>
      </c>
      <c r="D155" s="1234" t="s">
        <v>2525</v>
      </c>
      <c r="E155" s="64">
        <v>1998</v>
      </c>
      <c r="F155" s="65" t="s">
        <v>619</v>
      </c>
      <c r="G155" s="389">
        <f t="shared" si="35"/>
        <v>0.78500000000000003</v>
      </c>
      <c r="H155" s="389">
        <f t="shared" si="35"/>
        <v>0.70499999999999996</v>
      </c>
      <c r="I155" s="389">
        <f t="shared" si="35"/>
        <v>0.61499999999999999</v>
      </c>
      <c r="J155" s="389">
        <f t="shared" si="35"/>
        <v>0.53500000000000003</v>
      </c>
      <c r="K155" s="389">
        <f t="shared" si="35"/>
        <v>0.47499999999999998</v>
      </c>
      <c r="L155" s="720">
        <v>0.06</v>
      </c>
      <c r="M155" s="63" t="s">
        <v>3153</v>
      </c>
      <c r="N155" s="440">
        <v>4.3999999999999997E-2</v>
      </c>
      <c r="O155" s="390">
        <v>6.0000000000000001E-3</v>
      </c>
      <c r="P155" s="390">
        <v>0</v>
      </c>
      <c r="Q155" s="390">
        <v>0</v>
      </c>
      <c r="R155" s="390">
        <v>0</v>
      </c>
      <c r="S155" s="63" t="str">
        <f t="shared" si="37"/>
        <v>N</v>
      </c>
      <c r="T155" s="63"/>
      <c r="U155" s="1039"/>
      <c r="V155" s="1039"/>
      <c r="W155" s="1039"/>
      <c r="X155" s="64" t="s">
        <v>2364</v>
      </c>
      <c r="Y155" s="439"/>
      <c r="Z155" s="439"/>
      <c r="AA155" s="439"/>
      <c r="AB155" s="439"/>
      <c r="AC155" s="439"/>
    </row>
    <row r="156" spans="1:49" ht="15" customHeight="1">
      <c r="A156" s="63">
        <f t="shared" si="39"/>
        <v>153</v>
      </c>
      <c r="B156" s="63" t="s">
        <v>2495</v>
      </c>
      <c r="C156" s="63" t="s">
        <v>2521</v>
      </c>
      <c r="D156" s="63" t="s">
        <v>1457</v>
      </c>
      <c r="E156" s="64">
        <v>1998</v>
      </c>
      <c r="F156" s="65" t="s">
        <v>144</v>
      </c>
      <c r="G156" s="389">
        <f t="shared" si="35"/>
        <v>0.78500000000000003</v>
      </c>
      <c r="H156" s="389">
        <f t="shared" si="35"/>
        <v>0.70499999999999996</v>
      </c>
      <c r="I156" s="389">
        <f t="shared" si="35"/>
        <v>0.61499999999999999</v>
      </c>
      <c r="J156" s="389">
        <f t="shared" si="35"/>
        <v>0.53500000000000003</v>
      </c>
      <c r="K156" s="389">
        <f t="shared" si="35"/>
        <v>0.47499999999999998</v>
      </c>
      <c r="L156" s="720">
        <v>0.06</v>
      </c>
      <c r="M156" s="63" t="s">
        <v>3153</v>
      </c>
      <c r="N156" s="440">
        <v>4.3999999999999997E-2</v>
      </c>
      <c r="O156" s="390">
        <v>6.0000000000000001E-3</v>
      </c>
      <c r="P156" s="390">
        <v>0</v>
      </c>
      <c r="Q156" s="390">
        <v>0</v>
      </c>
      <c r="R156" s="390">
        <v>0</v>
      </c>
      <c r="S156" s="63" t="str">
        <f t="shared" si="37"/>
        <v>N</v>
      </c>
      <c r="T156" s="63"/>
      <c r="U156" s="1039"/>
      <c r="V156" s="1039"/>
      <c r="W156" s="1039"/>
      <c r="X156" s="64" t="s">
        <v>2364</v>
      </c>
      <c r="Y156" s="439"/>
      <c r="Z156" s="439"/>
      <c r="AA156" s="439"/>
      <c r="AB156" s="439"/>
      <c r="AC156" s="439"/>
    </row>
    <row r="157" spans="1:49" ht="15" customHeight="1">
      <c r="A157" s="63">
        <f t="shared" si="39"/>
        <v>154</v>
      </c>
      <c r="B157" s="63" t="s">
        <v>1308</v>
      </c>
      <c r="C157" s="63" t="s">
        <v>2521</v>
      </c>
      <c r="D157" s="63" t="s">
        <v>2346</v>
      </c>
      <c r="E157" s="64">
        <v>1998</v>
      </c>
      <c r="F157" s="65" t="s">
        <v>144</v>
      </c>
      <c r="G157" s="389">
        <f t="shared" si="35"/>
        <v>0.78500000000000003</v>
      </c>
      <c r="H157" s="389">
        <f t="shared" si="35"/>
        <v>0.70499999999999996</v>
      </c>
      <c r="I157" s="389">
        <f t="shared" si="35"/>
        <v>0.61499999999999999</v>
      </c>
      <c r="J157" s="389">
        <f t="shared" si="35"/>
        <v>0.53500000000000003</v>
      </c>
      <c r="K157" s="389">
        <f t="shared" si="35"/>
        <v>0.47499999999999998</v>
      </c>
      <c r="L157" s="720">
        <v>0.06</v>
      </c>
      <c r="M157" s="63" t="s">
        <v>3153</v>
      </c>
      <c r="N157" s="440">
        <v>4.3999999999999997E-2</v>
      </c>
      <c r="O157" s="390">
        <v>6.0000000000000001E-3</v>
      </c>
      <c r="P157" s="390">
        <v>0</v>
      </c>
      <c r="Q157" s="390">
        <v>0</v>
      </c>
      <c r="R157" s="390">
        <v>0</v>
      </c>
      <c r="S157" s="63" t="str">
        <f t="shared" si="37"/>
        <v>N</v>
      </c>
      <c r="T157" s="63"/>
      <c r="U157" s="1039"/>
      <c r="V157" s="1039"/>
      <c r="W157" s="1039"/>
      <c r="X157" s="64" t="s">
        <v>2364</v>
      </c>
      <c r="Y157" s="439"/>
      <c r="Z157" s="439"/>
      <c r="AA157" s="439"/>
      <c r="AB157" s="439"/>
      <c r="AC157" s="439"/>
    </row>
    <row r="158" spans="1:49" ht="15" customHeight="1">
      <c r="A158" s="63">
        <f t="shared" si="39"/>
        <v>155</v>
      </c>
      <c r="B158" s="63" t="s">
        <v>2495</v>
      </c>
      <c r="C158" s="63" t="s">
        <v>1307</v>
      </c>
      <c r="D158" s="1234" t="s">
        <v>2526</v>
      </c>
      <c r="E158" s="64">
        <v>1998</v>
      </c>
      <c r="F158" s="65" t="s">
        <v>144</v>
      </c>
      <c r="G158" s="389">
        <f t="shared" ref="G158:K208" si="42">+INDEX($AW$4:$AW$138,MATCH(G$3&amp;$M158,$AT$4:$AT$138,0))</f>
        <v>0.78500000000000003</v>
      </c>
      <c r="H158" s="389">
        <f t="shared" si="42"/>
        <v>0.70499999999999996</v>
      </c>
      <c r="I158" s="389">
        <f t="shared" si="42"/>
        <v>0.61499999999999999</v>
      </c>
      <c r="J158" s="389">
        <f t="shared" si="42"/>
        <v>0.53500000000000003</v>
      </c>
      <c r="K158" s="389">
        <f t="shared" si="42"/>
        <v>0.47499999999999998</v>
      </c>
      <c r="L158" s="720">
        <v>0.06</v>
      </c>
      <c r="M158" s="63" t="s">
        <v>3153</v>
      </c>
      <c r="N158" s="440">
        <v>4.3999999999999997E-2</v>
      </c>
      <c r="O158" s="390">
        <v>6.0000000000000001E-3</v>
      </c>
      <c r="P158" s="390">
        <v>0</v>
      </c>
      <c r="Q158" s="390">
        <v>0</v>
      </c>
      <c r="R158" s="390">
        <v>0</v>
      </c>
      <c r="S158" s="63" t="str">
        <f t="shared" si="37"/>
        <v>N</v>
      </c>
      <c r="T158" s="63"/>
      <c r="U158" s="1039"/>
      <c r="V158" s="1039"/>
      <c r="W158" s="1039"/>
      <c r="X158" s="64" t="s">
        <v>2364</v>
      </c>
      <c r="Y158" s="439"/>
      <c r="Z158" s="439"/>
      <c r="AA158" s="439"/>
      <c r="AB158" s="439"/>
      <c r="AC158" s="439"/>
    </row>
    <row r="159" spans="1:49" ht="15" customHeight="1">
      <c r="A159" s="63">
        <f t="shared" si="39"/>
        <v>156</v>
      </c>
      <c r="B159" s="63" t="s">
        <v>2495</v>
      </c>
      <c r="C159" s="63" t="s">
        <v>2521</v>
      </c>
      <c r="D159" s="1234" t="s">
        <v>2527</v>
      </c>
      <c r="E159" s="64">
        <v>1998</v>
      </c>
      <c r="F159" s="65" t="s">
        <v>144</v>
      </c>
      <c r="G159" s="389">
        <f t="shared" si="42"/>
        <v>0.78500000000000003</v>
      </c>
      <c r="H159" s="389">
        <f t="shared" si="42"/>
        <v>0.70499999999999996</v>
      </c>
      <c r="I159" s="389">
        <f t="shared" si="42"/>
        <v>0.61499999999999999</v>
      </c>
      <c r="J159" s="389">
        <f t="shared" si="42"/>
        <v>0.53500000000000003</v>
      </c>
      <c r="K159" s="389">
        <f t="shared" si="42"/>
        <v>0.47499999999999998</v>
      </c>
      <c r="L159" s="720">
        <v>0.06</v>
      </c>
      <c r="M159" s="63" t="s">
        <v>3153</v>
      </c>
      <c r="N159" s="440">
        <v>4.3999999999999997E-2</v>
      </c>
      <c r="O159" s="390">
        <v>6.0000000000000001E-3</v>
      </c>
      <c r="P159" s="390">
        <v>0</v>
      </c>
      <c r="Q159" s="390">
        <v>0</v>
      </c>
      <c r="R159" s="390">
        <v>0</v>
      </c>
      <c r="S159" s="63" t="str">
        <f t="shared" si="37"/>
        <v>N</v>
      </c>
      <c r="T159" s="63"/>
      <c r="U159" s="1039"/>
      <c r="V159" s="1039"/>
      <c r="W159" s="1039"/>
      <c r="X159" s="64" t="s">
        <v>2364</v>
      </c>
      <c r="Y159" s="439"/>
      <c r="Z159" s="439"/>
      <c r="AA159" s="439"/>
      <c r="AB159" s="439"/>
      <c r="AC159" s="439"/>
    </row>
    <row r="160" spans="1:49" ht="15" customHeight="1">
      <c r="A160" s="63">
        <f t="shared" si="39"/>
        <v>157</v>
      </c>
      <c r="B160" s="63" t="s">
        <v>2495</v>
      </c>
      <c r="C160" s="63" t="s">
        <v>2521</v>
      </c>
      <c r="D160" s="1234" t="s">
        <v>2528</v>
      </c>
      <c r="E160" s="64">
        <v>1998</v>
      </c>
      <c r="F160" s="65" t="s">
        <v>1873</v>
      </c>
      <c r="G160" s="389">
        <f t="shared" si="42"/>
        <v>0.78500000000000003</v>
      </c>
      <c r="H160" s="389">
        <f t="shared" si="42"/>
        <v>0.70499999999999996</v>
      </c>
      <c r="I160" s="389">
        <f t="shared" si="42"/>
        <v>0.61499999999999999</v>
      </c>
      <c r="J160" s="389">
        <f t="shared" si="42"/>
        <v>0.53500000000000003</v>
      </c>
      <c r="K160" s="389">
        <f t="shared" si="42"/>
        <v>0.47499999999999998</v>
      </c>
      <c r="L160" s="720">
        <v>0.06</v>
      </c>
      <c r="M160" s="63" t="s">
        <v>3153</v>
      </c>
      <c r="N160" s="440">
        <v>4.3999999999999997E-2</v>
      </c>
      <c r="O160" s="390">
        <v>6.0000000000000001E-3</v>
      </c>
      <c r="P160" s="390">
        <v>0</v>
      </c>
      <c r="Q160" s="390">
        <v>0</v>
      </c>
      <c r="R160" s="390">
        <v>0</v>
      </c>
      <c r="S160" s="63" t="str">
        <f t="shared" si="37"/>
        <v>N</v>
      </c>
      <c r="T160" s="63"/>
      <c r="U160" s="1039"/>
      <c r="V160" s="1039"/>
      <c r="W160" s="1039"/>
      <c r="X160" s="64" t="s">
        <v>2364</v>
      </c>
      <c r="Y160" s="439"/>
      <c r="Z160" s="439"/>
      <c r="AA160" s="439"/>
      <c r="AB160" s="439"/>
      <c r="AC160" s="439"/>
    </row>
    <row r="161" spans="1:29" ht="15" customHeight="1">
      <c r="A161" s="63">
        <f t="shared" si="39"/>
        <v>158</v>
      </c>
      <c r="B161" s="63" t="s">
        <v>2495</v>
      </c>
      <c r="C161" s="63" t="s">
        <v>2521</v>
      </c>
      <c r="D161" s="1234" t="s">
        <v>2529</v>
      </c>
      <c r="E161" s="64">
        <v>1998</v>
      </c>
      <c r="F161" s="65" t="s">
        <v>619</v>
      </c>
      <c r="G161" s="389">
        <f t="shared" si="42"/>
        <v>0.78500000000000003</v>
      </c>
      <c r="H161" s="389">
        <f t="shared" si="42"/>
        <v>0.70499999999999996</v>
      </c>
      <c r="I161" s="389">
        <f t="shared" si="42"/>
        <v>0.61499999999999999</v>
      </c>
      <c r="J161" s="389">
        <f t="shared" si="42"/>
        <v>0.53500000000000003</v>
      </c>
      <c r="K161" s="389">
        <f t="shared" si="42"/>
        <v>0.47499999999999998</v>
      </c>
      <c r="L161" s="720">
        <v>0.06</v>
      </c>
      <c r="M161" s="63" t="s">
        <v>3153</v>
      </c>
      <c r="N161" s="440">
        <v>4.3999999999999997E-2</v>
      </c>
      <c r="O161" s="390">
        <v>6.0000000000000001E-3</v>
      </c>
      <c r="P161" s="390">
        <v>0</v>
      </c>
      <c r="Q161" s="390">
        <v>0</v>
      </c>
      <c r="R161" s="390">
        <v>0</v>
      </c>
      <c r="S161" s="63" t="str">
        <f t="shared" si="37"/>
        <v>N</v>
      </c>
      <c r="T161" s="63"/>
      <c r="U161" s="1039"/>
      <c r="V161" s="1039"/>
      <c r="W161" s="1039"/>
      <c r="X161" s="64" t="s">
        <v>2364</v>
      </c>
      <c r="Y161" s="439"/>
      <c r="Z161" s="439"/>
      <c r="AA161" s="439"/>
      <c r="AB161" s="439"/>
      <c r="AC161" s="439"/>
    </row>
    <row r="162" spans="1:29" ht="15" customHeight="1">
      <c r="A162" s="63">
        <f t="shared" si="39"/>
        <v>159</v>
      </c>
      <c r="B162" s="63" t="s">
        <v>2495</v>
      </c>
      <c r="C162" s="63" t="s">
        <v>2521</v>
      </c>
      <c r="D162" s="63" t="s">
        <v>2530</v>
      </c>
      <c r="E162" s="64">
        <v>2998</v>
      </c>
      <c r="F162" s="65" t="s">
        <v>144</v>
      </c>
      <c r="G162" s="389">
        <f t="shared" si="42"/>
        <v>0.78500000000000003</v>
      </c>
      <c r="H162" s="389">
        <f t="shared" si="42"/>
        <v>0.70499999999999996</v>
      </c>
      <c r="I162" s="389">
        <f t="shared" si="42"/>
        <v>0.61499999999999999</v>
      </c>
      <c r="J162" s="389">
        <f t="shared" si="42"/>
        <v>0.53500000000000003</v>
      </c>
      <c r="K162" s="389">
        <f t="shared" si="42"/>
        <v>0.47499999999999998</v>
      </c>
      <c r="L162" s="720">
        <v>0.06</v>
      </c>
      <c r="M162" s="63" t="s">
        <v>3153</v>
      </c>
      <c r="N162" s="440">
        <v>4.3999999999999997E-2</v>
      </c>
      <c r="O162" s="390">
        <v>6.0000000000000001E-3</v>
      </c>
      <c r="P162" s="390">
        <v>0</v>
      </c>
      <c r="Q162" s="390">
        <v>0</v>
      </c>
      <c r="R162" s="390">
        <v>0</v>
      </c>
      <c r="S162" s="63" t="str">
        <f t="shared" si="37"/>
        <v>N</v>
      </c>
      <c r="T162" s="63"/>
      <c r="U162" s="1039"/>
      <c r="V162" s="1039"/>
      <c r="W162" s="1039"/>
      <c r="X162" s="64" t="s">
        <v>2364</v>
      </c>
      <c r="Y162" s="439"/>
      <c r="Z162" s="439"/>
      <c r="AA162" s="439"/>
      <c r="AB162" s="439"/>
      <c r="AC162" s="439"/>
    </row>
    <row r="163" spans="1:29" ht="15" customHeight="1">
      <c r="A163" s="63">
        <f t="shared" si="39"/>
        <v>160</v>
      </c>
      <c r="B163" s="63" t="s">
        <v>2495</v>
      </c>
      <c r="C163" s="63" t="s">
        <v>2521</v>
      </c>
      <c r="D163" s="63" t="s">
        <v>2531</v>
      </c>
      <c r="E163" s="64">
        <v>2998</v>
      </c>
      <c r="F163" s="65" t="s">
        <v>144</v>
      </c>
      <c r="G163" s="389">
        <f t="shared" si="42"/>
        <v>0.78500000000000003</v>
      </c>
      <c r="H163" s="389">
        <f t="shared" si="42"/>
        <v>0.70499999999999996</v>
      </c>
      <c r="I163" s="389">
        <f t="shared" si="42"/>
        <v>0.61499999999999999</v>
      </c>
      <c r="J163" s="389">
        <f t="shared" si="42"/>
        <v>0.53500000000000003</v>
      </c>
      <c r="K163" s="389">
        <f t="shared" si="42"/>
        <v>0.47499999999999998</v>
      </c>
      <c r="L163" s="720">
        <v>0.06</v>
      </c>
      <c r="M163" s="63" t="s">
        <v>3153</v>
      </c>
      <c r="N163" s="440">
        <v>4.3999999999999997E-2</v>
      </c>
      <c r="O163" s="390">
        <v>6.0000000000000001E-3</v>
      </c>
      <c r="P163" s="390">
        <v>0</v>
      </c>
      <c r="Q163" s="390">
        <v>0</v>
      </c>
      <c r="R163" s="390">
        <v>0</v>
      </c>
      <c r="S163" s="63" t="str">
        <f t="shared" si="37"/>
        <v>N</v>
      </c>
      <c r="T163" s="63"/>
      <c r="U163" s="1039"/>
      <c r="V163" s="1039"/>
      <c r="W163" s="1039"/>
      <c r="X163" s="64" t="s">
        <v>2364</v>
      </c>
      <c r="Y163" s="439"/>
      <c r="Z163" s="439"/>
      <c r="AA163" s="439"/>
      <c r="AB163" s="439"/>
      <c r="AC163" s="439"/>
    </row>
    <row r="164" spans="1:29" ht="15" customHeight="1">
      <c r="A164" s="63">
        <f t="shared" si="39"/>
        <v>161</v>
      </c>
      <c r="B164" s="63" t="s">
        <v>1308</v>
      </c>
      <c r="C164" s="63" t="s">
        <v>1889</v>
      </c>
      <c r="D164" s="63" t="s">
        <v>2193</v>
      </c>
      <c r="E164" s="64">
        <v>4395</v>
      </c>
      <c r="F164" s="65" t="s">
        <v>144</v>
      </c>
      <c r="G164" s="389">
        <f t="shared" si="42"/>
        <v>0.65999999999999992</v>
      </c>
      <c r="H164" s="389">
        <f t="shared" si="42"/>
        <v>0.57999999999999996</v>
      </c>
      <c r="I164" s="389">
        <f t="shared" si="42"/>
        <v>0.48999999999999988</v>
      </c>
      <c r="J164" s="389">
        <f t="shared" si="42"/>
        <v>0.41</v>
      </c>
      <c r="K164" s="389">
        <f t="shared" si="42"/>
        <v>0.35</v>
      </c>
      <c r="L164" s="720">
        <v>0.06</v>
      </c>
      <c r="M164" s="63" t="s">
        <v>325</v>
      </c>
      <c r="N164" s="440">
        <v>4.3999999999999997E-2</v>
      </c>
      <c r="O164" s="390">
        <v>6.0000000000000001E-3</v>
      </c>
      <c r="P164" s="390">
        <v>0</v>
      </c>
      <c r="Q164" s="390">
        <v>0</v>
      </c>
      <c r="R164" s="390">
        <v>0</v>
      </c>
      <c r="S164" s="63" t="str">
        <f t="shared" si="37"/>
        <v>N</v>
      </c>
      <c r="T164" s="63"/>
      <c r="U164" s="1039"/>
      <c r="V164" s="1039"/>
      <c r="W164" s="1039"/>
      <c r="X164" s="64" t="s">
        <v>2364</v>
      </c>
      <c r="Y164" s="439"/>
      <c r="Z164" s="439"/>
      <c r="AA164" s="439"/>
      <c r="AB164" s="439"/>
      <c r="AC164" s="439"/>
    </row>
    <row r="165" spans="1:29" ht="15" customHeight="1">
      <c r="A165" s="63">
        <f t="shared" si="39"/>
        <v>162</v>
      </c>
      <c r="B165" s="63" t="s">
        <v>1308</v>
      </c>
      <c r="C165" s="63" t="s">
        <v>1889</v>
      </c>
      <c r="D165" s="1234" t="s">
        <v>1458</v>
      </c>
      <c r="E165" s="64">
        <v>1995</v>
      </c>
      <c r="F165" s="65" t="s">
        <v>144</v>
      </c>
      <c r="G165" s="389">
        <f t="shared" si="42"/>
        <v>0.7</v>
      </c>
      <c r="H165" s="389">
        <f t="shared" si="42"/>
        <v>0.62</v>
      </c>
      <c r="I165" s="389">
        <f t="shared" si="42"/>
        <v>0.52999999999999992</v>
      </c>
      <c r="J165" s="389">
        <f t="shared" si="42"/>
        <v>0.45</v>
      </c>
      <c r="K165" s="389">
        <f t="shared" si="42"/>
        <v>0.39</v>
      </c>
      <c r="L165" s="720">
        <v>0.06</v>
      </c>
      <c r="M165" s="63" t="s">
        <v>322</v>
      </c>
      <c r="N165" s="440">
        <v>4.3999999999999997E-2</v>
      </c>
      <c r="O165" s="390">
        <v>6.0000000000000001E-3</v>
      </c>
      <c r="P165" s="390">
        <v>0</v>
      </c>
      <c r="Q165" s="390">
        <v>0</v>
      </c>
      <c r="R165" s="390">
        <v>0</v>
      </c>
      <c r="S165" s="63" t="str">
        <f t="shared" si="37"/>
        <v>N</v>
      </c>
      <c r="T165" s="63"/>
      <c r="U165" s="1039"/>
      <c r="V165" s="1039"/>
      <c r="W165" s="1039"/>
      <c r="X165" s="64" t="s">
        <v>2364</v>
      </c>
      <c r="Y165" s="439"/>
      <c r="Z165" s="439"/>
      <c r="AA165" s="439"/>
      <c r="AB165" s="439"/>
      <c r="AC165" s="439"/>
    </row>
    <row r="166" spans="1:29" ht="15" customHeight="1">
      <c r="A166" s="63">
        <f t="shared" si="39"/>
        <v>163</v>
      </c>
      <c r="B166" s="63" t="s">
        <v>1308</v>
      </c>
      <c r="C166" s="63" t="s">
        <v>1889</v>
      </c>
      <c r="D166" s="1234" t="s">
        <v>1459</v>
      </c>
      <c r="E166" s="64">
        <v>1995</v>
      </c>
      <c r="F166" s="65" t="s">
        <v>144</v>
      </c>
      <c r="G166" s="389">
        <f t="shared" si="42"/>
        <v>0.7</v>
      </c>
      <c r="H166" s="389">
        <f t="shared" si="42"/>
        <v>0.62</v>
      </c>
      <c r="I166" s="389">
        <f t="shared" si="42"/>
        <v>0.52999999999999992</v>
      </c>
      <c r="J166" s="389">
        <f t="shared" si="42"/>
        <v>0.45</v>
      </c>
      <c r="K166" s="389">
        <f t="shared" si="42"/>
        <v>0.39</v>
      </c>
      <c r="L166" s="720">
        <v>0.06</v>
      </c>
      <c r="M166" s="63" t="s">
        <v>322</v>
      </c>
      <c r="N166" s="440">
        <v>4.3999999999999997E-2</v>
      </c>
      <c r="O166" s="390">
        <v>6.0000000000000001E-3</v>
      </c>
      <c r="P166" s="390">
        <v>0</v>
      </c>
      <c r="Q166" s="390">
        <v>0</v>
      </c>
      <c r="R166" s="390">
        <v>0</v>
      </c>
      <c r="S166" s="63" t="str">
        <f t="shared" si="37"/>
        <v>N</v>
      </c>
      <c r="T166" s="63"/>
      <c r="U166" s="1039"/>
      <c r="V166" s="1039"/>
      <c r="W166" s="1039"/>
      <c r="X166" s="64" t="s">
        <v>2364</v>
      </c>
      <c r="Y166" s="439"/>
      <c r="Z166" s="439"/>
      <c r="AA166" s="439"/>
      <c r="AB166" s="439"/>
      <c r="AC166" s="439"/>
    </row>
    <row r="167" spans="1:29" ht="15" customHeight="1">
      <c r="A167" s="63">
        <f t="shared" si="39"/>
        <v>164</v>
      </c>
      <c r="B167" s="63" t="s">
        <v>1308</v>
      </c>
      <c r="C167" s="63" t="s">
        <v>1889</v>
      </c>
      <c r="D167" s="1234" t="s">
        <v>1920</v>
      </c>
      <c r="E167" s="64">
        <v>1995</v>
      </c>
      <c r="F167" s="65" t="s">
        <v>144</v>
      </c>
      <c r="G167" s="389">
        <f t="shared" si="42"/>
        <v>0.7</v>
      </c>
      <c r="H167" s="389">
        <f t="shared" si="42"/>
        <v>0.62</v>
      </c>
      <c r="I167" s="389">
        <f t="shared" si="42"/>
        <v>0.52999999999999992</v>
      </c>
      <c r="J167" s="389">
        <f t="shared" si="42"/>
        <v>0.45</v>
      </c>
      <c r="K167" s="389">
        <f t="shared" si="42"/>
        <v>0.39</v>
      </c>
      <c r="L167" s="720">
        <v>0.06</v>
      </c>
      <c r="M167" s="63" t="s">
        <v>322</v>
      </c>
      <c r="N167" s="440">
        <v>4.3999999999999997E-2</v>
      </c>
      <c r="O167" s="390">
        <v>6.0000000000000001E-3</v>
      </c>
      <c r="P167" s="390">
        <v>0</v>
      </c>
      <c r="Q167" s="390">
        <v>0</v>
      </c>
      <c r="R167" s="390">
        <v>0</v>
      </c>
      <c r="S167" s="63" t="str">
        <f t="shared" si="37"/>
        <v>N</v>
      </c>
      <c r="T167" s="63"/>
      <c r="U167" s="1039"/>
      <c r="V167" s="1039"/>
      <c r="W167" s="1039"/>
      <c r="X167" s="64" t="s">
        <v>2364</v>
      </c>
      <c r="Y167" s="439"/>
      <c r="Z167" s="439"/>
      <c r="AA167" s="439"/>
      <c r="AB167" s="439"/>
      <c r="AC167" s="439"/>
    </row>
    <row r="168" spans="1:29" ht="15" customHeight="1">
      <c r="A168" s="63">
        <f t="shared" si="39"/>
        <v>165</v>
      </c>
      <c r="B168" s="63" t="s">
        <v>1308</v>
      </c>
      <c r="C168" s="63" t="s">
        <v>1889</v>
      </c>
      <c r="D168" s="1234" t="s">
        <v>1460</v>
      </c>
      <c r="E168" s="64">
        <v>1995</v>
      </c>
      <c r="F168" s="65" t="s">
        <v>144</v>
      </c>
      <c r="G168" s="389">
        <f t="shared" si="42"/>
        <v>0.7</v>
      </c>
      <c r="H168" s="389">
        <f t="shared" si="42"/>
        <v>0.62</v>
      </c>
      <c r="I168" s="389">
        <f t="shared" si="42"/>
        <v>0.52999999999999992</v>
      </c>
      <c r="J168" s="389">
        <f t="shared" si="42"/>
        <v>0.45</v>
      </c>
      <c r="K168" s="389">
        <f t="shared" si="42"/>
        <v>0.39</v>
      </c>
      <c r="L168" s="720">
        <v>0.06</v>
      </c>
      <c r="M168" s="63" t="s">
        <v>322</v>
      </c>
      <c r="N168" s="440">
        <v>4.3999999999999997E-2</v>
      </c>
      <c r="O168" s="390">
        <v>6.0000000000000001E-3</v>
      </c>
      <c r="P168" s="390">
        <v>0</v>
      </c>
      <c r="Q168" s="390">
        <v>0</v>
      </c>
      <c r="R168" s="390">
        <v>0</v>
      </c>
      <c r="S168" s="63" t="str">
        <f t="shared" si="37"/>
        <v>N</v>
      </c>
      <c r="T168" s="63"/>
      <c r="U168" s="1039"/>
      <c r="V168" s="1039"/>
      <c r="W168" s="1039"/>
      <c r="X168" s="64" t="s">
        <v>2364</v>
      </c>
      <c r="Y168" s="439"/>
      <c r="Z168" s="439"/>
      <c r="AA168" s="439"/>
      <c r="AB168" s="439"/>
      <c r="AC168" s="439"/>
    </row>
    <row r="169" spans="1:29" ht="15" customHeight="1">
      <c r="A169" s="63">
        <f t="shared" si="39"/>
        <v>166</v>
      </c>
      <c r="B169" s="63" t="s">
        <v>1308</v>
      </c>
      <c r="C169" s="63" t="s">
        <v>1889</v>
      </c>
      <c r="D169" s="1234" t="s">
        <v>2194</v>
      </c>
      <c r="E169" s="64">
        <v>2998</v>
      </c>
      <c r="F169" s="65" t="s">
        <v>144</v>
      </c>
      <c r="G169" s="389">
        <f t="shared" si="42"/>
        <v>0.7</v>
      </c>
      <c r="H169" s="389">
        <f t="shared" si="42"/>
        <v>0.62</v>
      </c>
      <c r="I169" s="389">
        <f t="shared" si="42"/>
        <v>0.52999999999999992</v>
      </c>
      <c r="J169" s="389">
        <f t="shared" si="42"/>
        <v>0.45</v>
      </c>
      <c r="K169" s="389">
        <f t="shared" si="42"/>
        <v>0.39</v>
      </c>
      <c r="L169" s="720">
        <v>0.06</v>
      </c>
      <c r="M169" s="63" t="s">
        <v>322</v>
      </c>
      <c r="N169" s="440">
        <v>4.3999999999999997E-2</v>
      </c>
      <c r="O169" s="390">
        <v>6.0000000000000001E-3</v>
      </c>
      <c r="P169" s="390">
        <v>0</v>
      </c>
      <c r="Q169" s="390">
        <v>0</v>
      </c>
      <c r="R169" s="390">
        <v>0</v>
      </c>
      <c r="S169" s="63" t="str">
        <f t="shared" si="37"/>
        <v>N</v>
      </c>
      <c r="T169" s="63"/>
      <c r="U169" s="1039"/>
      <c r="V169" s="1039"/>
      <c r="W169" s="1039"/>
      <c r="X169" s="64" t="s">
        <v>2364</v>
      </c>
      <c r="Y169" s="439"/>
      <c r="Z169" s="439"/>
      <c r="AA169" s="439"/>
      <c r="AB169" s="439"/>
      <c r="AC169" s="439"/>
    </row>
    <row r="170" spans="1:29" ht="15" customHeight="1">
      <c r="A170" s="63">
        <f t="shared" si="39"/>
        <v>167</v>
      </c>
      <c r="B170" s="63" t="s">
        <v>1308</v>
      </c>
      <c r="C170" s="63" t="s">
        <v>1889</v>
      </c>
      <c r="D170" s="1234" t="s">
        <v>2347</v>
      </c>
      <c r="E170" s="64">
        <v>2998</v>
      </c>
      <c r="F170" s="65" t="s">
        <v>144</v>
      </c>
      <c r="G170" s="389">
        <f t="shared" si="42"/>
        <v>0.7</v>
      </c>
      <c r="H170" s="389">
        <f t="shared" si="42"/>
        <v>0.62</v>
      </c>
      <c r="I170" s="389">
        <f t="shared" si="42"/>
        <v>0.52999999999999992</v>
      </c>
      <c r="J170" s="389">
        <f t="shared" si="42"/>
        <v>0.45</v>
      </c>
      <c r="K170" s="389">
        <f t="shared" si="42"/>
        <v>0.39</v>
      </c>
      <c r="L170" s="720">
        <v>0.06</v>
      </c>
      <c r="M170" s="63" t="s">
        <v>322</v>
      </c>
      <c r="N170" s="440">
        <v>4.3999999999999997E-2</v>
      </c>
      <c r="O170" s="390">
        <v>6.0000000000000001E-3</v>
      </c>
      <c r="P170" s="390">
        <v>0</v>
      </c>
      <c r="Q170" s="390">
        <v>0</v>
      </c>
      <c r="R170" s="390">
        <v>0</v>
      </c>
      <c r="S170" s="63" t="str">
        <f t="shared" si="37"/>
        <v>N</v>
      </c>
      <c r="T170" s="63"/>
      <c r="U170" s="1039"/>
      <c r="V170" s="1039"/>
      <c r="W170" s="1039"/>
      <c r="X170" s="64" t="s">
        <v>2364</v>
      </c>
      <c r="Y170" s="439"/>
      <c r="Z170" s="439"/>
      <c r="AA170" s="439"/>
    </row>
    <row r="171" spans="1:29" ht="15" customHeight="1">
      <c r="A171" s="63">
        <f t="shared" si="39"/>
        <v>168</v>
      </c>
      <c r="B171" s="63" t="s">
        <v>1308</v>
      </c>
      <c r="C171" s="63" t="s">
        <v>1889</v>
      </c>
      <c r="D171" s="1234" t="s">
        <v>1921</v>
      </c>
      <c r="E171" s="64">
        <v>2998</v>
      </c>
      <c r="F171" s="65" t="s">
        <v>144</v>
      </c>
      <c r="G171" s="389">
        <f t="shared" si="42"/>
        <v>0.7</v>
      </c>
      <c r="H171" s="389">
        <f t="shared" si="42"/>
        <v>0.62</v>
      </c>
      <c r="I171" s="389">
        <f t="shared" si="42"/>
        <v>0.52999999999999992</v>
      </c>
      <c r="J171" s="389">
        <f t="shared" si="42"/>
        <v>0.45</v>
      </c>
      <c r="K171" s="389">
        <f t="shared" si="42"/>
        <v>0.39</v>
      </c>
      <c r="L171" s="720">
        <v>0.06</v>
      </c>
      <c r="M171" s="63" t="s">
        <v>322</v>
      </c>
      <c r="N171" s="440">
        <v>4.3999999999999997E-2</v>
      </c>
      <c r="O171" s="390">
        <v>6.0000000000000001E-3</v>
      </c>
      <c r="P171" s="390">
        <v>0</v>
      </c>
      <c r="Q171" s="390">
        <v>0</v>
      </c>
      <c r="R171" s="390">
        <v>0</v>
      </c>
      <c r="S171" s="63" t="str">
        <f t="shared" si="37"/>
        <v>N</v>
      </c>
      <c r="T171" s="63"/>
      <c r="U171" s="1039"/>
      <c r="V171" s="1039"/>
      <c r="W171" s="1039"/>
      <c r="X171" s="64" t="s">
        <v>2364</v>
      </c>
      <c r="Y171" s="439"/>
      <c r="Z171" s="439"/>
      <c r="AA171" s="439"/>
    </row>
    <row r="172" spans="1:29" ht="15" customHeight="1">
      <c r="A172" s="63">
        <f t="shared" si="39"/>
        <v>169</v>
      </c>
      <c r="B172" s="63" t="s">
        <v>1308</v>
      </c>
      <c r="C172" s="63" t="s">
        <v>1889</v>
      </c>
      <c r="D172" s="1234" t="s">
        <v>2195</v>
      </c>
      <c r="E172" s="64">
        <v>2998</v>
      </c>
      <c r="F172" s="65" t="s">
        <v>144</v>
      </c>
      <c r="G172" s="389">
        <f t="shared" si="42"/>
        <v>0.7</v>
      </c>
      <c r="H172" s="389">
        <f t="shared" si="42"/>
        <v>0.62</v>
      </c>
      <c r="I172" s="389">
        <f t="shared" si="42"/>
        <v>0.52999999999999992</v>
      </c>
      <c r="J172" s="389">
        <f t="shared" si="42"/>
        <v>0.45</v>
      </c>
      <c r="K172" s="389">
        <f t="shared" si="42"/>
        <v>0.39</v>
      </c>
      <c r="L172" s="720">
        <v>0.06</v>
      </c>
      <c r="M172" s="63" t="s">
        <v>322</v>
      </c>
      <c r="N172" s="440">
        <v>4.3999999999999997E-2</v>
      </c>
      <c r="O172" s="390">
        <v>6.0000000000000001E-3</v>
      </c>
      <c r="P172" s="390">
        <v>0</v>
      </c>
      <c r="Q172" s="390">
        <v>0</v>
      </c>
      <c r="R172" s="390">
        <v>0</v>
      </c>
      <c r="S172" s="63" t="str">
        <f t="shared" si="37"/>
        <v>N</v>
      </c>
      <c r="T172" s="63"/>
      <c r="U172" s="1039"/>
      <c r="V172" s="1039"/>
      <c r="W172" s="1039"/>
      <c r="X172" s="64" t="s">
        <v>2364</v>
      </c>
      <c r="Y172" s="439"/>
      <c r="Z172" s="439"/>
      <c r="AA172" s="439"/>
    </row>
    <row r="173" spans="1:29" ht="15" customHeight="1">
      <c r="A173" s="63">
        <f t="shared" si="39"/>
        <v>170</v>
      </c>
      <c r="B173" s="63" t="s">
        <v>1308</v>
      </c>
      <c r="C173" s="63" t="s">
        <v>1889</v>
      </c>
      <c r="D173" s="63" t="s">
        <v>2348</v>
      </c>
      <c r="E173" s="64">
        <v>2993</v>
      </c>
      <c r="F173" s="65" t="s">
        <v>144</v>
      </c>
      <c r="G173" s="389">
        <f t="shared" si="42"/>
        <v>0.71</v>
      </c>
      <c r="H173" s="389">
        <f t="shared" si="42"/>
        <v>0.63</v>
      </c>
      <c r="I173" s="389">
        <f t="shared" si="42"/>
        <v>0.53999999999999992</v>
      </c>
      <c r="J173" s="389">
        <f t="shared" si="42"/>
        <v>0.46</v>
      </c>
      <c r="K173" s="389">
        <f t="shared" si="42"/>
        <v>0.4</v>
      </c>
      <c r="L173" s="720">
        <v>0.06</v>
      </c>
      <c r="M173" s="63" t="s">
        <v>321</v>
      </c>
      <c r="N173" s="440">
        <v>4.3999999999999997E-2</v>
      </c>
      <c r="O173" s="390">
        <v>6.0000000000000001E-3</v>
      </c>
      <c r="P173" s="390">
        <v>0</v>
      </c>
      <c r="Q173" s="390">
        <v>0</v>
      </c>
      <c r="R173" s="390">
        <v>0</v>
      </c>
      <c r="S173" s="63" t="s">
        <v>587</v>
      </c>
      <c r="T173" s="63"/>
      <c r="U173" s="1039"/>
      <c r="V173" s="1039"/>
      <c r="W173" s="1039"/>
      <c r="X173" s="64" t="s">
        <v>2364</v>
      </c>
      <c r="Y173" s="439"/>
      <c r="Z173" s="439"/>
      <c r="AA173" s="439"/>
    </row>
    <row r="174" spans="1:29" ht="15" customHeight="1">
      <c r="A174" s="63">
        <f t="shared" si="39"/>
        <v>171</v>
      </c>
      <c r="B174" s="63" t="s">
        <v>1308</v>
      </c>
      <c r="C174" s="63" t="s">
        <v>1889</v>
      </c>
      <c r="D174" s="1234" t="s">
        <v>2196</v>
      </c>
      <c r="E174" s="64">
        <v>2993</v>
      </c>
      <c r="F174" s="65" t="s">
        <v>144</v>
      </c>
      <c r="G174" s="389">
        <f t="shared" si="42"/>
        <v>0.71</v>
      </c>
      <c r="H174" s="389">
        <f t="shared" si="42"/>
        <v>0.63</v>
      </c>
      <c r="I174" s="389">
        <f t="shared" si="42"/>
        <v>0.53999999999999992</v>
      </c>
      <c r="J174" s="389">
        <f t="shared" si="42"/>
        <v>0.46</v>
      </c>
      <c r="K174" s="389">
        <f t="shared" si="42"/>
        <v>0.4</v>
      </c>
      <c r="L174" s="720">
        <v>0.06</v>
      </c>
      <c r="M174" s="63" t="s">
        <v>321</v>
      </c>
      <c r="N174" s="440">
        <v>4.3999999999999997E-2</v>
      </c>
      <c r="O174" s="390">
        <v>6.0000000000000001E-3</v>
      </c>
      <c r="P174" s="390">
        <v>0</v>
      </c>
      <c r="Q174" s="390">
        <v>0</v>
      </c>
      <c r="R174" s="390">
        <v>0</v>
      </c>
      <c r="S174" s="63" t="s">
        <v>2147</v>
      </c>
      <c r="T174" s="63"/>
      <c r="U174" s="1039"/>
      <c r="V174" s="1039"/>
      <c r="W174" s="1039"/>
      <c r="X174" s="64" t="s">
        <v>2364</v>
      </c>
      <c r="Y174" s="439"/>
      <c r="Z174" s="439"/>
      <c r="AA174" s="439"/>
    </row>
    <row r="175" spans="1:29" ht="15" customHeight="1">
      <c r="A175" s="63">
        <f t="shared" si="39"/>
        <v>172</v>
      </c>
      <c r="B175" s="63" t="s">
        <v>1308</v>
      </c>
      <c r="C175" s="63" t="s">
        <v>1889</v>
      </c>
      <c r="D175" s="63" t="s">
        <v>1461</v>
      </c>
      <c r="E175" s="64">
        <v>2998</v>
      </c>
      <c r="F175" s="65" t="s">
        <v>1873</v>
      </c>
      <c r="G175" s="389">
        <f t="shared" si="42"/>
        <v>0.72</v>
      </c>
      <c r="H175" s="389">
        <f t="shared" si="42"/>
        <v>0.64</v>
      </c>
      <c r="I175" s="389">
        <f t="shared" si="42"/>
        <v>0.54999999999999993</v>
      </c>
      <c r="J175" s="389">
        <f t="shared" si="42"/>
        <v>0.47000000000000003</v>
      </c>
      <c r="K175" s="389">
        <f t="shared" si="42"/>
        <v>0.41000000000000003</v>
      </c>
      <c r="L175" s="720">
        <v>0.06</v>
      </c>
      <c r="M175" s="63" t="s">
        <v>320</v>
      </c>
      <c r="N175" s="440">
        <v>4.3999999999999997E-2</v>
      </c>
      <c r="O175" s="390">
        <v>6.0000000000000001E-3</v>
      </c>
      <c r="P175" s="390">
        <v>0</v>
      </c>
      <c r="Q175" s="390">
        <v>0</v>
      </c>
      <c r="R175" s="390">
        <v>0</v>
      </c>
      <c r="S175" s="63" t="s">
        <v>587</v>
      </c>
      <c r="T175" s="63"/>
      <c r="U175" s="1039"/>
      <c r="V175" s="1039"/>
      <c r="W175" s="1039"/>
      <c r="X175" s="64" t="s">
        <v>2364</v>
      </c>
      <c r="Y175" s="439"/>
      <c r="Z175" s="439"/>
      <c r="AA175" s="439"/>
    </row>
    <row r="176" spans="1:29" ht="15" customHeight="1">
      <c r="A176" s="63">
        <f t="shared" si="39"/>
        <v>173</v>
      </c>
      <c r="B176" s="63" t="s">
        <v>1308</v>
      </c>
      <c r="C176" s="63" t="s">
        <v>1889</v>
      </c>
      <c r="D176" s="63" t="s">
        <v>2197</v>
      </c>
      <c r="E176" s="64">
        <v>2998</v>
      </c>
      <c r="F176" s="65" t="s">
        <v>619</v>
      </c>
      <c r="G176" s="389">
        <f t="shared" si="42"/>
        <v>0.72</v>
      </c>
      <c r="H176" s="389">
        <f t="shared" si="42"/>
        <v>0.64</v>
      </c>
      <c r="I176" s="389">
        <f t="shared" si="42"/>
        <v>0.54999999999999993</v>
      </c>
      <c r="J176" s="389">
        <f t="shared" si="42"/>
        <v>0.47000000000000003</v>
      </c>
      <c r="K176" s="389">
        <f t="shared" si="42"/>
        <v>0.41000000000000003</v>
      </c>
      <c r="L176" s="720">
        <v>0.06</v>
      </c>
      <c r="M176" s="63" t="s">
        <v>320</v>
      </c>
      <c r="N176" s="440">
        <v>4.3999999999999997E-2</v>
      </c>
      <c r="O176" s="390">
        <v>6.0000000000000001E-3</v>
      </c>
      <c r="P176" s="390">
        <v>0</v>
      </c>
      <c r="Q176" s="390">
        <v>0</v>
      </c>
      <c r="R176" s="390">
        <v>0</v>
      </c>
      <c r="S176" s="63" t="s">
        <v>587</v>
      </c>
      <c r="T176" s="63"/>
      <c r="U176" s="1039"/>
      <c r="V176" s="1039"/>
      <c r="W176" s="1039"/>
      <c r="X176" s="64" t="s">
        <v>2364</v>
      </c>
      <c r="Y176" s="439"/>
      <c r="Z176" s="439"/>
      <c r="AA176" s="439"/>
    </row>
    <row r="177" spans="1:33" ht="15" customHeight="1">
      <c r="A177" s="63">
        <f t="shared" si="39"/>
        <v>174</v>
      </c>
      <c r="B177" s="63" t="s">
        <v>1306</v>
      </c>
      <c r="C177" s="63" t="s">
        <v>1307</v>
      </c>
      <c r="D177" s="1234" t="s">
        <v>2550</v>
      </c>
      <c r="E177" s="64">
        <v>2998</v>
      </c>
      <c r="F177" s="65" t="s">
        <v>619</v>
      </c>
      <c r="G177" s="389">
        <f t="shared" si="42"/>
        <v>0.72</v>
      </c>
      <c r="H177" s="389">
        <f t="shared" si="42"/>
        <v>0.64</v>
      </c>
      <c r="I177" s="389">
        <f t="shared" si="42"/>
        <v>0.54999999999999993</v>
      </c>
      <c r="J177" s="389">
        <f t="shared" si="42"/>
        <v>0.47000000000000003</v>
      </c>
      <c r="K177" s="389">
        <f t="shared" si="42"/>
        <v>0.41000000000000003</v>
      </c>
      <c r="L177" s="720">
        <v>0.06</v>
      </c>
      <c r="M177" s="63" t="s">
        <v>320</v>
      </c>
      <c r="N177" s="440">
        <v>4.3999999999999997E-2</v>
      </c>
      <c r="O177" s="390">
        <v>6.0000000000000001E-3</v>
      </c>
      <c r="P177" s="390">
        <v>0</v>
      </c>
      <c r="Q177" s="390">
        <v>0</v>
      </c>
      <c r="R177" s="390">
        <v>0</v>
      </c>
      <c r="S177" s="63" t="s">
        <v>587</v>
      </c>
      <c r="T177" s="63"/>
      <c r="U177" s="1039"/>
      <c r="V177" s="1039"/>
      <c r="W177" s="1039"/>
      <c r="X177" s="64" t="s">
        <v>2364</v>
      </c>
      <c r="Y177" s="439"/>
      <c r="Z177" s="439"/>
      <c r="AA177" s="439"/>
    </row>
    <row r="178" spans="1:33" ht="15" customHeight="1">
      <c r="A178" s="63">
        <f t="shared" si="39"/>
        <v>175</v>
      </c>
      <c r="B178" s="63" t="s">
        <v>1308</v>
      </c>
      <c r="C178" s="63" t="s">
        <v>1889</v>
      </c>
      <c r="D178" s="1234" t="s">
        <v>2349</v>
      </c>
      <c r="E178" s="64">
        <v>2998</v>
      </c>
      <c r="F178" s="65" t="s">
        <v>144</v>
      </c>
      <c r="G178" s="389">
        <f t="shared" si="42"/>
        <v>0.72</v>
      </c>
      <c r="H178" s="389">
        <f t="shared" si="42"/>
        <v>0.64</v>
      </c>
      <c r="I178" s="389">
        <f t="shared" si="42"/>
        <v>0.54999999999999993</v>
      </c>
      <c r="J178" s="389">
        <f t="shared" si="42"/>
        <v>0.47000000000000003</v>
      </c>
      <c r="K178" s="389">
        <f t="shared" si="42"/>
        <v>0.41000000000000003</v>
      </c>
      <c r="L178" s="720">
        <v>0.06</v>
      </c>
      <c r="M178" s="63" t="s">
        <v>320</v>
      </c>
      <c r="N178" s="440">
        <v>4.3999999999999997E-2</v>
      </c>
      <c r="O178" s="390">
        <v>6.0000000000000001E-3</v>
      </c>
      <c r="P178" s="390">
        <v>0</v>
      </c>
      <c r="Q178" s="390">
        <v>0</v>
      </c>
      <c r="R178" s="390">
        <v>0</v>
      </c>
      <c r="S178" s="63" t="str">
        <f t="shared" ref="S178:S245" si="43">+IF(LEFT(D178,1)="E","Y",IF(LEFT(D178,1)="S","Y",IF(LEFT(D178,1)="X","Y","N")))</f>
        <v>N</v>
      </c>
      <c r="T178" s="63"/>
      <c r="U178" s="1039"/>
      <c r="V178" s="1039"/>
      <c r="W178" s="1039"/>
      <c r="X178" s="64" t="s">
        <v>2364</v>
      </c>
      <c r="Y178" s="439"/>
      <c r="Z178" s="439"/>
      <c r="AA178" s="439"/>
    </row>
    <row r="179" spans="1:33" ht="15" customHeight="1">
      <c r="A179" s="63">
        <f t="shared" si="39"/>
        <v>176</v>
      </c>
      <c r="B179" s="63" t="s">
        <v>1308</v>
      </c>
      <c r="C179" s="63" t="s">
        <v>2343</v>
      </c>
      <c r="D179" s="1234" t="s">
        <v>1922</v>
      </c>
      <c r="E179" s="64">
        <v>2998</v>
      </c>
      <c r="F179" s="65" t="s">
        <v>144</v>
      </c>
      <c r="G179" s="389">
        <f t="shared" si="42"/>
        <v>0.72</v>
      </c>
      <c r="H179" s="389">
        <f t="shared" si="42"/>
        <v>0.64</v>
      </c>
      <c r="I179" s="389">
        <f t="shared" si="42"/>
        <v>0.54999999999999993</v>
      </c>
      <c r="J179" s="389">
        <f t="shared" si="42"/>
        <v>0.47000000000000003</v>
      </c>
      <c r="K179" s="389">
        <f t="shared" si="42"/>
        <v>0.41000000000000003</v>
      </c>
      <c r="L179" s="720">
        <v>0.06</v>
      </c>
      <c r="M179" s="63" t="s">
        <v>320</v>
      </c>
      <c r="N179" s="440">
        <v>4.3999999999999997E-2</v>
      </c>
      <c r="O179" s="390">
        <v>6.0000000000000001E-3</v>
      </c>
      <c r="P179" s="390">
        <v>0</v>
      </c>
      <c r="Q179" s="390">
        <v>0</v>
      </c>
      <c r="R179" s="390">
        <v>0</v>
      </c>
      <c r="S179" s="63" t="str">
        <f t="shared" si="43"/>
        <v>N</v>
      </c>
      <c r="T179" s="63"/>
      <c r="U179" s="1039"/>
      <c r="V179" s="1039"/>
      <c r="W179" s="1039"/>
      <c r="X179" s="64" t="s">
        <v>2364</v>
      </c>
      <c r="Y179" s="439"/>
      <c r="Z179" s="439"/>
      <c r="AA179" s="439"/>
    </row>
    <row r="180" spans="1:33" ht="15" customHeight="1">
      <c r="A180" s="63">
        <f t="shared" si="39"/>
        <v>177</v>
      </c>
      <c r="B180" s="63" t="s">
        <v>1308</v>
      </c>
      <c r="C180" s="63" t="s">
        <v>1889</v>
      </c>
      <c r="D180" s="1234" t="s">
        <v>2350</v>
      </c>
      <c r="E180" s="64">
        <v>4395</v>
      </c>
      <c r="F180" s="65" t="s">
        <v>144</v>
      </c>
      <c r="G180" s="389">
        <f t="shared" si="42"/>
        <v>0.67999999999999994</v>
      </c>
      <c r="H180" s="389">
        <f t="shared" si="42"/>
        <v>0.6</v>
      </c>
      <c r="I180" s="389">
        <f t="shared" si="42"/>
        <v>0.5099999999999999</v>
      </c>
      <c r="J180" s="389">
        <f t="shared" si="42"/>
        <v>0.43</v>
      </c>
      <c r="K180" s="389">
        <f t="shared" si="42"/>
        <v>0.37</v>
      </c>
      <c r="L180" s="720">
        <v>0.06</v>
      </c>
      <c r="M180" s="63" t="s">
        <v>324</v>
      </c>
      <c r="N180" s="440">
        <v>4.3999999999999997E-2</v>
      </c>
      <c r="O180" s="390">
        <v>6.0000000000000001E-3</v>
      </c>
      <c r="P180" s="390">
        <v>0</v>
      </c>
      <c r="Q180" s="390">
        <v>0</v>
      </c>
      <c r="R180" s="390">
        <v>0</v>
      </c>
      <c r="S180" s="63" t="str">
        <f t="shared" si="43"/>
        <v>N</v>
      </c>
      <c r="T180" s="63"/>
      <c r="U180" s="1039"/>
      <c r="V180" s="1039"/>
      <c r="W180" s="1039"/>
      <c r="X180" s="64" t="s">
        <v>2364</v>
      </c>
      <c r="Y180" s="439"/>
      <c r="Z180" s="439"/>
      <c r="AA180" s="439"/>
    </row>
    <row r="181" spans="1:33" ht="15" customHeight="1">
      <c r="A181" s="63">
        <f t="shared" si="39"/>
        <v>178</v>
      </c>
      <c r="B181" s="63" t="s">
        <v>1308</v>
      </c>
      <c r="C181" s="63" t="s">
        <v>1889</v>
      </c>
      <c r="D181" s="1234" t="s">
        <v>2351</v>
      </c>
      <c r="E181" s="64">
        <v>4395</v>
      </c>
      <c r="F181" s="65" t="s">
        <v>144</v>
      </c>
      <c r="G181" s="389">
        <f t="shared" si="42"/>
        <v>0.67999999999999994</v>
      </c>
      <c r="H181" s="389">
        <f t="shared" si="42"/>
        <v>0.6</v>
      </c>
      <c r="I181" s="389">
        <f t="shared" si="42"/>
        <v>0.5099999999999999</v>
      </c>
      <c r="J181" s="389">
        <f t="shared" si="42"/>
        <v>0.43</v>
      </c>
      <c r="K181" s="389">
        <f t="shared" si="42"/>
        <v>0.37</v>
      </c>
      <c r="L181" s="720">
        <v>0.06</v>
      </c>
      <c r="M181" s="63" t="s">
        <v>324</v>
      </c>
      <c r="N181" s="440">
        <v>4.3999999999999997E-2</v>
      </c>
      <c r="O181" s="390">
        <v>6.0000000000000001E-3</v>
      </c>
      <c r="P181" s="390">
        <v>0</v>
      </c>
      <c r="Q181" s="390">
        <v>0</v>
      </c>
      <c r="R181" s="390">
        <v>0</v>
      </c>
      <c r="S181" s="63" t="str">
        <f t="shared" si="43"/>
        <v>N</v>
      </c>
      <c r="T181" s="63"/>
      <c r="U181" s="1039"/>
      <c r="V181" s="1039"/>
      <c r="W181" s="1039"/>
      <c r="X181" s="64" t="s">
        <v>2364</v>
      </c>
      <c r="Y181" s="439"/>
      <c r="Z181" s="439"/>
      <c r="AA181" s="439"/>
      <c r="AB181" s="439"/>
      <c r="AC181" s="439"/>
      <c r="AD181" s="439"/>
      <c r="AE181" s="439"/>
      <c r="AF181" s="439"/>
      <c r="AG181" s="439"/>
    </row>
    <row r="182" spans="1:33" ht="15" customHeight="1">
      <c r="A182" s="63">
        <f t="shared" si="39"/>
        <v>179</v>
      </c>
      <c r="B182" s="63" t="s">
        <v>1308</v>
      </c>
      <c r="C182" s="63" t="s">
        <v>1889</v>
      </c>
      <c r="D182" s="1234" t="s">
        <v>1923</v>
      </c>
      <c r="E182" s="64">
        <v>2993</v>
      </c>
      <c r="F182" s="65" t="s">
        <v>144</v>
      </c>
      <c r="G182" s="389">
        <f t="shared" si="42"/>
        <v>0.59</v>
      </c>
      <c r="H182" s="389">
        <f t="shared" si="42"/>
        <v>0.51</v>
      </c>
      <c r="I182" s="389">
        <f t="shared" si="42"/>
        <v>0.42</v>
      </c>
      <c r="J182" s="389">
        <f t="shared" si="42"/>
        <v>0.34</v>
      </c>
      <c r="K182" s="389">
        <f t="shared" si="42"/>
        <v>0.28000000000000003</v>
      </c>
      <c r="L182" s="720">
        <v>0.06</v>
      </c>
      <c r="M182" s="63" t="s">
        <v>666</v>
      </c>
      <c r="N182" s="440">
        <v>4.3999999999999997E-2</v>
      </c>
      <c r="O182" s="390">
        <v>6.0000000000000001E-3</v>
      </c>
      <c r="P182" s="390">
        <v>0</v>
      </c>
      <c r="Q182" s="390">
        <v>0</v>
      </c>
      <c r="R182" s="390">
        <v>0</v>
      </c>
      <c r="S182" s="63" t="str">
        <f t="shared" si="43"/>
        <v>N</v>
      </c>
      <c r="T182" s="63"/>
      <c r="U182" s="1039"/>
      <c r="V182" s="1039"/>
      <c r="W182" s="1039"/>
      <c r="X182" s="64" t="s">
        <v>2364</v>
      </c>
      <c r="Y182" s="439"/>
      <c r="Z182" s="439"/>
      <c r="AA182" s="439"/>
      <c r="AB182" s="439"/>
      <c r="AC182" s="439"/>
      <c r="AD182" s="439"/>
      <c r="AE182" s="439"/>
      <c r="AF182" s="439"/>
      <c r="AG182" s="439"/>
    </row>
    <row r="183" spans="1:33" ht="15" customHeight="1">
      <c r="A183" s="63">
        <f t="shared" si="39"/>
        <v>180</v>
      </c>
      <c r="B183" s="63" t="s">
        <v>1308</v>
      </c>
      <c r="C183" s="63" t="s">
        <v>1889</v>
      </c>
      <c r="D183" s="1234" t="s">
        <v>1462</v>
      </c>
      <c r="E183" s="64">
        <v>2993</v>
      </c>
      <c r="F183" s="65" t="s">
        <v>144</v>
      </c>
      <c r="G183" s="389">
        <f t="shared" si="42"/>
        <v>0.59</v>
      </c>
      <c r="H183" s="389">
        <f t="shared" si="42"/>
        <v>0.51</v>
      </c>
      <c r="I183" s="389">
        <f t="shared" si="42"/>
        <v>0.42</v>
      </c>
      <c r="J183" s="389">
        <f t="shared" si="42"/>
        <v>0.34</v>
      </c>
      <c r="K183" s="389">
        <f t="shared" si="42"/>
        <v>0.28000000000000003</v>
      </c>
      <c r="L183" s="720">
        <v>0.06</v>
      </c>
      <c r="M183" s="63" t="s">
        <v>666</v>
      </c>
      <c r="N183" s="440">
        <v>4.3999999999999997E-2</v>
      </c>
      <c r="O183" s="390">
        <v>6.0000000000000001E-3</v>
      </c>
      <c r="P183" s="390">
        <v>0</v>
      </c>
      <c r="Q183" s="390">
        <v>0</v>
      </c>
      <c r="R183" s="390">
        <v>0</v>
      </c>
      <c r="S183" s="63" t="str">
        <f t="shared" si="43"/>
        <v>N</v>
      </c>
      <c r="T183" s="63"/>
      <c r="U183" s="1039"/>
      <c r="V183" s="1039"/>
      <c r="W183" s="1039"/>
      <c r="X183" s="64" t="s">
        <v>2364</v>
      </c>
      <c r="Y183" s="439"/>
      <c r="Z183" s="439"/>
      <c r="AA183" s="439"/>
      <c r="AB183" s="439"/>
      <c r="AC183" s="439"/>
      <c r="AD183" s="439"/>
      <c r="AE183" s="439"/>
      <c r="AF183" s="439"/>
      <c r="AG183" s="439"/>
    </row>
    <row r="184" spans="1:33" ht="15" customHeight="1">
      <c r="A184" s="63">
        <f t="shared" si="39"/>
        <v>181</v>
      </c>
      <c r="B184" s="63" t="s">
        <v>1308</v>
      </c>
      <c r="C184" s="63" t="s">
        <v>1889</v>
      </c>
      <c r="D184" s="1234" t="s">
        <v>2352</v>
      </c>
      <c r="E184" s="64">
        <v>2993</v>
      </c>
      <c r="F184" s="65" t="s">
        <v>144</v>
      </c>
      <c r="G184" s="389">
        <f t="shared" si="42"/>
        <v>0.59</v>
      </c>
      <c r="H184" s="389">
        <f t="shared" si="42"/>
        <v>0.51</v>
      </c>
      <c r="I184" s="389">
        <f t="shared" si="42"/>
        <v>0.42</v>
      </c>
      <c r="J184" s="389">
        <f t="shared" si="42"/>
        <v>0.34</v>
      </c>
      <c r="K184" s="389">
        <f t="shared" si="42"/>
        <v>0.28000000000000003</v>
      </c>
      <c r="L184" s="720">
        <v>0.06</v>
      </c>
      <c r="M184" s="63" t="s">
        <v>666</v>
      </c>
      <c r="N184" s="440">
        <v>4.3999999999999997E-2</v>
      </c>
      <c r="O184" s="390">
        <v>6.0000000000000001E-3</v>
      </c>
      <c r="P184" s="390">
        <v>0</v>
      </c>
      <c r="Q184" s="390">
        <v>0</v>
      </c>
      <c r="R184" s="390">
        <v>0</v>
      </c>
      <c r="S184" s="63" t="str">
        <f t="shared" si="43"/>
        <v>N</v>
      </c>
      <c r="T184" s="63"/>
      <c r="U184" s="1039"/>
      <c r="V184" s="1039"/>
      <c r="W184" s="1039"/>
      <c r="X184" s="64" t="s">
        <v>2364</v>
      </c>
      <c r="Y184" s="439"/>
      <c r="Z184" s="439"/>
      <c r="AA184" s="439"/>
      <c r="AB184" s="439"/>
      <c r="AC184" s="439"/>
      <c r="AD184" s="439"/>
      <c r="AE184" s="439"/>
      <c r="AF184" s="439"/>
      <c r="AG184" s="439"/>
    </row>
    <row r="185" spans="1:33" ht="15" customHeight="1">
      <c r="A185" s="63">
        <f t="shared" si="39"/>
        <v>182</v>
      </c>
      <c r="B185" s="63" t="s">
        <v>2332</v>
      </c>
      <c r="C185" s="63" t="s">
        <v>1889</v>
      </c>
      <c r="D185" s="1234" t="s">
        <v>1924</v>
      </c>
      <c r="E185" s="64">
        <v>2993</v>
      </c>
      <c r="F185" s="65" t="s">
        <v>144</v>
      </c>
      <c r="G185" s="389">
        <f t="shared" si="42"/>
        <v>0.59</v>
      </c>
      <c r="H185" s="389">
        <f t="shared" si="42"/>
        <v>0.51</v>
      </c>
      <c r="I185" s="389">
        <f t="shared" si="42"/>
        <v>0.42</v>
      </c>
      <c r="J185" s="389">
        <f t="shared" si="42"/>
        <v>0.34</v>
      </c>
      <c r="K185" s="389">
        <f t="shared" si="42"/>
        <v>0.28000000000000003</v>
      </c>
      <c r="L185" s="720">
        <v>0.06</v>
      </c>
      <c r="M185" s="63" t="s">
        <v>666</v>
      </c>
      <c r="N185" s="440">
        <v>4.3999999999999997E-2</v>
      </c>
      <c r="O185" s="390">
        <v>6.0000000000000001E-3</v>
      </c>
      <c r="P185" s="390">
        <v>0</v>
      </c>
      <c r="Q185" s="390">
        <v>0</v>
      </c>
      <c r="R185" s="390">
        <v>0</v>
      </c>
      <c r="S185" s="63" t="str">
        <f t="shared" si="43"/>
        <v>N</v>
      </c>
      <c r="T185" s="63"/>
      <c r="U185" s="1039"/>
      <c r="V185" s="1039"/>
      <c r="W185" s="1039"/>
      <c r="X185" s="64" t="s">
        <v>2364</v>
      </c>
      <c r="Y185" s="439"/>
      <c r="Z185" s="439"/>
      <c r="AA185" s="439"/>
      <c r="AB185" s="439"/>
      <c r="AC185" s="439"/>
      <c r="AD185" s="439"/>
      <c r="AE185" s="439"/>
      <c r="AF185" s="439"/>
      <c r="AG185" s="439"/>
    </row>
    <row r="186" spans="1:33" ht="15" customHeight="1">
      <c r="A186" s="63">
        <f t="shared" si="39"/>
        <v>183</v>
      </c>
      <c r="B186" s="63" t="s">
        <v>1308</v>
      </c>
      <c r="C186" s="63" t="s">
        <v>1889</v>
      </c>
      <c r="D186" s="1234" t="s">
        <v>1925</v>
      </c>
      <c r="E186" s="64">
        <v>2993</v>
      </c>
      <c r="F186" s="65" t="s">
        <v>144</v>
      </c>
      <c r="G186" s="389">
        <f t="shared" si="42"/>
        <v>0.59</v>
      </c>
      <c r="H186" s="389">
        <f t="shared" si="42"/>
        <v>0.51</v>
      </c>
      <c r="I186" s="389">
        <f t="shared" si="42"/>
        <v>0.42</v>
      </c>
      <c r="J186" s="389">
        <f t="shared" si="42"/>
        <v>0.34</v>
      </c>
      <c r="K186" s="389">
        <f t="shared" si="42"/>
        <v>0.28000000000000003</v>
      </c>
      <c r="L186" s="720">
        <v>0.06</v>
      </c>
      <c r="M186" s="63" t="s">
        <v>666</v>
      </c>
      <c r="N186" s="440">
        <v>4.3999999999999997E-2</v>
      </c>
      <c r="O186" s="390">
        <v>6.0000000000000001E-3</v>
      </c>
      <c r="P186" s="390">
        <v>0</v>
      </c>
      <c r="Q186" s="390">
        <v>0</v>
      </c>
      <c r="R186" s="390">
        <v>0</v>
      </c>
      <c r="S186" s="63" t="str">
        <f t="shared" si="43"/>
        <v>N</v>
      </c>
      <c r="T186" s="63"/>
      <c r="U186" s="1039"/>
      <c r="V186" s="1039"/>
      <c r="W186" s="1039"/>
      <c r="X186" s="64" t="s">
        <v>2364</v>
      </c>
      <c r="Y186" s="439"/>
      <c r="Z186" s="439"/>
      <c r="AA186" s="439"/>
      <c r="AB186" s="439"/>
      <c r="AC186" s="439"/>
    </row>
    <row r="187" spans="1:33" ht="15" customHeight="1">
      <c r="A187" s="63">
        <f t="shared" si="39"/>
        <v>184</v>
      </c>
      <c r="B187" s="63" t="s">
        <v>1308</v>
      </c>
      <c r="C187" s="63" t="s">
        <v>1889</v>
      </c>
      <c r="D187" s="1234" t="s">
        <v>1926</v>
      </c>
      <c r="E187" s="64">
        <v>4395</v>
      </c>
      <c r="F187" s="65" t="s">
        <v>144</v>
      </c>
      <c r="G187" s="389">
        <f t="shared" si="42"/>
        <v>0.57999999999999996</v>
      </c>
      <c r="H187" s="389">
        <f t="shared" si="42"/>
        <v>0.5</v>
      </c>
      <c r="I187" s="389">
        <f t="shared" si="42"/>
        <v>0.41</v>
      </c>
      <c r="J187" s="389">
        <f t="shared" si="42"/>
        <v>0.32999999999999996</v>
      </c>
      <c r="K187" s="389">
        <f t="shared" si="42"/>
        <v>0.26999999999999996</v>
      </c>
      <c r="L187" s="720">
        <v>0.06</v>
      </c>
      <c r="M187" s="63" t="s">
        <v>662</v>
      </c>
      <c r="N187" s="440">
        <v>4.3999999999999997E-2</v>
      </c>
      <c r="O187" s="390">
        <v>6.0000000000000001E-3</v>
      </c>
      <c r="P187" s="390">
        <v>0</v>
      </c>
      <c r="Q187" s="390">
        <v>0</v>
      </c>
      <c r="R187" s="390">
        <v>0</v>
      </c>
      <c r="S187" s="63" t="str">
        <f t="shared" si="43"/>
        <v>N</v>
      </c>
      <c r="T187" s="63"/>
      <c r="U187" s="1039"/>
      <c r="V187" s="1039"/>
      <c r="W187" s="1039"/>
      <c r="X187" s="64" t="s">
        <v>2364</v>
      </c>
      <c r="Y187" s="439"/>
      <c r="Z187" s="439"/>
      <c r="AA187" s="439"/>
      <c r="AB187" s="439"/>
      <c r="AC187" s="439"/>
    </row>
    <row r="188" spans="1:33" ht="15" customHeight="1">
      <c r="A188" s="63">
        <f t="shared" si="39"/>
        <v>185</v>
      </c>
      <c r="B188" s="63" t="s">
        <v>1308</v>
      </c>
      <c r="C188" s="63" t="s">
        <v>1889</v>
      </c>
      <c r="D188" s="1234" t="s">
        <v>2198</v>
      </c>
      <c r="E188" s="64">
        <v>4395</v>
      </c>
      <c r="F188" s="65" t="s">
        <v>144</v>
      </c>
      <c r="G188" s="389">
        <f t="shared" si="42"/>
        <v>0.57999999999999996</v>
      </c>
      <c r="H188" s="389">
        <f t="shared" si="42"/>
        <v>0.5</v>
      </c>
      <c r="I188" s="389">
        <f t="shared" si="42"/>
        <v>0.41</v>
      </c>
      <c r="J188" s="389">
        <f t="shared" si="42"/>
        <v>0.32999999999999996</v>
      </c>
      <c r="K188" s="389">
        <f t="shared" si="42"/>
        <v>0.26999999999999996</v>
      </c>
      <c r="L188" s="720">
        <v>0.06</v>
      </c>
      <c r="M188" s="63" t="s">
        <v>662</v>
      </c>
      <c r="N188" s="440">
        <v>4.3999999999999997E-2</v>
      </c>
      <c r="O188" s="390">
        <v>6.0000000000000001E-3</v>
      </c>
      <c r="P188" s="390">
        <v>0</v>
      </c>
      <c r="Q188" s="390">
        <v>0</v>
      </c>
      <c r="R188" s="390">
        <v>0</v>
      </c>
      <c r="S188" s="63" t="str">
        <f t="shared" si="43"/>
        <v>N</v>
      </c>
      <c r="T188" s="63"/>
      <c r="U188" s="1039"/>
      <c r="V188" s="1039"/>
      <c r="W188" s="1039"/>
      <c r="X188" s="64" t="s">
        <v>2364</v>
      </c>
      <c r="Y188" s="439"/>
      <c r="Z188" s="439"/>
      <c r="AA188" s="439"/>
      <c r="AB188" s="439"/>
      <c r="AC188" s="439"/>
    </row>
    <row r="189" spans="1:33" ht="15" customHeight="1">
      <c r="A189" s="63">
        <f t="shared" si="39"/>
        <v>186</v>
      </c>
      <c r="B189" s="63" t="s">
        <v>1308</v>
      </c>
      <c r="C189" s="63" t="s">
        <v>2343</v>
      </c>
      <c r="D189" s="1234" t="s">
        <v>1893</v>
      </c>
      <c r="E189" s="64">
        <v>4395</v>
      </c>
      <c r="F189" s="65" t="s">
        <v>144</v>
      </c>
      <c r="G189" s="389">
        <f t="shared" si="42"/>
        <v>0.57999999999999996</v>
      </c>
      <c r="H189" s="389">
        <f t="shared" si="42"/>
        <v>0.5</v>
      </c>
      <c r="I189" s="389">
        <f t="shared" si="42"/>
        <v>0.41</v>
      </c>
      <c r="J189" s="389">
        <f t="shared" si="42"/>
        <v>0.32999999999999996</v>
      </c>
      <c r="K189" s="389">
        <f t="shared" si="42"/>
        <v>0.26999999999999996</v>
      </c>
      <c r="L189" s="720">
        <v>0.06</v>
      </c>
      <c r="M189" s="63" t="s">
        <v>662</v>
      </c>
      <c r="N189" s="440">
        <v>4.3999999999999997E-2</v>
      </c>
      <c r="O189" s="390">
        <v>6.0000000000000001E-3</v>
      </c>
      <c r="P189" s="390">
        <v>0</v>
      </c>
      <c r="Q189" s="390">
        <v>0</v>
      </c>
      <c r="R189" s="390">
        <v>0</v>
      </c>
      <c r="S189" s="63" t="str">
        <f t="shared" si="43"/>
        <v>N</v>
      </c>
      <c r="T189" s="63"/>
      <c r="U189" s="1039"/>
      <c r="V189" s="1039"/>
      <c r="W189" s="1039"/>
      <c r="X189" s="64" t="s">
        <v>2364</v>
      </c>
      <c r="Y189" s="439"/>
      <c r="Z189" s="439"/>
      <c r="AA189" s="439"/>
      <c r="AB189" s="439"/>
      <c r="AC189" s="439"/>
      <c r="AD189" s="439"/>
      <c r="AE189" s="439"/>
      <c r="AF189" s="439"/>
      <c r="AG189" s="439"/>
    </row>
    <row r="190" spans="1:33" ht="15" customHeight="1">
      <c r="A190" s="63">
        <f t="shared" si="39"/>
        <v>187</v>
      </c>
      <c r="B190" s="63" t="s">
        <v>1308</v>
      </c>
      <c r="C190" s="63" t="s">
        <v>1889</v>
      </c>
      <c r="D190" s="1234" t="s">
        <v>2353</v>
      </c>
      <c r="E190" s="64">
        <v>1995</v>
      </c>
      <c r="F190" s="65" t="s">
        <v>189</v>
      </c>
      <c r="G190" s="389">
        <f t="shared" si="42"/>
        <v>0.74</v>
      </c>
      <c r="H190" s="389">
        <f t="shared" si="42"/>
        <v>0.66</v>
      </c>
      <c r="I190" s="389">
        <f t="shared" si="42"/>
        <v>0.56999999999999995</v>
      </c>
      <c r="J190" s="389">
        <f t="shared" si="42"/>
        <v>0.49</v>
      </c>
      <c r="K190" s="389">
        <f t="shared" si="42"/>
        <v>0.43000000000000005</v>
      </c>
      <c r="L190" s="720">
        <v>0.06</v>
      </c>
      <c r="M190" s="63" t="s">
        <v>3163</v>
      </c>
      <c r="N190" s="440">
        <v>4.3999999999999997E-2</v>
      </c>
      <c r="O190" s="390">
        <v>6.0000000000000001E-3</v>
      </c>
      <c r="P190" s="390">
        <v>0</v>
      </c>
      <c r="Q190" s="390">
        <v>0</v>
      </c>
      <c r="R190" s="390">
        <v>0</v>
      </c>
      <c r="S190" s="63" t="str">
        <f t="shared" si="43"/>
        <v>Y</v>
      </c>
      <c r="T190" s="63"/>
      <c r="U190" s="1039"/>
      <c r="V190" s="1039"/>
      <c r="W190" s="1039"/>
      <c r="X190" s="64" t="s">
        <v>2364</v>
      </c>
      <c r="Y190" s="439"/>
      <c r="Z190" s="439"/>
      <c r="AA190" s="439"/>
      <c r="AB190" s="439"/>
      <c r="AC190" s="439"/>
      <c r="AD190" s="439"/>
      <c r="AE190" s="439"/>
      <c r="AF190" s="439"/>
      <c r="AG190" s="439"/>
    </row>
    <row r="191" spans="1:33" ht="15" customHeight="1">
      <c r="A191" s="63">
        <f t="shared" si="39"/>
        <v>188</v>
      </c>
      <c r="B191" s="63" t="s">
        <v>1308</v>
      </c>
      <c r="C191" s="63" t="s">
        <v>1889</v>
      </c>
      <c r="D191" s="1234" t="s">
        <v>2354</v>
      </c>
      <c r="E191" s="64">
        <v>1995</v>
      </c>
      <c r="F191" s="65" t="s">
        <v>620</v>
      </c>
      <c r="G191" s="389">
        <f t="shared" si="42"/>
        <v>0.74</v>
      </c>
      <c r="H191" s="389">
        <f t="shared" si="42"/>
        <v>0.66</v>
      </c>
      <c r="I191" s="389">
        <f t="shared" si="42"/>
        <v>0.56999999999999995</v>
      </c>
      <c r="J191" s="389">
        <f t="shared" si="42"/>
        <v>0.49</v>
      </c>
      <c r="K191" s="389">
        <f t="shared" si="42"/>
        <v>0.43000000000000005</v>
      </c>
      <c r="L191" s="720">
        <v>0.06</v>
      </c>
      <c r="M191" s="63" t="s">
        <v>3164</v>
      </c>
      <c r="N191" s="440">
        <v>4.3999999999999997E-2</v>
      </c>
      <c r="O191" s="390">
        <v>6.0000000000000001E-3</v>
      </c>
      <c r="P191" s="390">
        <v>0</v>
      </c>
      <c r="Q191" s="390">
        <v>0</v>
      </c>
      <c r="R191" s="390">
        <v>0</v>
      </c>
      <c r="S191" s="63" t="str">
        <f t="shared" si="43"/>
        <v>Y</v>
      </c>
      <c r="T191" s="63"/>
      <c r="U191" s="1039"/>
      <c r="V191" s="1039"/>
      <c r="W191" s="1039"/>
      <c r="X191" s="64" t="s">
        <v>2364</v>
      </c>
      <c r="Y191" s="439"/>
      <c r="Z191" s="439"/>
      <c r="AA191" s="439"/>
      <c r="AB191" s="439"/>
      <c r="AC191" s="439"/>
      <c r="AD191" s="439"/>
      <c r="AE191" s="439"/>
      <c r="AF191" s="439"/>
      <c r="AG191" s="439"/>
    </row>
    <row r="192" spans="1:33" ht="15" customHeight="1">
      <c r="A192" s="63">
        <f t="shared" si="39"/>
        <v>189</v>
      </c>
      <c r="B192" s="63" t="s">
        <v>1308</v>
      </c>
      <c r="C192" s="63" t="s">
        <v>2343</v>
      </c>
      <c r="D192" s="1234" t="s">
        <v>1927</v>
      </c>
      <c r="E192" s="64">
        <v>1998</v>
      </c>
      <c r="F192" s="65" t="s">
        <v>620</v>
      </c>
      <c r="G192" s="389">
        <f t="shared" si="42"/>
        <v>0.74</v>
      </c>
      <c r="H192" s="389">
        <f t="shared" si="42"/>
        <v>0.66</v>
      </c>
      <c r="I192" s="389">
        <f t="shared" si="42"/>
        <v>0.56999999999999995</v>
      </c>
      <c r="J192" s="389">
        <f t="shared" si="42"/>
        <v>0.49</v>
      </c>
      <c r="K192" s="389">
        <f t="shared" si="42"/>
        <v>0.43000000000000005</v>
      </c>
      <c r="L192" s="720">
        <v>0.06</v>
      </c>
      <c r="M192" s="63" t="s">
        <v>3165</v>
      </c>
      <c r="N192" s="440">
        <v>4.3999999999999997E-2</v>
      </c>
      <c r="O192" s="390">
        <v>6.0000000000000001E-3</v>
      </c>
      <c r="P192" s="390">
        <v>0</v>
      </c>
      <c r="Q192" s="390">
        <v>0</v>
      </c>
      <c r="R192" s="390">
        <v>0</v>
      </c>
      <c r="S192" s="63" t="str">
        <f t="shared" si="43"/>
        <v>Y</v>
      </c>
      <c r="T192" s="63"/>
      <c r="U192" s="1039"/>
      <c r="V192" s="1039"/>
      <c r="W192" s="1039"/>
      <c r="X192" s="64" t="s">
        <v>2364</v>
      </c>
      <c r="Y192" s="439"/>
      <c r="Z192" s="439"/>
      <c r="AA192" s="439"/>
      <c r="AB192" s="439"/>
      <c r="AC192" s="439"/>
    </row>
    <row r="193" spans="1:33" ht="15" customHeight="1">
      <c r="A193" s="63">
        <f t="shared" si="39"/>
        <v>190</v>
      </c>
      <c r="B193" s="63" t="s">
        <v>1308</v>
      </c>
      <c r="C193" s="63" t="s">
        <v>1889</v>
      </c>
      <c r="D193" s="1234" t="s">
        <v>1928</v>
      </c>
      <c r="E193" s="64">
        <v>1998</v>
      </c>
      <c r="F193" s="65" t="s">
        <v>1870</v>
      </c>
      <c r="G193" s="389">
        <f t="shared" si="42"/>
        <v>0.74</v>
      </c>
      <c r="H193" s="389">
        <f t="shared" si="42"/>
        <v>0.66</v>
      </c>
      <c r="I193" s="389">
        <f t="shared" si="42"/>
        <v>0.56999999999999995</v>
      </c>
      <c r="J193" s="389">
        <f t="shared" si="42"/>
        <v>0.49</v>
      </c>
      <c r="K193" s="389">
        <f t="shared" si="42"/>
        <v>0.43000000000000005</v>
      </c>
      <c r="L193" s="720">
        <v>0.06</v>
      </c>
      <c r="M193" s="63" t="s">
        <v>3165</v>
      </c>
      <c r="N193" s="440">
        <v>4.3999999999999997E-2</v>
      </c>
      <c r="O193" s="390">
        <v>6.0000000000000001E-3</v>
      </c>
      <c r="P193" s="390">
        <v>0</v>
      </c>
      <c r="Q193" s="390">
        <v>0</v>
      </c>
      <c r="R193" s="390">
        <v>0</v>
      </c>
      <c r="S193" s="63" t="str">
        <f t="shared" si="43"/>
        <v>Y</v>
      </c>
      <c r="T193" s="63"/>
      <c r="U193" s="1039"/>
      <c r="V193" s="1039"/>
      <c r="W193" s="1039"/>
      <c r="X193" s="64" t="s">
        <v>2364</v>
      </c>
      <c r="Y193" s="439"/>
      <c r="Z193" s="439"/>
      <c r="AA193" s="439"/>
      <c r="AB193" s="439"/>
      <c r="AC193" s="439"/>
    </row>
    <row r="194" spans="1:33" ht="15" customHeight="1">
      <c r="A194" s="63">
        <f t="shared" si="39"/>
        <v>191</v>
      </c>
      <c r="B194" s="63" t="s">
        <v>1308</v>
      </c>
      <c r="C194" s="63" t="s">
        <v>1889</v>
      </c>
      <c r="D194" s="1234" t="s">
        <v>2572</v>
      </c>
      <c r="E194" s="64">
        <v>1998</v>
      </c>
      <c r="F194" s="65" t="s">
        <v>1870</v>
      </c>
      <c r="G194" s="389">
        <f t="shared" si="42"/>
        <v>0.74</v>
      </c>
      <c r="H194" s="389">
        <f t="shared" si="42"/>
        <v>0.66</v>
      </c>
      <c r="I194" s="389">
        <f t="shared" si="42"/>
        <v>0.56999999999999995</v>
      </c>
      <c r="J194" s="389">
        <f t="shared" si="42"/>
        <v>0.49</v>
      </c>
      <c r="K194" s="389">
        <f t="shared" si="42"/>
        <v>0.43000000000000005</v>
      </c>
      <c r="L194" s="720">
        <v>0.06</v>
      </c>
      <c r="M194" s="63" t="s">
        <v>3163</v>
      </c>
      <c r="N194" s="440">
        <v>4.3999999999999997E-2</v>
      </c>
      <c r="O194" s="390">
        <v>6.0000000000000001E-3</v>
      </c>
      <c r="P194" s="390">
        <v>0</v>
      </c>
      <c r="Q194" s="390">
        <v>0</v>
      </c>
      <c r="R194" s="390">
        <v>0</v>
      </c>
      <c r="S194" s="63" t="str">
        <f t="shared" ref="S194:S196" si="44">+IF(LEFT(D194,1)="E","Y",IF(LEFT(D194,1)="S","Y",IF(LEFT(D194,1)="X","Y","N")))</f>
        <v>Y</v>
      </c>
      <c r="T194" s="63"/>
      <c r="U194" s="1039"/>
      <c r="V194" s="1039"/>
      <c r="W194" s="1039"/>
      <c r="X194" s="64" t="s">
        <v>2364</v>
      </c>
      <c r="Y194" s="439"/>
      <c r="Z194" s="439"/>
      <c r="AA194" s="439"/>
      <c r="AB194" s="439"/>
      <c r="AC194" s="439"/>
    </row>
    <row r="195" spans="1:33" ht="15" customHeight="1">
      <c r="A195" s="63">
        <f t="shared" si="39"/>
        <v>192</v>
      </c>
      <c r="B195" s="63" t="s">
        <v>1308</v>
      </c>
      <c r="C195" s="63" t="s">
        <v>1889</v>
      </c>
      <c r="D195" s="1234" t="s">
        <v>2573</v>
      </c>
      <c r="E195" s="64">
        <v>1998</v>
      </c>
      <c r="F195" s="65" t="s">
        <v>1870</v>
      </c>
      <c r="G195" s="389">
        <f t="shared" si="42"/>
        <v>0.74</v>
      </c>
      <c r="H195" s="389">
        <f t="shared" si="42"/>
        <v>0.66</v>
      </c>
      <c r="I195" s="389">
        <f t="shared" si="42"/>
        <v>0.56999999999999995</v>
      </c>
      <c r="J195" s="389">
        <f t="shared" si="42"/>
        <v>0.49</v>
      </c>
      <c r="K195" s="389">
        <f t="shared" si="42"/>
        <v>0.43000000000000005</v>
      </c>
      <c r="L195" s="720">
        <v>0.06</v>
      </c>
      <c r="M195" s="63" t="s">
        <v>3165</v>
      </c>
      <c r="N195" s="440">
        <v>4.3999999999999997E-2</v>
      </c>
      <c r="O195" s="390">
        <v>6.0000000000000001E-3</v>
      </c>
      <c r="P195" s="390">
        <v>0</v>
      </c>
      <c r="Q195" s="390">
        <v>0</v>
      </c>
      <c r="R195" s="390">
        <v>0</v>
      </c>
      <c r="S195" s="63" t="str">
        <f t="shared" si="44"/>
        <v>Y</v>
      </c>
      <c r="T195" s="63"/>
      <c r="U195" s="1039"/>
      <c r="V195" s="1039"/>
      <c r="W195" s="1039"/>
      <c r="X195" s="64" t="s">
        <v>2364</v>
      </c>
      <c r="Y195" s="439"/>
      <c r="Z195" s="439"/>
      <c r="AA195" s="439"/>
      <c r="AB195" s="439"/>
      <c r="AC195" s="439"/>
      <c r="AD195" s="439"/>
      <c r="AE195" s="439"/>
      <c r="AF195" s="439"/>
      <c r="AG195" s="439"/>
    </row>
    <row r="196" spans="1:33" ht="15" customHeight="1">
      <c r="A196" s="1236">
        <f t="shared" si="39"/>
        <v>193</v>
      </c>
      <c r="B196" s="1236" t="s">
        <v>1306</v>
      </c>
      <c r="C196" s="1236" t="s">
        <v>1307</v>
      </c>
      <c r="D196" s="1236" t="s">
        <v>3133</v>
      </c>
      <c r="E196" s="1235">
        <v>1998</v>
      </c>
      <c r="F196" s="1237" t="s">
        <v>620</v>
      </c>
      <c r="G196" s="389">
        <f t="shared" si="42"/>
        <v>0.7</v>
      </c>
      <c r="H196" s="389">
        <f t="shared" si="42"/>
        <v>0.62</v>
      </c>
      <c r="I196" s="389">
        <f t="shared" si="42"/>
        <v>0.52999999999999992</v>
      </c>
      <c r="J196" s="389">
        <f t="shared" si="42"/>
        <v>0.45</v>
      </c>
      <c r="K196" s="389">
        <f t="shared" si="42"/>
        <v>0.39</v>
      </c>
      <c r="L196" s="720">
        <v>0.06</v>
      </c>
      <c r="M196" s="63" t="s">
        <v>3159</v>
      </c>
      <c r="N196" s="1238">
        <v>4.3999999999999997E-2</v>
      </c>
      <c r="O196" s="1239">
        <v>6.0000000000000001E-3</v>
      </c>
      <c r="P196" s="1239">
        <v>0</v>
      </c>
      <c r="Q196" s="1239">
        <v>0</v>
      </c>
      <c r="R196" s="1239">
        <v>0</v>
      </c>
      <c r="S196" s="1236" t="str">
        <f t="shared" si="44"/>
        <v>Y</v>
      </c>
      <c r="T196" s="1236"/>
      <c r="U196" s="1240"/>
      <c r="V196" s="1240"/>
      <c r="W196" s="1240"/>
      <c r="X196" s="64" t="s">
        <v>2364</v>
      </c>
      <c r="Y196" s="439"/>
      <c r="Z196" s="439"/>
      <c r="AA196" s="439"/>
      <c r="AB196" s="439"/>
      <c r="AC196" s="439"/>
      <c r="AD196" s="439"/>
      <c r="AE196" s="439"/>
      <c r="AF196" s="439"/>
      <c r="AG196" s="439"/>
    </row>
    <row r="197" spans="1:33" ht="15" customHeight="1">
      <c r="A197" s="63">
        <f t="shared" si="39"/>
        <v>194</v>
      </c>
      <c r="B197" s="63" t="s">
        <v>1306</v>
      </c>
      <c r="C197" s="63" t="s">
        <v>1307</v>
      </c>
      <c r="D197" s="1234" t="s">
        <v>2355</v>
      </c>
      <c r="E197" s="64">
        <v>1998</v>
      </c>
      <c r="F197" s="65" t="s">
        <v>1894</v>
      </c>
      <c r="G197" s="389">
        <f t="shared" si="42"/>
        <v>0.7</v>
      </c>
      <c r="H197" s="389">
        <f t="shared" si="42"/>
        <v>0.62</v>
      </c>
      <c r="I197" s="389">
        <f t="shared" si="42"/>
        <v>0.52999999999999992</v>
      </c>
      <c r="J197" s="389">
        <f t="shared" si="42"/>
        <v>0.45</v>
      </c>
      <c r="K197" s="389">
        <f t="shared" si="42"/>
        <v>0.39</v>
      </c>
      <c r="L197" s="720">
        <v>0.06</v>
      </c>
      <c r="M197" s="63" t="s">
        <v>322</v>
      </c>
      <c r="N197" s="440">
        <v>4.3999999999999997E-2</v>
      </c>
      <c r="O197" s="390">
        <v>6.0000000000000001E-3</v>
      </c>
      <c r="P197" s="390">
        <v>0</v>
      </c>
      <c r="Q197" s="390">
        <v>0</v>
      </c>
      <c r="R197" s="390">
        <v>0</v>
      </c>
      <c r="S197" s="63" t="str">
        <f t="shared" si="43"/>
        <v>Y</v>
      </c>
      <c r="T197" s="63"/>
      <c r="U197" s="1039"/>
      <c r="V197" s="1039"/>
      <c r="W197" s="1039"/>
      <c r="X197" s="64" t="s">
        <v>2364</v>
      </c>
      <c r="Y197" s="439"/>
      <c r="Z197" s="439"/>
      <c r="AA197" s="439"/>
      <c r="AB197" s="439"/>
      <c r="AC197" s="439"/>
      <c r="AD197" s="439"/>
      <c r="AE197" s="439"/>
      <c r="AF197" s="439"/>
      <c r="AG197" s="439"/>
    </row>
    <row r="198" spans="1:33" ht="15" customHeight="1">
      <c r="A198" s="63">
        <f t="shared" si="39"/>
        <v>195</v>
      </c>
      <c r="B198" s="63" t="s">
        <v>1308</v>
      </c>
      <c r="C198" s="63" t="s">
        <v>1889</v>
      </c>
      <c r="D198" s="1234" t="s">
        <v>2199</v>
      </c>
      <c r="E198" s="64">
        <v>1998</v>
      </c>
      <c r="F198" s="65" t="s">
        <v>620</v>
      </c>
      <c r="G198" s="389">
        <f t="shared" si="42"/>
        <v>0.7</v>
      </c>
      <c r="H198" s="389">
        <f t="shared" si="42"/>
        <v>0.62</v>
      </c>
      <c r="I198" s="389">
        <f t="shared" si="42"/>
        <v>0.52999999999999992</v>
      </c>
      <c r="J198" s="389">
        <f t="shared" si="42"/>
        <v>0.45</v>
      </c>
      <c r="K198" s="389">
        <f t="shared" si="42"/>
        <v>0.39</v>
      </c>
      <c r="L198" s="720">
        <v>0.06</v>
      </c>
      <c r="M198" s="63" t="s">
        <v>322</v>
      </c>
      <c r="N198" s="440">
        <v>4.3999999999999997E-2</v>
      </c>
      <c r="O198" s="390">
        <v>6.0000000000000001E-3</v>
      </c>
      <c r="P198" s="390">
        <v>0</v>
      </c>
      <c r="Q198" s="390">
        <v>0</v>
      </c>
      <c r="R198" s="390">
        <v>0</v>
      </c>
      <c r="S198" s="63" t="str">
        <f t="shared" si="43"/>
        <v>Y</v>
      </c>
      <c r="T198" s="63"/>
      <c r="U198" s="1039"/>
      <c r="V198" s="1039"/>
      <c r="W198" s="1039"/>
      <c r="X198" s="64" t="s">
        <v>2364</v>
      </c>
      <c r="Y198" s="439"/>
      <c r="Z198" s="439"/>
      <c r="AA198" s="439"/>
      <c r="AB198" s="439"/>
      <c r="AC198" s="439"/>
      <c r="AD198" s="439"/>
      <c r="AE198" s="439"/>
      <c r="AF198" s="439"/>
      <c r="AG198" s="439"/>
    </row>
    <row r="199" spans="1:33" ht="15" customHeight="1">
      <c r="A199" s="63">
        <f t="shared" si="39"/>
        <v>196</v>
      </c>
      <c r="B199" s="63" t="s">
        <v>1308</v>
      </c>
      <c r="C199" s="63" t="s">
        <v>1889</v>
      </c>
      <c r="D199" s="1234" t="s">
        <v>2200</v>
      </c>
      <c r="E199" s="64">
        <v>1995</v>
      </c>
      <c r="F199" s="65" t="s">
        <v>189</v>
      </c>
      <c r="G199" s="389">
        <f t="shared" si="42"/>
        <v>0.77500000000000002</v>
      </c>
      <c r="H199" s="389">
        <f t="shared" si="42"/>
        <v>0.69499999999999995</v>
      </c>
      <c r="I199" s="389">
        <f t="shared" si="42"/>
        <v>0.60499999999999998</v>
      </c>
      <c r="J199" s="389">
        <f t="shared" si="42"/>
        <v>0.52500000000000002</v>
      </c>
      <c r="K199" s="389">
        <f t="shared" si="42"/>
        <v>0.46499999999999997</v>
      </c>
      <c r="L199" s="720">
        <v>0.06</v>
      </c>
      <c r="M199" s="63" t="s">
        <v>3154</v>
      </c>
      <c r="N199" s="440">
        <v>4.3999999999999997E-2</v>
      </c>
      <c r="O199" s="390">
        <v>6.0000000000000001E-3</v>
      </c>
      <c r="P199" s="390">
        <v>0</v>
      </c>
      <c r="Q199" s="390">
        <v>0</v>
      </c>
      <c r="R199" s="390">
        <v>0</v>
      </c>
      <c r="S199" s="63" t="str">
        <f t="shared" si="43"/>
        <v>Y</v>
      </c>
      <c r="T199" s="63"/>
      <c r="U199" s="1039"/>
      <c r="V199" s="1039"/>
      <c r="W199" s="1039"/>
      <c r="X199" s="64" t="s">
        <v>2364</v>
      </c>
      <c r="Y199" s="439"/>
      <c r="Z199" s="439"/>
      <c r="AA199" s="439"/>
      <c r="AB199" s="439"/>
      <c r="AC199" s="439"/>
      <c r="AD199" s="439"/>
      <c r="AE199" s="439"/>
      <c r="AF199" s="439"/>
      <c r="AG199" s="439"/>
    </row>
    <row r="200" spans="1:33" ht="15" customHeight="1">
      <c r="A200" s="63">
        <f t="shared" si="39"/>
        <v>197</v>
      </c>
      <c r="B200" s="63" t="s">
        <v>1308</v>
      </c>
      <c r="C200" s="63" t="s">
        <v>1889</v>
      </c>
      <c r="D200" s="1234" t="s">
        <v>2356</v>
      </c>
      <c r="E200" s="64">
        <v>1995</v>
      </c>
      <c r="F200" s="65" t="s">
        <v>189</v>
      </c>
      <c r="G200" s="389">
        <f t="shared" si="42"/>
        <v>0.77500000000000002</v>
      </c>
      <c r="H200" s="389">
        <f t="shared" si="42"/>
        <v>0.69499999999999995</v>
      </c>
      <c r="I200" s="389">
        <f t="shared" si="42"/>
        <v>0.60499999999999998</v>
      </c>
      <c r="J200" s="389">
        <f t="shared" si="42"/>
        <v>0.52500000000000002</v>
      </c>
      <c r="K200" s="389">
        <f t="shared" si="42"/>
        <v>0.46499999999999997</v>
      </c>
      <c r="L200" s="720">
        <v>0.06</v>
      </c>
      <c r="M200" s="63" t="s">
        <v>3154</v>
      </c>
      <c r="N200" s="440">
        <v>4.3999999999999997E-2</v>
      </c>
      <c r="O200" s="390">
        <v>6.0000000000000001E-3</v>
      </c>
      <c r="P200" s="390">
        <v>0</v>
      </c>
      <c r="Q200" s="390">
        <v>0</v>
      </c>
      <c r="R200" s="390">
        <v>0</v>
      </c>
      <c r="S200" s="63" t="str">
        <f t="shared" si="43"/>
        <v>Y</v>
      </c>
      <c r="T200" s="63"/>
      <c r="U200" s="1039"/>
      <c r="V200" s="1039"/>
      <c r="W200" s="1039"/>
      <c r="X200" s="64" t="s">
        <v>2364</v>
      </c>
      <c r="Y200" s="439"/>
      <c r="Z200" s="439"/>
      <c r="AA200" s="439"/>
      <c r="AB200" s="439"/>
      <c r="AC200" s="439"/>
      <c r="AD200" s="439"/>
      <c r="AE200" s="439"/>
      <c r="AF200" s="439"/>
      <c r="AG200" s="439"/>
    </row>
    <row r="201" spans="1:33" ht="15" customHeight="1">
      <c r="A201" s="63">
        <f t="shared" si="39"/>
        <v>198</v>
      </c>
      <c r="B201" s="63" t="s">
        <v>1308</v>
      </c>
      <c r="C201" s="63" t="s">
        <v>1889</v>
      </c>
      <c r="D201" s="1234" t="s">
        <v>2201</v>
      </c>
      <c r="E201" s="64">
        <v>1998</v>
      </c>
      <c r="F201" s="65" t="s">
        <v>620</v>
      </c>
      <c r="G201" s="389">
        <f t="shared" si="42"/>
        <v>0.77500000000000002</v>
      </c>
      <c r="H201" s="389">
        <f t="shared" si="42"/>
        <v>0.69499999999999995</v>
      </c>
      <c r="I201" s="389">
        <f t="shared" si="42"/>
        <v>0.60499999999999998</v>
      </c>
      <c r="J201" s="389">
        <f t="shared" si="42"/>
        <v>0.52500000000000002</v>
      </c>
      <c r="K201" s="389">
        <f t="shared" si="42"/>
        <v>0.46499999999999997</v>
      </c>
      <c r="L201" s="720">
        <v>0.06</v>
      </c>
      <c r="M201" s="63" t="s">
        <v>3154</v>
      </c>
      <c r="N201" s="440">
        <v>4.3999999999999997E-2</v>
      </c>
      <c r="O201" s="390">
        <v>6.0000000000000001E-3</v>
      </c>
      <c r="P201" s="390">
        <v>0</v>
      </c>
      <c r="Q201" s="390">
        <v>0</v>
      </c>
      <c r="R201" s="390">
        <v>0</v>
      </c>
      <c r="S201" s="63" t="str">
        <f t="shared" si="43"/>
        <v>Y</v>
      </c>
      <c r="T201" s="63"/>
      <c r="U201" s="1039"/>
      <c r="V201" s="1039"/>
      <c r="W201" s="1039"/>
      <c r="X201" s="64" t="s">
        <v>2364</v>
      </c>
    </row>
    <row r="202" spans="1:33" ht="15" customHeight="1">
      <c r="A202" s="63">
        <f t="shared" si="39"/>
        <v>199</v>
      </c>
      <c r="B202" s="63" t="s">
        <v>1308</v>
      </c>
      <c r="C202" s="63" t="s">
        <v>2343</v>
      </c>
      <c r="D202" s="1234" t="s">
        <v>1929</v>
      </c>
      <c r="E202" s="64">
        <v>1998</v>
      </c>
      <c r="F202" s="65" t="s">
        <v>1870</v>
      </c>
      <c r="G202" s="389">
        <f t="shared" si="42"/>
        <v>0.77500000000000002</v>
      </c>
      <c r="H202" s="389">
        <f t="shared" si="42"/>
        <v>0.69499999999999995</v>
      </c>
      <c r="I202" s="389">
        <f t="shared" si="42"/>
        <v>0.60499999999999998</v>
      </c>
      <c r="J202" s="389">
        <f t="shared" si="42"/>
        <v>0.52500000000000002</v>
      </c>
      <c r="K202" s="389">
        <f t="shared" si="42"/>
        <v>0.46499999999999997</v>
      </c>
      <c r="L202" s="720">
        <v>0.06</v>
      </c>
      <c r="M202" s="63" t="s">
        <v>3154</v>
      </c>
      <c r="N202" s="440">
        <v>4.3999999999999997E-2</v>
      </c>
      <c r="O202" s="390">
        <v>6.0000000000000001E-3</v>
      </c>
      <c r="P202" s="390">
        <v>0</v>
      </c>
      <c r="Q202" s="390">
        <v>0</v>
      </c>
      <c r="R202" s="390">
        <v>0</v>
      </c>
      <c r="S202" s="63" t="str">
        <f t="shared" si="43"/>
        <v>Y</v>
      </c>
      <c r="T202" s="63"/>
      <c r="U202" s="1039"/>
      <c r="V202" s="1039"/>
      <c r="W202" s="1039"/>
      <c r="X202" s="64" t="s">
        <v>2364</v>
      </c>
    </row>
    <row r="203" spans="1:33" ht="15" customHeight="1">
      <c r="A203" s="63">
        <f t="shared" ref="A203:A269" si="45">ROW()-3</f>
        <v>200</v>
      </c>
      <c r="B203" s="63" t="s">
        <v>1308</v>
      </c>
      <c r="C203" s="63" t="s">
        <v>1889</v>
      </c>
      <c r="D203" s="1234" t="s">
        <v>1930</v>
      </c>
      <c r="E203" s="64">
        <v>1998</v>
      </c>
      <c r="F203" s="65" t="s">
        <v>189</v>
      </c>
      <c r="G203" s="389">
        <f t="shared" si="42"/>
        <v>0.7</v>
      </c>
      <c r="H203" s="389">
        <f t="shared" si="42"/>
        <v>0.62</v>
      </c>
      <c r="I203" s="389">
        <f t="shared" si="42"/>
        <v>0.52999999999999992</v>
      </c>
      <c r="J203" s="389">
        <f t="shared" si="42"/>
        <v>0.45</v>
      </c>
      <c r="K203" s="389">
        <f t="shared" si="42"/>
        <v>0.39</v>
      </c>
      <c r="L203" s="720">
        <v>0.06</v>
      </c>
      <c r="M203" s="63" t="s">
        <v>322</v>
      </c>
      <c r="N203" s="440">
        <v>4.3999999999999997E-2</v>
      </c>
      <c r="O203" s="390">
        <v>6.0000000000000001E-3</v>
      </c>
      <c r="P203" s="390">
        <v>0</v>
      </c>
      <c r="Q203" s="390">
        <v>0</v>
      </c>
      <c r="R203" s="390">
        <v>0</v>
      </c>
      <c r="S203" s="63" t="str">
        <f t="shared" si="43"/>
        <v>Y</v>
      </c>
      <c r="T203" s="63"/>
      <c r="U203" s="1039"/>
      <c r="V203" s="1039"/>
      <c r="W203" s="1039"/>
      <c r="X203" s="64" t="s">
        <v>2364</v>
      </c>
    </row>
    <row r="204" spans="1:33" ht="15" customHeight="1">
      <c r="A204" s="63">
        <f t="shared" si="45"/>
        <v>201</v>
      </c>
      <c r="B204" s="63" t="s">
        <v>1308</v>
      </c>
      <c r="C204" s="63" t="s">
        <v>1889</v>
      </c>
      <c r="D204" s="1234" t="s">
        <v>1895</v>
      </c>
      <c r="E204" s="64">
        <v>1998</v>
      </c>
      <c r="F204" s="65" t="s">
        <v>189</v>
      </c>
      <c r="G204" s="389">
        <f t="shared" si="42"/>
        <v>0.7</v>
      </c>
      <c r="H204" s="389">
        <f t="shared" si="42"/>
        <v>0.62</v>
      </c>
      <c r="I204" s="389">
        <f t="shared" si="42"/>
        <v>0.52999999999999992</v>
      </c>
      <c r="J204" s="389">
        <f t="shared" si="42"/>
        <v>0.45</v>
      </c>
      <c r="K204" s="389">
        <f t="shared" si="42"/>
        <v>0.39</v>
      </c>
      <c r="L204" s="720">
        <v>0.06</v>
      </c>
      <c r="M204" s="63" t="s">
        <v>322</v>
      </c>
      <c r="N204" s="440">
        <v>4.3999999999999997E-2</v>
      </c>
      <c r="O204" s="390">
        <v>6.0000000000000001E-3</v>
      </c>
      <c r="P204" s="390">
        <v>0</v>
      </c>
      <c r="Q204" s="390">
        <v>0</v>
      </c>
      <c r="R204" s="390">
        <v>0</v>
      </c>
      <c r="S204" s="63" t="str">
        <f t="shared" si="43"/>
        <v>Y</v>
      </c>
      <c r="T204" s="63"/>
      <c r="U204" s="1039"/>
      <c r="V204" s="1039"/>
      <c r="W204" s="1039"/>
      <c r="X204" s="64" t="s">
        <v>2364</v>
      </c>
    </row>
    <row r="205" spans="1:33" ht="15" customHeight="1">
      <c r="A205" s="63">
        <f t="shared" si="45"/>
        <v>202</v>
      </c>
      <c r="B205" s="63" t="s">
        <v>1308</v>
      </c>
      <c r="C205" s="63" t="s">
        <v>1889</v>
      </c>
      <c r="D205" s="1234" t="s">
        <v>2357</v>
      </c>
      <c r="E205" s="64">
        <v>2998</v>
      </c>
      <c r="F205" s="65" t="s">
        <v>189</v>
      </c>
      <c r="G205" s="389">
        <f t="shared" si="42"/>
        <v>0.7</v>
      </c>
      <c r="H205" s="389">
        <f t="shared" si="42"/>
        <v>0.62</v>
      </c>
      <c r="I205" s="389">
        <f t="shared" si="42"/>
        <v>0.52999999999999992</v>
      </c>
      <c r="J205" s="389">
        <f t="shared" si="42"/>
        <v>0.45</v>
      </c>
      <c r="K205" s="389">
        <f t="shared" si="42"/>
        <v>0.39</v>
      </c>
      <c r="L205" s="720">
        <v>0.06</v>
      </c>
      <c r="M205" s="63" t="s">
        <v>322</v>
      </c>
      <c r="N205" s="440">
        <v>4.3999999999999997E-2</v>
      </c>
      <c r="O205" s="390">
        <v>6.0000000000000001E-3</v>
      </c>
      <c r="P205" s="390">
        <v>0</v>
      </c>
      <c r="Q205" s="390">
        <v>0</v>
      </c>
      <c r="R205" s="390">
        <v>0</v>
      </c>
      <c r="S205" s="63" t="str">
        <f t="shared" si="43"/>
        <v>Y</v>
      </c>
      <c r="T205" s="63"/>
      <c r="U205" s="1039"/>
      <c r="V205" s="1039"/>
      <c r="W205" s="1039"/>
      <c r="X205" s="64" t="s">
        <v>2364</v>
      </c>
    </row>
    <row r="206" spans="1:33" ht="15" customHeight="1">
      <c r="A206" s="63">
        <f t="shared" si="45"/>
        <v>203</v>
      </c>
      <c r="B206" s="63" t="s">
        <v>1308</v>
      </c>
      <c r="C206" s="63" t="s">
        <v>1889</v>
      </c>
      <c r="D206" s="1234" t="s">
        <v>1896</v>
      </c>
      <c r="E206" s="64">
        <v>2993</v>
      </c>
      <c r="F206" s="65" t="s">
        <v>189</v>
      </c>
      <c r="G206" s="389">
        <f t="shared" si="42"/>
        <v>0.66999999999999993</v>
      </c>
      <c r="H206" s="389">
        <f t="shared" si="42"/>
        <v>0.59</v>
      </c>
      <c r="I206" s="389">
        <f t="shared" si="42"/>
        <v>0.49999999999999989</v>
      </c>
      <c r="J206" s="389">
        <f t="shared" si="42"/>
        <v>0.42</v>
      </c>
      <c r="K206" s="389">
        <f t="shared" si="42"/>
        <v>0.36</v>
      </c>
      <c r="L206" s="720">
        <v>0.06</v>
      </c>
      <c r="M206" s="63" t="s">
        <v>660</v>
      </c>
      <c r="N206" s="440">
        <v>4.3999999999999997E-2</v>
      </c>
      <c r="O206" s="390">
        <v>6.0000000000000001E-3</v>
      </c>
      <c r="P206" s="390">
        <v>0</v>
      </c>
      <c r="Q206" s="390">
        <v>0</v>
      </c>
      <c r="R206" s="390">
        <v>0</v>
      </c>
      <c r="S206" s="63" t="str">
        <f t="shared" si="43"/>
        <v>Y</v>
      </c>
      <c r="T206" s="63"/>
      <c r="U206" s="1039"/>
      <c r="V206" s="1039"/>
      <c r="W206" s="1039"/>
      <c r="X206" s="64" t="s">
        <v>2364</v>
      </c>
    </row>
    <row r="207" spans="1:33" ht="15" customHeight="1">
      <c r="A207" s="63">
        <f t="shared" si="45"/>
        <v>204</v>
      </c>
      <c r="B207" s="63" t="s">
        <v>1308</v>
      </c>
      <c r="C207" s="63" t="s">
        <v>1889</v>
      </c>
      <c r="D207" s="1234" t="s">
        <v>1897</v>
      </c>
      <c r="E207" s="64">
        <v>1998</v>
      </c>
      <c r="F207" s="65" t="s">
        <v>620</v>
      </c>
      <c r="G207" s="389">
        <f t="shared" si="42"/>
        <v>0.77</v>
      </c>
      <c r="H207" s="389">
        <f t="shared" si="42"/>
        <v>0.69000000000000006</v>
      </c>
      <c r="I207" s="389">
        <f t="shared" si="42"/>
        <v>0.6</v>
      </c>
      <c r="J207" s="389">
        <f t="shared" si="42"/>
        <v>0.52</v>
      </c>
      <c r="K207" s="389">
        <f t="shared" si="42"/>
        <v>0.46000000000000008</v>
      </c>
      <c r="L207" s="720">
        <v>0.06</v>
      </c>
      <c r="M207" s="63" t="s">
        <v>163</v>
      </c>
      <c r="N207" s="440">
        <v>4.3999999999999997E-2</v>
      </c>
      <c r="O207" s="390">
        <v>6.0000000000000001E-3</v>
      </c>
      <c r="P207" s="390">
        <v>0</v>
      </c>
      <c r="Q207" s="390">
        <v>0</v>
      </c>
      <c r="R207" s="390">
        <v>0</v>
      </c>
      <c r="S207" s="63" t="str">
        <f t="shared" si="43"/>
        <v>Y</v>
      </c>
      <c r="T207" s="63"/>
      <c r="U207" s="1039"/>
      <c r="V207" s="1039"/>
      <c r="W207" s="1039"/>
      <c r="X207" s="64" t="s">
        <v>2364</v>
      </c>
    </row>
    <row r="208" spans="1:33" ht="15" customHeight="1">
      <c r="A208" s="63">
        <f t="shared" si="45"/>
        <v>205</v>
      </c>
      <c r="B208" s="63" t="s">
        <v>1308</v>
      </c>
      <c r="C208" s="63" t="s">
        <v>1889</v>
      </c>
      <c r="D208" s="1234" t="s">
        <v>1931</v>
      </c>
      <c r="E208" s="64">
        <v>1998</v>
      </c>
      <c r="F208" s="65" t="s">
        <v>620</v>
      </c>
      <c r="G208" s="389">
        <f t="shared" si="42"/>
        <v>0.77</v>
      </c>
      <c r="H208" s="389">
        <f t="shared" si="42"/>
        <v>0.69000000000000006</v>
      </c>
      <c r="I208" s="389">
        <f t="shared" si="42"/>
        <v>0.6</v>
      </c>
      <c r="J208" s="389">
        <f t="shared" si="42"/>
        <v>0.52</v>
      </c>
      <c r="K208" s="389">
        <f t="shared" si="42"/>
        <v>0.46000000000000008</v>
      </c>
      <c r="L208" s="720">
        <v>0.06</v>
      </c>
      <c r="M208" s="63" t="s">
        <v>163</v>
      </c>
      <c r="N208" s="440">
        <v>4.3999999999999997E-2</v>
      </c>
      <c r="O208" s="390">
        <v>6.0000000000000001E-3</v>
      </c>
      <c r="P208" s="390">
        <v>0</v>
      </c>
      <c r="Q208" s="390">
        <v>0</v>
      </c>
      <c r="R208" s="390">
        <v>0</v>
      </c>
      <c r="S208" s="63" t="str">
        <f t="shared" si="43"/>
        <v>Y</v>
      </c>
      <c r="T208" s="63"/>
      <c r="U208" s="1039"/>
      <c r="V208" s="1039"/>
      <c r="W208" s="1039"/>
      <c r="X208" s="64" t="s">
        <v>2364</v>
      </c>
    </row>
    <row r="209" spans="1:33" ht="15" customHeight="1">
      <c r="A209" s="63">
        <f t="shared" si="45"/>
        <v>206</v>
      </c>
      <c r="B209" s="63" t="s">
        <v>2332</v>
      </c>
      <c r="C209" s="63" t="s">
        <v>1889</v>
      </c>
      <c r="D209" s="1234" t="s">
        <v>1932</v>
      </c>
      <c r="E209" s="64">
        <v>1998</v>
      </c>
      <c r="F209" s="65" t="s">
        <v>1870</v>
      </c>
      <c r="G209" s="389">
        <f t="shared" ref="G209:K259" si="46">+INDEX($AW$4:$AW$138,MATCH(G$3&amp;$M209,$AT$4:$AT$138,0))</f>
        <v>0.77</v>
      </c>
      <c r="H209" s="389">
        <f t="shared" si="46"/>
        <v>0.69000000000000006</v>
      </c>
      <c r="I209" s="389">
        <f t="shared" si="46"/>
        <v>0.6</v>
      </c>
      <c r="J209" s="389">
        <f t="shared" si="46"/>
        <v>0.52</v>
      </c>
      <c r="K209" s="389">
        <f t="shared" si="46"/>
        <v>0.46000000000000008</v>
      </c>
      <c r="L209" s="720">
        <v>0.06</v>
      </c>
      <c r="M209" s="63" t="s">
        <v>163</v>
      </c>
      <c r="N209" s="440">
        <v>4.3999999999999997E-2</v>
      </c>
      <c r="O209" s="390">
        <v>6.0000000000000001E-3</v>
      </c>
      <c r="P209" s="390">
        <v>0</v>
      </c>
      <c r="Q209" s="390">
        <v>0</v>
      </c>
      <c r="R209" s="390">
        <v>0</v>
      </c>
      <c r="S209" s="63" t="str">
        <f t="shared" si="43"/>
        <v>Y</v>
      </c>
      <c r="T209" s="63"/>
      <c r="U209" s="1039"/>
      <c r="V209" s="1039"/>
      <c r="W209" s="1039"/>
      <c r="X209" s="64" t="s">
        <v>2364</v>
      </c>
    </row>
    <row r="210" spans="1:33" ht="15" customHeight="1">
      <c r="A210" s="63">
        <f t="shared" si="45"/>
        <v>207</v>
      </c>
      <c r="B210" s="63" t="s">
        <v>1308</v>
      </c>
      <c r="C210" s="63" t="s">
        <v>1889</v>
      </c>
      <c r="D210" s="1234" t="s">
        <v>1898</v>
      </c>
      <c r="E210" s="64">
        <v>1995</v>
      </c>
      <c r="F210" s="65" t="s">
        <v>189</v>
      </c>
      <c r="G210" s="389">
        <f t="shared" si="46"/>
        <v>0.77</v>
      </c>
      <c r="H210" s="389">
        <f t="shared" si="46"/>
        <v>0.69000000000000006</v>
      </c>
      <c r="I210" s="389">
        <f t="shared" si="46"/>
        <v>0.6</v>
      </c>
      <c r="J210" s="389">
        <f t="shared" si="46"/>
        <v>0.52</v>
      </c>
      <c r="K210" s="389">
        <f t="shared" si="46"/>
        <v>0.46000000000000008</v>
      </c>
      <c r="L210" s="720">
        <v>0.06</v>
      </c>
      <c r="M210" s="63" t="s">
        <v>163</v>
      </c>
      <c r="N210" s="440">
        <v>4.3999999999999997E-2</v>
      </c>
      <c r="O210" s="390">
        <v>6.0000000000000001E-3</v>
      </c>
      <c r="P210" s="390">
        <v>0</v>
      </c>
      <c r="Q210" s="390">
        <v>0</v>
      </c>
      <c r="R210" s="390">
        <v>0</v>
      </c>
      <c r="S210" s="63" t="str">
        <f t="shared" si="43"/>
        <v>Y</v>
      </c>
      <c r="T210" s="63"/>
      <c r="U210" s="1039"/>
      <c r="V210" s="1039"/>
      <c r="W210" s="1039"/>
      <c r="X210" s="64" t="s">
        <v>2364</v>
      </c>
    </row>
    <row r="211" spans="1:33" ht="15" customHeight="1">
      <c r="A211" s="63">
        <f t="shared" si="45"/>
        <v>208</v>
      </c>
      <c r="B211" s="63" t="s">
        <v>1308</v>
      </c>
      <c r="C211" s="63" t="s">
        <v>1889</v>
      </c>
      <c r="D211" s="1234" t="s">
        <v>2202</v>
      </c>
      <c r="E211" s="64">
        <v>1995</v>
      </c>
      <c r="F211" s="65" t="s">
        <v>189</v>
      </c>
      <c r="G211" s="389">
        <f t="shared" si="46"/>
        <v>0.77</v>
      </c>
      <c r="H211" s="389">
        <f t="shared" si="46"/>
        <v>0.69000000000000006</v>
      </c>
      <c r="I211" s="389">
        <f t="shared" si="46"/>
        <v>0.6</v>
      </c>
      <c r="J211" s="389">
        <f t="shared" si="46"/>
        <v>0.52</v>
      </c>
      <c r="K211" s="389">
        <f t="shared" si="46"/>
        <v>0.46000000000000008</v>
      </c>
      <c r="L211" s="720">
        <v>0.06</v>
      </c>
      <c r="M211" s="63" t="s">
        <v>163</v>
      </c>
      <c r="N211" s="440">
        <v>4.3999999999999997E-2</v>
      </c>
      <c r="O211" s="390">
        <v>6.0000000000000001E-3</v>
      </c>
      <c r="P211" s="390">
        <v>0</v>
      </c>
      <c r="Q211" s="390">
        <v>0</v>
      </c>
      <c r="R211" s="390">
        <v>0</v>
      </c>
      <c r="S211" s="63" t="str">
        <f t="shared" si="43"/>
        <v>Y</v>
      </c>
      <c r="T211" s="63"/>
      <c r="U211" s="1039"/>
      <c r="V211" s="1039"/>
      <c r="W211" s="1039"/>
      <c r="X211" s="64" t="s">
        <v>2364</v>
      </c>
    </row>
    <row r="212" spans="1:33" ht="15" customHeight="1">
      <c r="A212" s="63">
        <f t="shared" si="45"/>
        <v>209</v>
      </c>
      <c r="B212" s="63" t="s">
        <v>1308</v>
      </c>
      <c r="C212" s="63" t="s">
        <v>1889</v>
      </c>
      <c r="D212" s="1234" t="s">
        <v>1933</v>
      </c>
      <c r="E212" s="64">
        <v>1995</v>
      </c>
      <c r="F212" s="65" t="s">
        <v>189</v>
      </c>
      <c r="G212" s="389">
        <f t="shared" si="46"/>
        <v>0.77</v>
      </c>
      <c r="H212" s="389">
        <f t="shared" si="46"/>
        <v>0.69000000000000006</v>
      </c>
      <c r="I212" s="389">
        <f t="shared" si="46"/>
        <v>0.6</v>
      </c>
      <c r="J212" s="389">
        <f t="shared" si="46"/>
        <v>0.52</v>
      </c>
      <c r="K212" s="389">
        <f t="shared" si="46"/>
        <v>0.46000000000000008</v>
      </c>
      <c r="L212" s="720">
        <v>0.06</v>
      </c>
      <c r="M212" s="63" t="s">
        <v>163</v>
      </c>
      <c r="N212" s="440">
        <v>4.3999999999999997E-2</v>
      </c>
      <c r="O212" s="390">
        <v>6.0000000000000001E-3</v>
      </c>
      <c r="P212" s="390">
        <v>0</v>
      </c>
      <c r="Q212" s="390">
        <v>0</v>
      </c>
      <c r="R212" s="390">
        <v>0</v>
      </c>
      <c r="S212" s="63" t="str">
        <f t="shared" si="43"/>
        <v>Y</v>
      </c>
      <c r="T212" s="63"/>
      <c r="U212" s="1039"/>
      <c r="V212" s="1039"/>
      <c r="W212" s="1039"/>
      <c r="X212" s="64" t="s">
        <v>2364</v>
      </c>
    </row>
    <row r="213" spans="1:33" ht="15" customHeight="1">
      <c r="A213" s="63">
        <f t="shared" si="45"/>
        <v>210</v>
      </c>
      <c r="B213" s="63" t="s">
        <v>1308</v>
      </c>
      <c r="C213" s="63" t="s">
        <v>1889</v>
      </c>
      <c r="D213" s="1234" t="s">
        <v>2358</v>
      </c>
      <c r="E213" s="64">
        <v>2998</v>
      </c>
      <c r="F213" s="65" t="s">
        <v>189</v>
      </c>
      <c r="G213" s="389">
        <f t="shared" si="46"/>
        <v>0.7</v>
      </c>
      <c r="H213" s="389">
        <f t="shared" si="46"/>
        <v>0.62</v>
      </c>
      <c r="I213" s="389">
        <f t="shared" si="46"/>
        <v>0.52999999999999992</v>
      </c>
      <c r="J213" s="389">
        <f t="shared" si="46"/>
        <v>0.45</v>
      </c>
      <c r="K213" s="389">
        <f t="shared" si="46"/>
        <v>0.39</v>
      </c>
      <c r="L213" s="720">
        <v>0.06</v>
      </c>
      <c r="M213" s="63" t="s">
        <v>322</v>
      </c>
      <c r="N213" s="440">
        <v>4.3999999999999997E-2</v>
      </c>
      <c r="O213" s="390">
        <v>6.0000000000000001E-3</v>
      </c>
      <c r="P213" s="390">
        <v>0</v>
      </c>
      <c r="Q213" s="390">
        <v>0</v>
      </c>
      <c r="R213" s="390">
        <v>0</v>
      </c>
      <c r="S213" s="63" t="str">
        <f t="shared" si="43"/>
        <v>Y</v>
      </c>
      <c r="T213" s="63"/>
      <c r="U213" s="1039"/>
      <c r="V213" s="1039"/>
      <c r="W213" s="1039"/>
      <c r="X213" s="64" t="s">
        <v>2364</v>
      </c>
    </row>
    <row r="214" spans="1:33" ht="15" customHeight="1">
      <c r="A214" s="63">
        <f t="shared" si="45"/>
        <v>211</v>
      </c>
      <c r="B214" s="63" t="s">
        <v>1308</v>
      </c>
      <c r="C214" s="63" t="s">
        <v>1889</v>
      </c>
      <c r="D214" s="1234" t="s">
        <v>1899</v>
      </c>
      <c r="E214" s="64">
        <v>2993</v>
      </c>
      <c r="F214" s="65" t="s">
        <v>189</v>
      </c>
      <c r="G214" s="389">
        <f t="shared" si="46"/>
        <v>0.66999999999999993</v>
      </c>
      <c r="H214" s="389">
        <f t="shared" si="46"/>
        <v>0.59</v>
      </c>
      <c r="I214" s="389">
        <f t="shared" si="46"/>
        <v>0.49999999999999989</v>
      </c>
      <c r="J214" s="389">
        <f t="shared" si="46"/>
        <v>0.42</v>
      </c>
      <c r="K214" s="389">
        <f t="shared" si="46"/>
        <v>0.36</v>
      </c>
      <c r="L214" s="720">
        <v>0.06</v>
      </c>
      <c r="M214" s="63" t="s">
        <v>660</v>
      </c>
      <c r="N214" s="440">
        <v>4.3999999999999997E-2</v>
      </c>
      <c r="O214" s="390">
        <v>6.0000000000000001E-3</v>
      </c>
      <c r="P214" s="390">
        <v>0</v>
      </c>
      <c r="Q214" s="390">
        <v>0</v>
      </c>
      <c r="R214" s="390">
        <v>0</v>
      </c>
      <c r="S214" s="63" t="str">
        <f t="shared" si="43"/>
        <v>Y</v>
      </c>
      <c r="T214" s="63"/>
      <c r="U214" s="1039"/>
      <c r="V214" s="1039"/>
      <c r="W214" s="1039"/>
      <c r="X214" s="64" t="s">
        <v>2364</v>
      </c>
    </row>
    <row r="215" spans="1:33" ht="15" customHeight="1">
      <c r="A215" s="63">
        <f t="shared" si="45"/>
        <v>212</v>
      </c>
      <c r="B215" s="63" t="s">
        <v>2532</v>
      </c>
      <c r="C215" s="63" t="s">
        <v>1307</v>
      </c>
      <c r="D215" s="1234" t="s">
        <v>1900</v>
      </c>
      <c r="E215" s="64">
        <v>2993</v>
      </c>
      <c r="F215" s="65" t="s">
        <v>189</v>
      </c>
      <c r="G215" s="389">
        <f t="shared" si="46"/>
        <v>0.78500000000000003</v>
      </c>
      <c r="H215" s="1303">
        <f t="shared" si="46"/>
        <v>0.70499999999999996</v>
      </c>
      <c r="I215" s="1303">
        <f t="shared" si="46"/>
        <v>0.61499999999999999</v>
      </c>
      <c r="J215" s="1303">
        <f t="shared" si="46"/>
        <v>0.53500000000000003</v>
      </c>
      <c r="K215" s="1303">
        <f t="shared" si="46"/>
        <v>0.47499999999999998</v>
      </c>
      <c r="L215" s="720">
        <v>0.06</v>
      </c>
      <c r="M215" s="63" t="s">
        <v>3153</v>
      </c>
      <c r="N215" s="440">
        <v>4.3999999999999997E-2</v>
      </c>
      <c r="O215" s="390">
        <v>6.0000000000000001E-3</v>
      </c>
      <c r="P215" s="390">
        <v>0</v>
      </c>
      <c r="Q215" s="390">
        <v>0</v>
      </c>
      <c r="R215" s="390">
        <v>0</v>
      </c>
      <c r="S215" s="63" t="str">
        <f t="shared" si="43"/>
        <v>Y</v>
      </c>
      <c r="T215" s="63"/>
      <c r="U215" s="1039"/>
      <c r="V215" s="1039"/>
      <c r="W215" s="1039"/>
      <c r="X215" s="64" t="s">
        <v>2364</v>
      </c>
    </row>
    <row r="216" spans="1:33" ht="15" customHeight="1">
      <c r="A216" s="63">
        <f t="shared" si="45"/>
        <v>213</v>
      </c>
      <c r="B216" s="63" t="s">
        <v>1308</v>
      </c>
      <c r="C216" s="63" t="s">
        <v>1307</v>
      </c>
      <c r="D216" s="1234" t="s">
        <v>1934</v>
      </c>
      <c r="E216" s="64">
        <v>2993</v>
      </c>
      <c r="F216" s="65" t="s">
        <v>189</v>
      </c>
      <c r="G216" s="389">
        <f t="shared" si="46"/>
        <v>0.78500000000000003</v>
      </c>
      <c r="H216" s="389">
        <f t="shared" si="46"/>
        <v>0.70499999999999996</v>
      </c>
      <c r="I216" s="389">
        <f t="shared" si="46"/>
        <v>0.61499999999999999</v>
      </c>
      <c r="J216" s="389">
        <f t="shared" si="46"/>
        <v>0.53500000000000003</v>
      </c>
      <c r="K216" s="389">
        <f t="shared" si="46"/>
        <v>0.47499999999999998</v>
      </c>
      <c r="L216" s="720">
        <v>0.06</v>
      </c>
      <c r="M216" s="63" t="s">
        <v>3153</v>
      </c>
      <c r="N216" s="440">
        <v>4.3999999999999997E-2</v>
      </c>
      <c r="O216" s="390">
        <v>6.0000000000000001E-3</v>
      </c>
      <c r="P216" s="390">
        <v>0</v>
      </c>
      <c r="Q216" s="390">
        <v>0</v>
      </c>
      <c r="R216" s="390">
        <v>0</v>
      </c>
      <c r="S216" s="63" t="str">
        <f t="shared" si="43"/>
        <v>Y</v>
      </c>
      <c r="T216" s="63"/>
      <c r="U216" s="1039"/>
      <c r="V216" s="1039"/>
      <c r="W216" s="1039"/>
      <c r="X216" s="64" t="s">
        <v>2364</v>
      </c>
    </row>
    <row r="217" spans="1:33" ht="15" customHeight="1">
      <c r="A217" s="63">
        <f t="shared" si="45"/>
        <v>214</v>
      </c>
      <c r="B217" s="63" t="s">
        <v>1308</v>
      </c>
      <c r="C217" s="63" t="s">
        <v>1307</v>
      </c>
      <c r="D217" s="1234" t="s">
        <v>1901</v>
      </c>
      <c r="E217" s="64">
        <v>2993</v>
      </c>
      <c r="F217" s="65" t="s">
        <v>189</v>
      </c>
      <c r="G217" s="389">
        <f t="shared" si="46"/>
        <v>0.78500000000000003</v>
      </c>
      <c r="H217" s="389">
        <f t="shared" si="46"/>
        <v>0.70499999999999996</v>
      </c>
      <c r="I217" s="389">
        <f t="shared" si="46"/>
        <v>0.61499999999999999</v>
      </c>
      <c r="J217" s="389">
        <f t="shared" si="46"/>
        <v>0.53500000000000003</v>
      </c>
      <c r="K217" s="389">
        <f t="shared" si="46"/>
        <v>0.47499999999999998</v>
      </c>
      <c r="L217" s="720">
        <v>0.06</v>
      </c>
      <c r="M217" s="63" t="s">
        <v>3153</v>
      </c>
      <c r="N217" s="440">
        <v>4.3999999999999997E-2</v>
      </c>
      <c r="O217" s="390">
        <v>6.0000000000000001E-3</v>
      </c>
      <c r="P217" s="390">
        <v>0</v>
      </c>
      <c r="Q217" s="390">
        <v>0</v>
      </c>
      <c r="R217" s="390">
        <v>0</v>
      </c>
      <c r="S217" s="63" t="str">
        <f t="shared" si="43"/>
        <v>Y</v>
      </c>
      <c r="T217" s="63"/>
      <c r="U217" s="1039"/>
      <c r="V217" s="1039"/>
      <c r="W217" s="1039"/>
      <c r="X217" s="64" t="s">
        <v>2364</v>
      </c>
    </row>
    <row r="218" spans="1:33" ht="15" customHeight="1">
      <c r="A218" s="63">
        <f t="shared" si="45"/>
        <v>215</v>
      </c>
      <c r="B218" s="63" t="s">
        <v>1306</v>
      </c>
      <c r="C218" s="63" t="s">
        <v>1307</v>
      </c>
      <c r="D218" s="1234" t="s">
        <v>2628</v>
      </c>
      <c r="E218" s="64">
        <v>2993</v>
      </c>
      <c r="F218" s="65" t="s">
        <v>189</v>
      </c>
      <c r="G218" s="389">
        <f t="shared" si="46"/>
        <v>0.78500000000000003</v>
      </c>
      <c r="H218" s="389">
        <f t="shared" si="46"/>
        <v>0.70499999999999996</v>
      </c>
      <c r="I218" s="389">
        <f t="shared" si="46"/>
        <v>0.61499999999999999</v>
      </c>
      <c r="J218" s="389">
        <f t="shared" si="46"/>
        <v>0.53500000000000003</v>
      </c>
      <c r="K218" s="389">
        <f t="shared" si="46"/>
        <v>0.47499999999999998</v>
      </c>
      <c r="L218" s="720">
        <v>0.06</v>
      </c>
      <c r="M218" s="63" t="s">
        <v>3153</v>
      </c>
      <c r="N218" s="440">
        <v>4.3999999999999997E-2</v>
      </c>
      <c r="O218" s="390">
        <v>6.0000000000000001E-3</v>
      </c>
      <c r="P218" s="390">
        <v>0</v>
      </c>
      <c r="Q218" s="390">
        <v>0</v>
      </c>
      <c r="R218" s="390">
        <v>0</v>
      </c>
      <c r="S218" s="63" t="str">
        <f t="shared" ref="S218" si="47">+IF(LEFT(D218,1)="E","Y",IF(LEFT(D218,1)="S","Y",IF(LEFT(D218,1)="X","Y","N")))</f>
        <v>Y</v>
      </c>
      <c r="T218" s="63"/>
      <c r="U218" s="1039"/>
      <c r="V218" s="1039"/>
      <c r="W218" s="1039"/>
      <c r="X218" s="64" t="s">
        <v>2364</v>
      </c>
      <c r="Y218" s="439"/>
      <c r="Z218" s="439"/>
      <c r="AA218" s="439"/>
      <c r="AB218" s="439"/>
      <c r="AC218" s="439"/>
    </row>
    <row r="219" spans="1:33" ht="15" customHeight="1">
      <c r="A219" s="63">
        <f t="shared" si="45"/>
        <v>216</v>
      </c>
      <c r="B219" s="63" t="s">
        <v>1308</v>
      </c>
      <c r="C219" s="63" t="s">
        <v>1307</v>
      </c>
      <c r="D219" s="1234" t="s">
        <v>2359</v>
      </c>
      <c r="E219" s="64">
        <v>2998</v>
      </c>
      <c r="F219" s="65" t="s">
        <v>189</v>
      </c>
      <c r="G219" s="389">
        <f t="shared" si="46"/>
        <v>0.78500000000000003</v>
      </c>
      <c r="H219" s="389">
        <f t="shared" si="46"/>
        <v>0.70499999999999996</v>
      </c>
      <c r="I219" s="389">
        <f t="shared" si="46"/>
        <v>0.61499999999999999</v>
      </c>
      <c r="J219" s="389">
        <f t="shared" si="46"/>
        <v>0.53500000000000003</v>
      </c>
      <c r="K219" s="389">
        <f t="shared" si="46"/>
        <v>0.47499999999999998</v>
      </c>
      <c r="L219" s="720">
        <v>0.06</v>
      </c>
      <c r="M219" s="63" t="s">
        <v>3153</v>
      </c>
      <c r="N219" s="440">
        <v>4.3999999999999997E-2</v>
      </c>
      <c r="O219" s="390">
        <v>6.0000000000000001E-3</v>
      </c>
      <c r="P219" s="390">
        <v>0</v>
      </c>
      <c r="Q219" s="390">
        <v>0</v>
      </c>
      <c r="R219" s="390">
        <v>0</v>
      </c>
      <c r="S219" s="63" t="str">
        <f t="shared" si="43"/>
        <v>Y</v>
      </c>
      <c r="T219" s="63"/>
      <c r="U219" s="1039"/>
      <c r="V219" s="1039"/>
      <c r="W219" s="1039"/>
      <c r="X219" s="64" t="s">
        <v>2364</v>
      </c>
      <c r="Y219" s="439"/>
      <c r="Z219" s="439"/>
      <c r="AA219" s="439"/>
      <c r="AB219" s="439"/>
      <c r="AC219" s="439"/>
    </row>
    <row r="220" spans="1:33" ht="15" customHeight="1">
      <c r="A220" s="63">
        <f t="shared" si="45"/>
        <v>217</v>
      </c>
      <c r="B220" s="63" t="s">
        <v>1308</v>
      </c>
      <c r="C220" s="63" t="s">
        <v>1307</v>
      </c>
      <c r="D220" s="1234" t="s">
        <v>2533</v>
      </c>
      <c r="E220" s="64">
        <v>2998</v>
      </c>
      <c r="F220" s="65" t="s">
        <v>189</v>
      </c>
      <c r="G220" s="389">
        <f t="shared" si="46"/>
        <v>0.78500000000000003</v>
      </c>
      <c r="H220" s="389">
        <f t="shared" si="46"/>
        <v>0.70499999999999996</v>
      </c>
      <c r="I220" s="389">
        <f t="shared" si="46"/>
        <v>0.61499999999999999</v>
      </c>
      <c r="J220" s="389">
        <f t="shared" si="46"/>
        <v>0.53500000000000003</v>
      </c>
      <c r="K220" s="389">
        <f t="shared" si="46"/>
        <v>0.47499999999999998</v>
      </c>
      <c r="L220" s="720">
        <v>0.06</v>
      </c>
      <c r="M220" s="63" t="s">
        <v>3153</v>
      </c>
      <c r="N220" s="440">
        <v>4.3999999999999997E-2</v>
      </c>
      <c r="O220" s="390">
        <v>6.0000000000000001E-3</v>
      </c>
      <c r="P220" s="390">
        <v>0</v>
      </c>
      <c r="Q220" s="390">
        <v>0</v>
      </c>
      <c r="R220" s="390">
        <v>0</v>
      </c>
      <c r="S220" s="63" t="str">
        <f t="shared" si="43"/>
        <v>Y</v>
      </c>
      <c r="T220" s="63"/>
      <c r="U220" s="1039"/>
      <c r="V220" s="1039"/>
      <c r="W220" s="1039"/>
      <c r="X220" s="64" t="s">
        <v>2364</v>
      </c>
      <c r="Y220" s="439"/>
      <c r="Z220" s="439"/>
      <c r="AA220" s="439"/>
      <c r="AB220" s="439"/>
      <c r="AC220" s="439"/>
    </row>
    <row r="221" spans="1:33" ht="15" customHeight="1">
      <c r="A221" s="63">
        <f t="shared" si="45"/>
        <v>218</v>
      </c>
      <c r="B221" s="63" t="s">
        <v>1308</v>
      </c>
      <c r="C221" s="63" t="s">
        <v>2534</v>
      </c>
      <c r="D221" s="1234" t="s">
        <v>1935</v>
      </c>
      <c r="E221" s="64">
        <v>2998</v>
      </c>
      <c r="F221" s="65" t="s">
        <v>189</v>
      </c>
      <c r="G221" s="389">
        <f t="shared" si="46"/>
        <v>0.78500000000000003</v>
      </c>
      <c r="H221" s="389">
        <f t="shared" si="46"/>
        <v>0.70499999999999996</v>
      </c>
      <c r="I221" s="389">
        <f t="shared" si="46"/>
        <v>0.61499999999999999</v>
      </c>
      <c r="J221" s="389">
        <f t="shared" si="46"/>
        <v>0.53500000000000003</v>
      </c>
      <c r="K221" s="389">
        <f t="shared" si="46"/>
        <v>0.47499999999999998</v>
      </c>
      <c r="L221" s="720">
        <v>0.06</v>
      </c>
      <c r="M221" s="63" t="s">
        <v>3153</v>
      </c>
      <c r="N221" s="440">
        <v>4.3999999999999997E-2</v>
      </c>
      <c r="O221" s="390">
        <v>6.0000000000000001E-3</v>
      </c>
      <c r="P221" s="390">
        <v>0</v>
      </c>
      <c r="Q221" s="390">
        <v>0</v>
      </c>
      <c r="R221" s="390">
        <v>0</v>
      </c>
      <c r="S221" s="63" t="str">
        <f t="shared" si="43"/>
        <v>Y</v>
      </c>
      <c r="T221" s="63"/>
      <c r="U221" s="1039"/>
      <c r="V221" s="1039"/>
      <c r="W221" s="1039"/>
      <c r="X221" s="64" t="s">
        <v>2364</v>
      </c>
      <c r="Y221" s="439"/>
      <c r="Z221" s="439"/>
      <c r="AA221" s="439"/>
      <c r="AB221" s="439"/>
      <c r="AC221" s="439"/>
    </row>
    <row r="222" spans="1:33" ht="15" customHeight="1">
      <c r="A222" s="63">
        <f t="shared" si="45"/>
        <v>219</v>
      </c>
      <c r="B222" s="63" t="s">
        <v>2495</v>
      </c>
      <c r="C222" s="63" t="s">
        <v>1307</v>
      </c>
      <c r="D222" s="1234" t="s">
        <v>2360</v>
      </c>
      <c r="E222" s="64">
        <v>2998</v>
      </c>
      <c r="F222" s="65" t="s">
        <v>189</v>
      </c>
      <c r="G222" s="389">
        <f t="shared" si="46"/>
        <v>0.78500000000000003</v>
      </c>
      <c r="H222" s="389">
        <f t="shared" si="46"/>
        <v>0.70499999999999996</v>
      </c>
      <c r="I222" s="389">
        <f t="shared" si="46"/>
        <v>0.61499999999999999</v>
      </c>
      <c r="J222" s="389">
        <f t="shared" si="46"/>
        <v>0.53500000000000003</v>
      </c>
      <c r="K222" s="389">
        <f t="shared" si="46"/>
        <v>0.47499999999999998</v>
      </c>
      <c r="L222" s="720">
        <v>0.06</v>
      </c>
      <c r="M222" s="63" t="s">
        <v>3153</v>
      </c>
      <c r="N222" s="440">
        <v>4.3999999999999997E-2</v>
      </c>
      <c r="O222" s="390">
        <v>6.0000000000000001E-3</v>
      </c>
      <c r="P222" s="390">
        <v>0</v>
      </c>
      <c r="Q222" s="390">
        <v>0</v>
      </c>
      <c r="R222" s="390">
        <v>0</v>
      </c>
      <c r="S222" s="63" t="str">
        <f t="shared" si="43"/>
        <v>Y</v>
      </c>
      <c r="T222" s="63"/>
      <c r="U222" s="1039"/>
      <c r="V222" s="1039"/>
      <c r="W222" s="1039"/>
      <c r="X222" s="64" t="s">
        <v>2364</v>
      </c>
      <c r="Y222" s="439"/>
      <c r="Z222" s="439"/>
      <c r="AA222" s="439"/>
      <c r="AB222" s="439"/>
      <c r="AC222" s="439"/>
    </row>
    <row r="223" spans="1:33" ht="15" customHeight="1">
      <c r="A223" s="63">
        <f t="shared" si="45"/>
        <v>220</v>
      </c>
      <c r="B223" s="63" t="s">
        <v>1308</v>
      </c>
      <c r="C223" s="63" t="s">
        <v>1307</v>
      </c>
      <c r="D223" s="63" t="s">
        <v>2203</v>
      </c>
      <c r="E223" s="64">
        <v>4395</v>
      </c>
      <c r="F223" s="65" t="s">
        <v>189</v>
      </c>
      <c r="G223" s="389">
        <f t="shared" si="46"/>
        <v>0.66999999999999993</v>
      </c>
      <c r="H223" s="389">
        <f t="shared" si="46"/>
        <v>0.59</v>
      </c>
      <c r="I223" s="389">
        <f t="shared" si="46"/>
        <v>0.49999999999999989</v>
      </c>
      <c r="J223" s="389">
        <f t="shared" si="46"/>
        <v>0.42</v>
      </c>
      <c r="K223" s="389">
        <f t="shared" si="46"/>
        <v>0.36</v>
      </c>
      <c r="L223" s="720">
        <v>0.06</v>
      </c>
      <c r="M223" s="63" t="s">
        <v>660</v>
      </c>
      <c r="N223" s="440">
        <v>4.3999999999999997E-2</v>
      </c>
      <c r="O223" s="390">
        <v>6.0000000000000001E-3</v>
      </c>
      <c r="P223" s="390">
        <v>0</v>
      </c>
      <c r="Q223" s="390">
        <v>0</v>
      </c>
      <c r="R223" s="390">
        <v>0</v>
      </c>
      <c r="S223" s="63" t="str">
        <f t="shared" si="43"/>
        <v>Y</v>
      </c>
      <c r="T223" s="63"/>
      <c r="U223" s="1039"/>
      <c r="V223" s="1039"/>
      <c r="W223" s="1039"/>
      <c r="X223" s="64" t="s">
        <v>2364</v>
      </c>
      <c r="Y223" s="439"/>
      <c r="Z223" s="439"/>
      <c r="AA223" s="439"/>
      <c r="AB223" s="439"/>
      <c r="AC223" s="439"/>
    </row>
    <row r="224" spans="1:33" ht="15" customHeight="1">
      <c r="A224" s="63">
        <f t="shared" si="45"/>
        <v>221</v>
      </c>
      <c r="B224" s="63" t="s">
        <v>1308</v>
      </c>
      <c r="C224" s="63" t="s">
        <v>1307</v>
      </c>
      <c r="D224" s="1234" t="s">
        <v>2204</v>
      </c>
      <c r="E224" s="64">
        <v>4395</v>
      </c>
      <c r="F224" s="65" t="s">
        <v>189</v>
      </c>
      <c r="G224" s="389">
        <f t="shared" si="46"/>
        <v>0.66999999999999993</v>
      </c>
      <c r="H224" s="389">
        <f t="shared" si="46"/>
        <v>0.59</v>
      </c>
      <c r="I224" s="389">
        <f t="shared" si="46"/>
        <v>0.49999999999999989</v>
      </c>
      <c r="J224" s="389">
        <f t="shared" si="46"/>
        <v>0.42</v>
      </c>
      <c r="K224" s="389">
        <f t="shared" si="46"/>
        <v>0.36</v>
      </c>
      <c r="L224" s="720">
        <v>0.06</v>
      </c>
      <c r="M224" s="63" t="s">
        <v>660</v>
      </c>
      <c r="N224" s="440">
        <v>4.3999999999999997E-2</v>
      </c>
      <c r="O224" s="390">
        <v>6.0000000000000001E-3</v>
      </c>
      <c r="P224" s="390">
        <v>0</v>
      </c>
      <c r="Q224" s="390">
        <v>0</v>
      </c>
      <c r="R224" s="390">
        <v>0</v>
      </c>
      <c r="S224" s="63" t="str">
        <f t="shared" si="43"/>
        <v>Y</v>
      </c>
      <c r="T224" s="63"/>
      <c r="U224" s="1039"/>
      <c r="V224" s="1039"/>
      <c r="W224" s="1039"/>
      <c r="X224" s="64" t="s">
        <v>2364</v>
      </c>
      <c r="Y224" s="439"/>
      <c r="Z224" s="439"/>
      <c r="AA224" s="439"/>
      <c r="AB224" s="439"/>
      <c r="AC224" s="439"/>
      <c r="AD224" s="439"/>
      <c r="AE224" s="439"/>
      <c r="AF224" s="439"/>
      <c r="AG224" s="439"/>
    </row>
    <row r="225" spans="1:33" ht="15" customHeight="1">
      <c r="A225" s="63">
        <f t="shared" si="45"/>
        <v>222</v>
      </c>
      <c r="B225" s="63" t="s">
        <v>1308</v>
      </c>
      <c r="C225" s="63" t="s">
        <v>1307</v>
      </c>
      <c r="D225" s="63" t="s">
        <v>1936</v>
      </c>
      <c r="E225" s="64">
        <v>2998</v>
      </c>
      <c r="F225" s="65" t="s">
        <v>189</v>
      </c>
      <c r="G225" s="389">
        <f t="shared" si="46"/>
        <v>0.78500000000000003</v>
      </c>
      <c r="H225" s="389">
        <f t="shared" si="46"/>
        <v>0.70499999999999996</v>
      </c>
      <c r="I225" s="389">
        <f t="shared" si="46"/>
        <v>0.61499999999999999</v>
      </c>
      <c r="J225" s="389">
        <f t="shared" si="46"/>
        <v>0.53500000000000003</v>
      </c>
      <c r="K225" s="389">
        <f t="shared" si="46"/>
        <v>0.47499999999999998</v>
      </c>
      <c r="L225" s="720">
        <v>0.06</v>
      </c>
      <c r="M225" s="63" t="s">
        <v>3153</v>
      </c>
      <c r="N225" s="440">
        <v>4.3999999999999997E-2</v>
      </c>
      <c r="O225" s="390">
        <v>6.0000000000000001E-3</v>
      </c>
      <c r="P225" s="390">
        <v>0</v>
      </c>
      <c r="Q225" s="390">
        <v>0</v>
      </c>
      <c r="R225" s="390">
        <v>0</v>
      </c>
      <c r="S225" s="63" t="str">
        <f t="shared" si="43"/>
        <v>Y</v>
      </c>
      <c r="T225" s="63"/>
      <c r="U225" s="1039"/>
      <c r="V225" s="1039"/>
      <c r="W225" s="1039"/>
      <c r="X225" s="64" t="s">
        <v>2364</v>
      </c>
      <c r="Y225" s="439"/>
      <c r="Z225" s="439"/>
      <c r="AA225" s="439"/>
      <c r="AB225" s="439"/>
      <c r="AC225" s="439"/>
      <c r="AD225" s="439"/>
      <c r="AE225" s="439"/>
      <c r="AF225" s="439"/>
      <c r="AG225" s="439"/>
    </row>
    <row r="226" spans="1:33" ht="15" customHeight="1">
      <c r="A226" s="63">
        <f t="shared" si="45"/>
        <v>223</v>
      </c>
      <c r="B226" s="63" t="s">
        <v>1308</v>
      </c>
      <c r="C226" s="63" t="s">
        <v>1307</v>
      </c>
      <c r="D226" s="63" t="s">
        <v>1902</v>
      </c>
      <c r="E226" s="64">
        <v>2998</v>
      </c>
      <c r="F226" s="65" t="s">
        <v>189</v>
      </c>
      <c r="G226" s="389">
        <f t="shared" si="46"/>
        <v>0.78500000000000003</v>
      </c>
      <c r="H226" s="389">
        <f t="shared" si="46"/>
        <v>0.70499999999999996</v>
      </c>
      <c r="I226" s="389">
        <f t="shared" si="46"/>
        <v>0.61499999999999999</v>
      </c>
      <c r="J226" s="389">
        <f t="shared" si="46"/>
        <v>0.53500000000000003</v>
      </c>
      <c r="K226" s="389">
        <f t="shared" si="46"/>
        <v>0.47499999999999998</v>
      </c>
      <c r="L226" s="720">
        <v>0.06</v>
      </c>
      <c r="M226" s="63" t="s">
        <v>3153</v>
      </c>
      <c r="N226" s="440">
        <v>4.3999999999999997E-2</v>
      </c>
      <c r="O226" s="390">
        <v>6.0000000000000001E-3</v>
      </c>
      <c r="P226" s="390">
        <v>0</v>
      </c>
      <c r="Q226" s="390">
        <v>0</v>
      </c>
      <c r="R226" s="390">
        <v>0</v>
      </c>
      <c r="S226" s="63" t="str">
        <f t="shared" si="43"/>
        <v>Y</v>
      </c>
      <c r="T226" s="63"/>
      <c r="U226" s="1039"/>
      <c r="V226" s="1039"/>
      <c r="W226" s="1039"/>
      <c r="X226" s="64" t="s">
        <v>2364</v>
      </c>
      <c r="Y226" s="439"/>
      <c r="Z226" s="439"/>
      <c r="AA226" s="439"/>
      <c r="AB226" s="439"/>
      <c r="AC226" s="439"/>
      <c r="AD226" s="439"/>
      <c r="AE226" s="439"/>
      <c r="AF226" s="439"/>
      <c r="AG226" s="439"/>
    </row>
    <row r="227" spans="1:33" ht="15" customHeight="1">
      <c r="A227" s="63">
        <f t="shared" si="45"/>
        <v>224</v>
      </c>
      <c r="B227" s="63" t="s">
        <v>1308</v>
      </c>
      <c r="C227" s="63" t="s">
        <v>1307</v>
      </c>
      <c r="D227" s="1234" t="s">
        <v>2535</v>
      </c>
      <c r="E227" s="64">
        <v>2998</v>
      </c>
      <c r="F227" s="65" t="s">
        <v>189</v>
      </c>
      <c r="G227" s="389">
        <f t="shared" si="46"/>
        <v>0.78500000000000003</v>
      </c>
      <c r="H227" s="389">
        <f t="shared" si="46"/>
        <v>0.70499999999999996</v>
      </c>
      <c r="I227" s="389">
        <f t="shared" si="46"/>
        <v>0.61499999999999999</v>
      </c>
      <c r="J227" s="389">
        <f t="shared" si="46"/>
        <v>0.53500000000000003</v>
      </c>
      <c r="K227" s="389">
        <f t="shared" si="46"/>
        <v>0.47499999999999998</v>
      </c>
      <c r="L227" s="720">
        <v>0.06</v>
      </c>
      <c r="M227" s="63" t="s">
        <v>3153</v>
      </c>
      <c r="N227" s="440">
        <v>4.3999999999999997E-2</v>
      </c>
      <c r="O227" s="390">
        <v>6.0000000000000001E-3</v>
      </c>
      <c r="P227" s="390">
        <v>0</v>
      </c>
      <c r="Q227" s="390">
        <v>0</v>
      </c>
      <c r="R227" s="390">
        <v>0</v>
      </c>
      <c r="S227" s="63" t="str">
        <f>+IF(LEFT(D227,1)="E","Y",IF(LEFT(D227,1)="S","Y",IF(LEFT(D227,1)="X","Y","N")))</f>
        <v>Y</v>
      </c>
      <c r="T227" s="63"/>
      <c r="U227" s="1039"/>
      <c r="V227" s="1039"/>
      <c r="W227" s="1039"/>
      <c r="X227" s="64" t="s">
        <v>2364</v>
      </c>
      <c r="Y227" s="439"/>
      <c r="Z227" s="439"/>
      <c r="AA227" s="439"/>
      <c r="AB227" s="439"/>
      <c r="AC227" s="439"/>
      <c r="AD227" s="439"/>
      <c r="AE227" s="439"/>
      <c r="AF227" s="439"/>
      <c r="AG227" s="439"/>
    </row>
    <row r="228" spans="1:33" ht="15" customHeight="1">
      <c r="A228" s="63">
        <f t="shared" si="45"/>
        <v>225</v>
      </c>
      <c r="B228" s="63" t="s">
        <v>1308</v>
      </c>
      <c r="C228" s="63" t="s">
        <v>2536</v>
      </c>
      <c r="D228" s="1234" t="s">
        <v>1903</v>
      </c>
      <c r="E228" s="64">
        <v>2998</v>
      </c>
      <c r="F228" s="65" t="s">
        <v>189</v>
      </c>
      <c r="G228" s="389">
        <f t="shared" si="46"/>
        <v>0.78500000000000003</v>
      </c>
      <c r="H228" s="389">
        <f t="shared" si="46"/>
        <v>0.70499999999999996</v>
      </c>
      <c r="I228" s="389">
        <f t="shared" si="46"/>
        <v>0.61499999999999999</v>
      </c>
      <c r="J228" s="389">
        <f t="shared" si="46"/>
        <v>0.53500000000000003</v>
      </c>
      <c r="K228" s="389">
        <f t="shared" si="46"/>
        <v>0.47499999999999998</v>
      </c>
      <c r="L228" s="720">
        <v>0.06</v>
      </c>
      <c r="M228" s="63" t="s">
        <v>3153</v>
      </c>
      <c r="N228" s="440">
        <v>4.3999999999999997E-2</v>
      </c>
      <c r="O228" s="390">
        <v>6.0000000000000001E-3</v>
      </c>
      <c r="P228" s="390">
        <v>0</v>
      </c>
      <c r="Q228" s="390">
        <v>0</v>
      </c>
      <c r="R228" s="390">
        <v>0</v>
      </c>
      <c r="S228" s="63" t="str">
        <f t="shared" si="43"/>
        <v>Y</v>
      </c>
      <c r="T228" s="63"/>
      <c r="U228" s="1039"/>
      <c r="V228" s="1039"/>
      <c r="W228" s="1039"/>
      <c r="X228" s="64" t="s">
        <v>2364</v>
      </c>
      <c r="Y228" s="439"/>
      <c r="Z228" s="439"/>
      <c r="AA228" s="439"/>
      <c r="AB228" s="439"/>
      <c r="AC228" s="439"/>
      <c r="AD228" s="439"/>
      <c r="AE228" s="439"/>
      <c r="AF228" s="439"/>
      <c r="AG228" s="439"/>
    </row>
    <row r="229" spans="1:33" ht="15" customHeight="1">
      <c r="A229" s="63">
        <f t="shared" si="45"/>
        <v>226</v>
      </c>
      <c r="B229" s="63" t="s">
        <v>1308</v>
      </c>
      <c r="C229" s="63" t="s">
        <v>2534</v>
      </c>
      <c r="D229" s="1234" t="s">
        <v>1904</v>
      </c>
      <c r="E229" s="64">
        <v>4395</v>
      </c>
      <c r="F229" s="65" t="s">
        <v>189</v>
      </c>
      <c r="G229" s="389">
        <f t="shared" si="46"/>
        <v>0.65999999999999992</v>
      </c>
      <c r="H229" s="389">
        <f t="shared" si="46"/>
        <v>0.57999999999999996</v>
      </c>
      <c r="I229" s="389">
        <f t="shared" si="46"/>
        <v>0.48999999999999988</v>
      </c>
      <c r="J229" s="389">
        <f t="shared" si="46"/>
        <v>0.41</v>
      </c>
      <c r="K229" s="389">
        <f t="shared" si="46"/>
        <v>0.35</v>
      </c>
      <c r="L229" s="720">
        <v>0.06</v>
      </c>
      <c r="M229" s="63" t="s">
        <v>325</v>
      </c>
      <c r="N229" s="440">
        <v>4.3999999999999997E-2</v>
      </c>
      <c r="O229" s="390">
        <v>6.0000000000000001E-3</v>
      </c>
      <c r="P229" s="390">
        <v>0</v>
      </c>
      <c r="Q229" s="390">
        <v>0</v>
      </c>
      <c r="R229" s="390">
        <v>0</v>
      </c>
      <c r="S229" s="63" t="str">
        <f t="shared" si="43"/>
        <v>Y</v>
      </c>
      <c r="T229" s="63"/>
      <c r="U229" s="1039"/>
      <c r="V229" s="1039"/>
      <c r="W229" s="1039"/>
      <c r="X229" s="64" t="s">
        <v>2364</v>
      </c>
      <c r="Y229" s="439"/>
      <c r="Z229" s="439"/>
      <c r="AA229" s="439"/>
      <c r="AB229" s="439"/>
      <c r="AC229" s="439"/>
      <c r="AD229" s="439"/>
      <c r="AE229" s="439"/>
      <c r="AF229" s="439"/>
      <c r="AG229" s="439"/>
    </row>
    <row r="230" spans="1:33" ht="15" customHeight="1">
      <c r="A230" s="63">
        <f t="shared" si="45"/>
        <v>227</v>
      </c>
      <c r="B230" s="63" t="s">
        <v>1308</v>
      </c>
      <c r="C230" s="63" t="s">
        <v>1307</v>
      </c>
      <c r="D230" s="1234" t="s">
        <v>1937</v>
      </c>
      <c r="E230" s="64">
        <v>2993</v>
      </c>
      <c r="F230" s="65" t="s">
        <v>1870</v>
      </c>
      <c r="G230" s="389">
        <f t="shared" si="46"/>
        <v>0.78500000000000003</v>
      </c>
      <c r="H230" s="389">
        <f t="shared" si="46"/>
        <v>0.70499999999999996</v>
      </c>
      <c r="I230" s="389">
        <f t="shared" si="46"/>
        <v>0.61499999999999999</v>
      </c>
      <c r="J230" s="389">
        <f t="shared" si="46"/>
        <v>0.53500000000000003</v>
      </c>
      <c r="K230" s="389">
        <f t="shared" si="46"/>
        <v>0.47499999999999998</v>
      </c>
      <c r="L230" s="720">
        <v>0.06</v>
      </c>
      <c r="M230" s="63" t="s">
        <v>3153</v>
      </c>
      <c r="N230" s="440">
        <v>4.3999999999999997E-2</v>
      </c>
      <c r="O230" s="390">
        <v>6.0000000000000001E-3</v>
      </c>
      <c r="P230" s="390">
        <v>0</v>
      </c>
      <c r="Q230" s="390">
        <v>0</v>
      </c>
      <c r="R230" s="390">
        <v>0</v>
      </c>
      <c r="S230" s="63" t="str">
        <f t="shared" si="43"/>
        <v>Y</v>
      </c>
      <c r="T230" s="63"/>
      <c r="U230" s="1039"/>
      <c r="V230" s="1039"/>
      <c r="W230" s="1039"/>
      <c r="X230" s="64" t="s">
        <v>2364</v>
      </c>
      <c r="Y230" s="439"/>
      <c r="Z230" s="439"/>
      <c r="AA230" s="439"/>
      <c r="AB230" s="439"/>
      <c r="AC230" s="439"/>
      <c r="AD230" s="439"/>
      <c r="AE230" s="439"/>
      <c r="AF230" s="439"/>
      <c r="AG230" s="439"/>
    </row>
    <row r="231" spans="1:33" ht="15" customHeight="1">
      <c r="A231" s="63">
        <f t="shared" si="45"/>
        <v>228</v>
      </c>
      <c r="B231" s="63" t="s">
        <v>1306</v>
      </c>
      <c r="C231" s="63" t="s">
        <v>1307</v>
      </c>
      <c r="D231" s="1234" t="s">
        <v>2629</v>
      </c>
      <c r="E231" s="64">
        <v>2993</v>
      </c>
      <c r="F231" s="65" t="s">
        <v>1870</v>
      </c>
      <c r="G231" s="389">
        <f t="shared" si="46"/>
        <v>0.78500000000000003</v>
      </c>
      <c r="H231" s="389">
        <f t="shared" si="46"/>
        <v>0.70499999999999996</v>
      </c>
      <c r="I231" s="389">
        <f t="shared" si="46"/>
        <v>0.61499999999999999</v>
      </c>
      <c r="J231" s="389">
        <f t="shared" si="46"/>
        <v>0.53500000000000003</v>
      </c>
      <c r="K231" s="389">
        <f t="shared" si="46"/>
        <v>0.47499999999999998</v>
      </c>
      <c r="L231" s="720">
        <v>0.06</v>
      </c>
      <c r="M231" s="63" t="s">
        <v>3153</v>
      </c>
      <c r="N231" s="440">
        <v>4.3999999999999997E-2</v>
      </c>
      <c r="O231" s="390">
        <v>6.0000000000000001E-3</v>
      </c>
      <c r="P231" s="390">
        <v>0</v>
      </c>
      <c r="Q231" s="390">
        <v>0</v>
      </c>
      <c r="R231" s="390">
        <v>0</v>
      </c>
      <c r="S231" s="63" t="str">
        <f t="shared" ref="S231" si="48">+IF(LEFT(D231,1)="E","Y",IF(LEFT(D231,1)="S","Y",IF(LEFT(D231,1)="X","Y","N")))</f>
        <v>Y</v>
      </c>
      <c r="T231" s="63"/>
      <c r="U231" s="1039"/>
      <c r="V231" s="1039"/>
      <c r="W231" s="1039"/>
      <c r="X231" s="64" t="s">
        <v>2364</v>
      </c>
      <c r="Y231" s="439"/>
      <c r="Z231" s="439"/>
      <c r="AA231" s="439"/>
      <c r="AB231" s="439"/>
      <c r="AC231" s="439"/>
      <c r="AD231" s="439"/>
      <c r="AE231" s="439"/>
      <c r="AF231" s="439"/>
      <c r="AG231" s="439"/>
    </row>
    <row r="232" spans="1:33" ht="15" customHeight="1">
      <c r="A232" s="63">
        <f t="shared" si="45"/>
        <v>229</v>
      </c>
      <c r="B232" s="63" t="s">
        <v>1308</v>
      </c>
      <c r="C232" s="63" t="s">
        <v>1307</v>
      </c>
      <c r="D232" s="1234" t="s">
        <v>2205</v>
      </c>
      <c r="E232" s="64">
        <v>2998</v>
      </c>
      <c r="F232" s="65" t="s">
        <v>1870</v>
      </c>
      <c r="G232" s="389">
        <f t="shared" si="46"/>
        <v>0.78500000000000003</v>
      </c>
      <c r="H232" s="389">
        <f t="shared" si="46"/>
        <v>0.70499999999999996</v>
      </c>
      <c r="I232" s="389">
        <f t="shared" si="46"/>
        <v>0.61499999999999999</v>
      </c>
      <c r="J232" s="389">
        <f t="shared" si="46"/>
        <v>0.53500000000000003</v>
      </c>
      <c r="K232" s="389">
        <f t="shared" si="46"/>
        <v>0.47499999999999998</v>
      </c>
      <c r="L232" s="720">
        <v>0.06</v>
      </c>
      <c r="M232" s="63" t="s">
        <v>3153</v>
      </c>
      <c r="N232" s="440">
        <v>4.3999999999999997E-2</v>
      </c>
      <c r="O232" s="390">
        <v>6.0000000000000001E-3</v>
      </c>
      <c r="P232" s="390">
        <v>0</v>
      </c>
      <c r="Q232" s="390">
        <v>0</v>
      </c>
      <c r="R232" s="390">
        <v>0</v>
      </c>
      <c r="S232" s="63" t="str">
        <f t="shared" si="43"/>
        <v>Y</v>
      </c>
      <c r="T232" s="63"/>
      <c r="U232" s="1039"/>
      <c r="V232" s="1039"/>
      <c r="W232" s="1039"/>
      <c r="X232" s="64" t="s">
        <v>2364</v>
      </c>
      <c r="Y232" s="439"/>
      <c r="Z232" s="439"/>
      <c r="AA232" s="439"/>
      <c r="AB232" s="439"/>
      <c r="AC232" s="439"/>
      <c r="AD232" s="439"/>
      <c r="AE232" s="439"/>
      <c r="AF232" s="439"/>
      <c r="AG232" s="439"/>
    </row>
    <row r="233" spans="1:33" ht="15" customHeight="1">
      <c r="A233" s="63">
        <f t="shared" si="45"/>
        <v>230</v>
      </c>
      <c r="B233" s="63" t="s">
        <v>1308</v>
      </c>
      <c r="C233" s="63" t="s">
        <v>1889</v>
      </c>
      <c r="D233" s="63" t="s">
        <v>1905</v>
      </c>
      <c r="E233" s="64">
        <v>4395</v>
      </c>
      <c r="F233" s="65" t="s">
        <v>620</v>
      </c>
      <c r="G233" s="389">
        <f t="shared" si="46"/>
        <v>0.66999999999999993</v>
      </c>
      <c r="H233" s="389">
        <f t="shared" si="46"/>
        <v>0.59</v>
      </c>
      <c r="I233" s="389">
        <f t="shared" si="46"/>
        <v>0.49999999999999989</v>
      </c>
      <c r="J233" s="389">
        <f t="shared" si="46"/>
        <v>0.42</v>
      </c>
      <c r="K233" s="389">
        <f t="shared" si="46"/>
        <v>0.36</v>
      </c>
      <c r="L233" s="720">
        <v>0.06</v>
      </c>
      <c r="M233" s="63" t="s">
        <v>660</v>
      </c>
      <c r="N233" s="440">
        <v>4.3999999999999997E-2</v>
      </c>
      <c r="O233" s="390">
        <v>6.0000000000000001E-3</v>
      </c>
      <c r="P233" s="390">
        <v>0</v>
      </c>
      <c r="Q233" s="390">
        <v>0</v>
      </c>
      <c r="R233" s="390">
        <v>0</v>
      </c>
      <c r="S233" s="63" t="str">
        <f t="shared" si="43"/>
        <v>Y</v>
      </c>
      <c r="T233" s="63"/>
      <c r="U233" s="1039"/>
      <c r="V233" s="1039"/>
      <c r="W233" s="1039"/>
      <c r="X233" s="64" t="s">
        <v>2364</v>
      </c>
      <c r="Y233" s="439"/>
      <c r="Z233" s="439"/>
      <c r="AA233" s="439"/>
      <c r="AB233" s="439"/>
      <c r="AC233" s="439"/>
      <c r="AD233" s="439"/>
      <c r="AE233" s="439"/>
      <c r="AF233" s="439"/>
      <c r="AG233" s="439"/>
    </row>
    <row r="234" spans="1:33" ht="15" customHeight="1">
      <c r="A234" s="63">
        <f t="shared" si="45"/>
        <v>231</v>
      </c>
      <c r="B234" s="63" t="s">
        <v>1308</v>
      </c>
      <c r="C234" s="63" t="s">
        <v>1889</v>
      </c>
      <c r="D234" s="1234" t="s">
        <v>1906</v>
      </c>
      <c r="E234" s="64">
        <v>4395</v>
      </c>
      <c r="F234" s="65" t="s">
        <v>1907</v>
      </c>
      <c r="G234" s="389">
        <f t="shared" si="46"/>
        <v>0.66999999999999993</v>
      </c>
      <c r="H234" s="389">
        <f t="shared" si="46"/>
        <v>0.59</v>
      </c>
      <c r="I234" s="389">
        <f t="shared" si="46"/>
        <v>0.49999999999999989</v>
      </c>
      <c r="J234" s="389">
        <f t="shared" si="46"/>
        <v>0.42</v>
      </c>
      <c r="K234" s="389">
        <f t="shared" si="46"/>
        <v>0.36</v>
      </c>
      <c r="L234" s="720">
        <v>0.06</v>
      </c>
      <c r="M234" s="63" t="s">
        <v>660</v>
      </c>
      <c r="N234" s="440">
        <v>4.3999999999999997E-2</v>
      </c>
      <c r="O234" s="390">
        <v>6.0000000000000001E-3</v>
      </c>
      <c r="P234" s="390">
        <v>0</v>
      </c>
      <c r="Q234" s="390">
        <v>0</v>
      </c>
      <c r="R234" s="390">
        <v>0</v>
      </c>
      <c r="S234" s="63" t="str">
        <f t="shared" si="43"/>
        <v>Y</v>
      </c>
      <c r="T234" s="63"/>
      <c r="U234" s="1039"/>
      <c r="V234" s="1039"/>
      <c r="W234" s="1039"/>
      <c r="X234" s="64" t="s">
        <v>2364</v>
      </c>
      <c r="Y234" s="439"/>
      <c r="Z234" s="439"/>
      <c r="AA234" s="439"/>
      <c r="AB234" s="439"/>
      <c r="AC234" s="439"/>
      <c r="AD234" s="439"/>
      <c r="AE234" s="439"/>
      <c r="AF234" s="439"/>
      <c r="AG234" s="439"/>
    </row>
    <row r="235" spans="1:33" ht="15" customHeight="1">
      <c r="A235" s="63">
        <f t="shared" si="45"/>
        <v>232</v>
      </c>
      <c r="B235" s="63" t="s">
        <v>2332</v>
      </c>
      <c r="C235" s="63" t="s">
        <v>1889</v>
      </c>
      <c r="D235" s="1234" t="s">
        <v>2361</v>
      </c>
      <c r="E235" s="64">
        <v>4395</v>
      </c>
      <c r="F235" s="65" t="s">
        <v>189</v>
      </c>
      <c r="G235" s="389">
        <f t="shared" si="46"/>
        <v>0.65999999999999992</v>
      </c>
      <c r="H235" s="389">
        <f t="shared" si="46"/>
        <v>0.57999999999999996</v>
      </c>
      <c r="I235" s="389">
        <f t="shared" si="46"/>
        <v>0.48999999999999988</v>
      </c>
      <c r="J235" s="389">
        <f t="shared" si="46"/>
        <v>0.41</v>
      </c>
      <c r="K235" s="389">
        <f t="shared" si="46"/>
        <v>0.35</v>
      </c>
      <c r="L235" s="720">
        <v>0.06</v>
      </c>
      <c r="M235" s="63" t="s">
        <v>325</v>
      </c>
      <c r="N235" s="440">
        <v>4.3999999999999997E-2</v>
      </c>
      <c r="O235" s="390">
        <v>6.0000000000000001E-3</v>
      </c>
      <c r="P235" s="390">
        <v>0</v>
      </c>
      <c r="Q235" s="390">
        <v>0</v>
      </c>
      <c r="R235" s="390">
        <v>0</v>
      </c>
      <c r="S235" s="63" t="str">
        <f t="shared" si="43"/>
        <v>Y</v>
      </c>
      <c r="T235" s="63"/>
      <c r="U235" s="1039"/>
      <c r="V235" s="1039"/>
      <c r="W235" s="1039"/>
      <c r="X235" s="64" t="s">
        <v>2364</v>
      </c>
      <c r="Y235" s="439"/>
      <c r="Z235" s="439"/>
      <c r="AA235" s="439"/>
      <c r="AB235" s="439"/>
      <c r="AC235" s="439"/>
      <c r="AD235" s="439"/>
      <c r="AE235" s="439"/>
      <c r="AF235" s="439"/>
      <c r="AG235" s="439"/>
    </row>
    <row r="236" spans="1:33" ht="15" customHeight="1">
      <c r="A236" s="63">
        <f t="shared" si="45"/>
        <v>233</v>
      </c>
      <c r="B236" s="63" t="s">
        <v>1308</v>
      </c>
      <c r="C236" s="63" t="s">
        <v>1889</v>
      </c>
      <c r="D236" s="1234" t="s">
        <v>1938</v>
      </c>
      <c r="E236" s="64">
        <v>2998</v>
      </c>
      <c r="F236" s="65" t="s">
        <v>189</v>
      </c>
      <c r="G236" s="389">
        <f t="shared" si="46"/>
        <v>0.77</v>
      </c>
      <c r="H236" s="389">
        <f t="shared" si="46"/>
        <v>0.69000000000000006</v>
      </c>
      <c r="I236" s="389">
        <f t="shared" si="46"/>
        <v>0.6</v>
      </c>
      <c r="J236" s="389">
        <f t="shared" si="46"/>
        <v>0.52</v>
      </c>
      <c r="K236" s="389">
        <f t="shared" si="46"/>
        <v>0.46000000000000008</v>
      </c>
      <c r="L236" s="720">
        <v>0.06</v>
      </c>
      <c r="M236" s="63" t="s">
        <v>163</v>
      </c>
      <c r="N236" s="440">
        <v>4.3999999999999997E-2</v>
      </c>
      <c r="O236" s="390">
        <v>6.0000000000000001E-3</v>
      </c>
      <c r="P236" s="390">
        <v>0</v>
      </c>
      <c r="Q236" s="390">
        <v>0</v>
      </c>
      <c r="R236" s="390">
        <v>0</v>
      </c>
      <c r="S236" s="63" t="str">
        <f t="shared" si="43"/>
        <v>Y</v>
      </c>
      <c r="T236" s="63"/>
      <c r="U236" s="1039"/>
      <c r="V236" s="1039"/>
      <c r="W236" s="1039"/>
      <c r="X236" s="64" t="s">
        <v>2364</v>
      </c>
      <c r="Y236" s="439"/>
      <c r="Z236" s="439"/>
      <c r="AA236" s="439"/>
      <c r="AB236" s="439"/>
      <c r="AC236" s="439"/>
      <c r="AD236" s="439"/>
      <c r="AE236" s="439"/>
      <c r="AF236" s="439"/>
      <c r="AG236" s="439"/>
    </row>
    <row r="237" spans="1:33" ht="15" customHeight="1">
      <c r="A237" s="63">
        <f t="shared" si="45"/>
        <v>234</v>
      </c>
      <c r="B237" s="63" t="s">
        <v>1308</v>
      </c>
      <c r="C237" s="63" t="s">
        <v>1889</v>
      </c>
      <c r="D237" s="1234" t="s">
        <v>1939</v>
      </c>
      <c r="E237" s="64">
        <v>2998</v>
      </c>
      <c r="F237" s="65" t="s">
        <v>189</v>
      </c>
      <c r="G237" s="389">
        <f t="shared" si="46"/>
        <v>0.77</v>
      </c>
      <c r="H237" s="389">
        <f t="shared" si="46"/>
        <v>0.69000000000000006</v>
      </c>
      <c r="I237" s="389">
        <f t="shared" si="46"/>
        <v>0.6</v>
      </c>
      <c r="J237" s="389">
        <f t="shared" si="46"/>
        <v>0.52</v>
      </c>
      <c r="K237" s="389">
        <f t="shared" si="46"/>
        <v>0.46000000000000008</v>
      </c>
      <c r="L237" s="720">
        <v>0.06</v>
      </c>
      <c r="M237" s="63" t="s">
        <v>163</v>
      </c>
      <c r="N237" s="440">
        <v>4.3999999999999997E-2</v>
      </c>
      <c r="O237" s="390">
        <v>6.0000000000000001E-3</v>
      </c>
      <c r="P237" s="390">
        <v>0</v>
      </c>
      <c r="Q237" s="390">
        <v>0</v>
      </c>
      <c r="R237" s="390">
        <v>0</v>
      </c>
      <c r="S237" s="63" t="str">
        <f t="shared" si="43"/>
        <v>Y</v>
      </c>
      <c r="T237" s="63"/>
      <c r="U237" s="1039"/>
      <c r="V237" s="1039"/>
      <c r="W237" s="1039"/>
      <c r="X237" s="64" t="s">
        <v>2364</v>
      </c>
      <c r="Y237" s="439"/>
      <c r="Z237" s="439"/>
      <c r="AA237" s="439"/>
      <c r="AB237" s="439"/>
      <c r="AC237" s="439"/>
      <c r="AD237" s="439"/>
      <c r="AE237" s="439"/>
      <c r="AF237" s="439"/>
      <c r="AG237" s="439"/>
    </row>
    <row r="238" spans="1:33" ht="15" customHeight="1">
      <c r="A238" s="63">
        <f t="shared" si="45"/>
        <v>235</v>
      </c>
      <c r="B238" s="63" t="s">
        <v>1308</v>
      </c>
      <c r="C238" s="63" t="s">
        <v>2343</v>
      </c>
      <c r="D238" s="1234" t="s">
        <v>1908</v>
      </c>
      <c r="E238" s="64">
        <v>2998</v>
      </c>
      <c r="F238" s="65" t="s">
        <v>189</v>
      </c>
      <c r="G238" s="389">
        <f t="shared" si="46"/>
        <v>0.77</v>
      </c>
      <c r="H238" s="389">
        <f t="shared" si="46"/>
        <v>0.69000000000000006</v>
      </c>
      <c r="I238" s="389">
        <f t="shared" si="46"/>
        <v>0.6</v>
      </c>
      <c r="J238" s="389">
        <f t="shared" si="46"/>
        <v>0.52</v>
      </c>
      <c r="K238" s="389">
        <f t="shared" si="46"/>
        <v>0.46000000000000008</v>
      </c>
      <c r="L238" s="720">
        <v>0.06</v>
      </c>
      <c r="M238" s="63" t="s">
        <v>163</v>
      </c>
      <c r="N238" s="440">
        <v>4.3999999999999997E-2</v>
      </c>
      <c r="O238" s="390">
        <v>6.0000000000000001E-3</v>
      </c>
      <c r="P238" s="390">
        <v>0</v>
      </c>
      <c r="Q238" s="390">
        <v>0</v>
      </c>
      <c r="R238" s="390">
        <v>0</v>
      </c>
      <c r="S238" s="63" t="str">
        <f t="shared" si="43"/>
        <v>Y</v>
      </c>
      <c r="T238" s="63"/>
      <c r="U238" s="1039"/>
      <c r="V238" s="1039"/>
      <c r="W238" s="1039"/>
      <c r="X238" s="64" t="s">
        <v>2364</v>
      </c>
      <c r="Y238" s="439"/>
      <c r="Z238" s="439"/>
      <c r="AA238" s="439"/>
      <c r="AB238" s="439"/>
      <c r="AC238" s="439"/>
      <c r="AD238" s="439"/>
      <c r="AE238" s="439"/>
      <c r="AF238" s="439"/>
      <c r="AG238" s="439"/>
    </row>
    <row r="239" spans="1:33" ht="15" customHeight="1">
      <c r="A239" s="63">
        <f t="shared" si="45"/>
        <v>236</v>
      </c>
      <c r="B239" s="63" t="s">
        <v>1308</v>
      </c>
      <c r="C239" s="63" t="s">
        <v>1889</v>
      </c>
      <c r="D239" s="1234" t="s">
        <v>1909</v>
      </c>
      <c r="E239" s="64">
        <v>2993</v>
      </c>
      <c r="F239" s="65" t="s">
        <v>1907</v>
      </c>
      <c r="G239" s="389">
        <f t="shared" si="46"/>
        <v>0.77</v>
      </c>
      <c r="H239" s="389">
        <f t="shared" si="46"/>
        <v>0.69000000000000006</v>
      </c>
      <c r="I239" s="389">
        <f t="shared" si="46"/>
        <v>0.6</v>
      </c>
      <c r="J239" s="389">
        <f t="shared" si="46"/>
        <v>0.52</v>
      </c>
      <c r="K239" s="389">
        <f t="shared" si="46"/>
        <v>0.46000000000000008</v>
      </c>
      <c r="L239" s="720">
        <v>0.06</v>
      </c>
      <c r="M239" s="63" t="s">
        <v>163</v>
      </c>
      <c r="N239" s="440">
        <v>4.3999999999999997E-2</v>
      </c>
      <c r="O239" s="390">
        <v>6.0000000000000001E-3</v>
      </c>
      <c r="P239" s="390">
        <v>0</v>
      </c>
      <c r="Q239" s="390">
        <v>0</v>
      </c>
      <c r="R239" s="390">
        <v>0</v>
      </c>
      <c r="S239" s="63" t="str">
        <f t="shared" si="43"/>
        <v>Y</v>
      </c>
      <c r="T239" s="63"/>
      <c r="U239" s="1039"/>
      <c r="V239" s="1039"/>
      <c r="W239" s="1039"/>
      <c r="X239" s="64" t="s">
        <v>2364</v>
      </c>
      <c r="Y239" s="439"/>
      <c r="Z239" s="439"/>
      <c r="AA239" s="439"/>
      <c r="AB239" s="439"/>
      <c r="AC239" s="439"/>
      <c r="AD239" s="439"/>
      <c r="AE239" s="439"/>
      <c r="AF239" s="439"/>
      <c r="AG239" s="439"/>
    </row>
    <row r="240" spans="1:33" ht="15" customHeight="1">
      <c r="A240" s="63">
        <f t="shared" si="45"/>
        <v>237</v>
      </c>
      <c r="B240" s="63" t="s">
        <v>1308</v>
      </c>
      <c r="C240" s="63" t="s">
        <v>1889</v>
      </c>
      <c r="D240" s="1234" t="s">
        <v>2362</v>
      </c>
      <c r="E240" s="64">
        <v>2993</v>
      </c>
      <c r="F240" s="65" t="s">
        <v>620</v>
      </c>
      <c r="G240" s="389">
        <f t="shared" si="46"/>
        <v>0.77</v>
      </c>
      <c r="H240" s="389">
        <f t="shared" si="46"/>
        <v>0.69000000000000006</v>
      </c>
      <c r="I240" s="389">
        <f t="shared" si="46"/>
        <v>0.6</v>
      </c>
      <c r="J240" s="389">
        <f t="shared" si="46"/>
        <v>0.52</v>
      </c>
      <c r="K240" s="389">
        <f t="shared" si="46"/>
        <v>0.46000000000000008</v>
      </c>
      <c r="L240" s="720">
        <v>0.06</v>
      </c>
      <c r="M240" s="63" t="s">
        <v>163</v>
      </c>
      <c r="N240" s="440">
        <v>4.3999999999999997E-2</v>
      </c>
      <c r="O240" s="390">
        <v>6.0000000000000001E-3</v>
      </c>
      <c r="P240" s="390">
        <v>0</v>
      </c>
      <c r="Q240" s="390">
        <v>0</v>
      </c>
      <c r="R240" s="390">
        <v>0</v>
      </c>
      <c r="S240" s="63" t="str">
        <f t="shared" si="43"/>
        <v>Y</v>
      </c>
      <c r="T240" s="63"/>
      <c r="U240" s="1039"/>
      <c r="V240" s="1039"/>
      <c r="W240" s="1039"/>
      <c r="X240" s="64" t="s">
        <v>2364</v>
      </c>
      <c r="Y240" s="439"/>
      <c r="Z240" s="439"/>
      <c r="AA240" s="439"/>
      <c r="AB240" s="439"/>
      <c r="AC240" s="439"/>
      <c r="AD240" s="439"/>
      <c r="AE240" s="439"/>
      <c r="AF240" s="439"/>
      <c r="AG240" s="439"/>
    </row>
    <row r="241" spans="1:33" ht="15" customHeight="1">
      <c r="A241" s="63">
        <f t="shared" si="45"/>
        <v>238</v>
      </c>
      <c r="B241" s="63" t="s">
        <v>2332</v>
      </c>
      <c r="C241" s="63" t="s">
        <v>1889</v>
      </c>
      <c r="D241" s="1234" t="s">
        <v>2206</v>
      </c>
      <c r="E241" s="64">
        <v>2993</v>
      </c>
      <c r="F241" s="65" t="s">
        <v>189</v>
      </c>
      <c r="G241" s="389">
        <f t="shared" si="46"/>
        <v>0.77</v>
      </c>
      <c r="H241" s="389">
        <f t="shared" si="46"/>
        <v>0.69000000000000006</v>
      </c>
      <c r="I241" s="389">
        <f t="shared" si="46"/>
        <v>0.6</v>
      </c>
      <c r="J241" s="389">
        <f t="shared" si="46"/>
        <v>0.52</v>
      </c>
      <c r="K241" s="389">
        <f t="shared" si="46"/>
        <v>0.46000000000000008</v>
      </c>
      <c r="L241" s="720">
        <v>0.06</v>
      </c>
      <c r="M241" s="63" t="s">
        <v>163</v>
      </c>
      <c r="N241" s="440">
        <v>4.3999999999999997E-2</v>
      </c>
      <c r="O241" s="390">
        <v>6.0000000000000001E-3</v>
      </c>
      <c r="P241" s="390">
        <v>0</v>
      </c>
      <c r="Q241" s="390">
        <v>0</v>
      </c>
      <c r="R241" s="390">
        <v>0</v>
      </c>
      <c r="S241" s="63" t="str">
        <f t="shared" si="43"/>
        <v>Y</v>
      </c>
      <c r="T241" s="63"/>
      <c r="U241" s="1039"/>
      <c r="V241" s="1039"/>
      <c r="W241" s="1039"/>
      <c r="X241" s="64" t="s">
        <v>2364</v>
      </c>
      <c r="Y241" s="439"/>
      <c r="Z241" s="439"/>
      <c r="AA241" s="439"/>
      <c r="AB241" s="439"/>
      <c r="AC241" s="439"/>
      <c r="AD241" s="439"/>
      <c r="AE241" s="439"/>
      <c r="AF241" s="439"/>
      <c r="AG241" s="439"/>
    </row>
    <row r="242" spans="1:33" ht="15" customHeight="1">
      <c r="A242" s="63">
        <f t="shared" si="45"/>
        <v>239</v>
      </c>
      <c r="B242" s="63" t="s">
        <v>1308</v>
      </c>
      <c r="C242" s="63" t="s">
        <v>1889</v>
      </c>
      <c r="D242" s="1234" t="s">
        <v>1940</v>
      </c>
      <c r="E242" s="64">
        <v>4395</v>
      </c>
      <c r="F242" s="65" t="s">
        <v>189</v>
      </c>
      <c r="G242" s="389">
        <f t="shared" si="46"/>
        <v>0.66999999999999993</v>
      </c>
      <c r="H242" s="389">
        <f t="shared" si="46"/>
        <v>0.59</v>
      </c>
      <c r="I242" s="389">
        <f t="shared" si="46"/>
        <v>0.49999999999999989</v>
      </c>
      <c r="J242" s="389">
        <f t="shared" si="46"/>
        <v>0.42</v>
      </c>
      <c r="K242" s="389">
        <f t="shared" si="46"/>
        <v>0.36</v>
      </c>
      <c r="L242" s="720">
        <v>0.06</v>
      </c>
      <c r="M242" s="63" t="s">
        <v>660</v>
      </c>
      <c r="N242" s="440">
        <v>4.3999999999999997E-2</v>
      </c>
      <c r="O242" s="390">
        <v>6.0000000000000001E-3</v>
      </c>
      <c r="P242" s="390">
        <v>0</v>
      </c>
      <c r="Q242" s="390">
        <v>0</v>
      </c>
      <c r="R242" s="390">
        <v>0</v>
      </c>
      <c r="S242" s="63" t="str">
        <f t="shared" si="43"/>
        <v>Y</v>
      </c>
      <c r="T242" s="63"/>
      <c r="U242" s="1039"/>
      <c r="V242" s="1039"/>
      <c r="W242" s="1039"/>
      <c r="X242" s="64" t="s">
        <v>2364</v>
      </c>
      <c r="Y242" s="439"/>
      <c r="Z242" s="439"/>
      <c r="AA242" s="439"/>
      <c r="AB242" s="439"/>
      <c r="AC242" s="439"/>
      <c r="AD242" s="439"/>
      <c r="AE242" s="439"/>
      <c r="AF242" s="439"/>
      <c r="AG242" s="439"/>
    </row>
    <row r="243" spans="1:33" ht="15" customHeight="1">
      <c r="A243" s="63">
        <f t="shared" si="45"/>
        <v>240</v>
      </c>
      <c r="B243" s="63" t="s">
        <v>1308</v>
      </c>
      <c r="C243" s="63" t="s">
        <v>1889</v>
      </c>
      <c r="D243" s="1234" t="s">
        <v>1941</v>
      </c>
      <c r="E243" s="64">
        <v>4395</v>
      </c>
      <c r="F243" s="65" t="s">
        <v>189</v>
      </c>
      <c r="G243" s="389">
        <f t="shared" si="46"/>
        <v>0.66999999999999993</v>
      </c>
      <c r="H243" s="389">
        <f t="shared" si="46"/>
        <v>0.59</v>
      </c>
      <c r="I243" s="389">
        <f t="shared" si="46"/>
        <v>0.49999999999999989</v>
      </c>
      <c r="J243" s="389">
        <f t="shared" si="46"/>
        <v>0.42</v>
      </c>
      <c r="K243" s="389">
        <f t="shared" si="46"/>
        <v>0.36</v>
      </c>
      <c r="L243" s="720">
        <v>0.06</v>
      </c>
      <c r="M243" s="63" t="s">
        <v>660</v>
      </c>
      <c r="N243" s="440">
        <v>4.3999999999999997E-2</v>
      </c>
      <c r="O243" s="390">
        <v>6.0000000000000001E-3</v>
      </c>
      <c r="P243" s="390">
        <v>0</v>
      </c>
      <c r="Q243" s="390">
        <v>0</v>
      </c>
      <c r="R243" s="390">
        <v>0</v>
      </c>
      <c r="S243" s="63" t="str">
        <f t="shared" si="43"/>
        <v>Y</v>
      </c>
      <c r="T243" s="63"/>
      <c r="U243" s="1039"/>
      <c r="V243" s="1039"/>
      <c r="W243" s="1039"/>
      <c r="X243" s="64" t="s">
        <v>2364</v>
      </c>
      <c r="Y243" s="439"/>
      <c r="Z243" s="439"/>
      <c r="AA243" s="439"/>
      <c r="AB243" s="439"/>
      <c r="AC243" s="439"/>
      <c r="AD243" s="439"/>
      <c r="AE243" s="439"/>
      <c r="AF243" s="439"/>
      <c r="AG243" s="439"/>
    </row>
    <row r="244" spans="1:33" ht="15" customHeight="1">
      <c r="A244" s="63">
        <f t="shared" si="45"/>
        <v>241</v>
      </c>
      <c r="B244" s="63" t="s">
        <v>1308</v>
      </c>
      <c r="C244" s="63" t="s">
        <v>1889</v>
      </c>
      <c r="D244" s="1234" t="s">
        <v>1942</v>
      </c>
      <c r="E244" s="64">
        <v>1998</v>
      </c>
      <c r="F244" s="65" t="s">
        <v>144</v>
      </c>
      <c r="G244" s="389">
        <f t="shared" si="46"/>
        <v>0.65999999999999992</v>
      </c>
      <c r="H244" s="389">
        <f t="shared" si="46"/>
        <v>0.57999999999999996</v>
      </c>
      <c r="I244" s="389">
        <f t="shared" si="46"/>
        <v>0.48999999999999988</v>
      </c>
      <c r="J244" s="389">
        <f t="shared" si="46"/>
        <v>0.41</v>
      </c>
      <c r="K244" s="389">
        <f t="shared" si="46"/>
        <v>0.35</v>
      </c>
      <c r="L244" s="720">
        <v>0.06</v>
      </c>
      <c r="M244" s="63" t="s">
        <v>325</v>
      </c>
      <c r="N244" s="440">
        <v>4.3999999999999997E-2</v>
      </c>
      <c r="O244" s="390">
        <v>6.0000000000000001E-3</v>
      </c>
      <c r="P244" s="390">
        <v>0</v>
      </c>
      <c r="Q244" s="390">
        <v>0</v>
      </c>
      <c r="R244" s="390">
        <v>0</v>
      </c>
      <c r="S244" s="63" t="str">
        <f t="shared" si="43"/>
        <v>N</v>
      </c>
      <c r="T244" s="63"/>
      <c r="U244" s="1039"/>
      <c r="V244" s="1039"/>
      <c r="W244" s="1039"/>
      <c r="X244" s="64" t="s">
        <v>2364</v>
      </c>
      <c r="Y244" s="439"/>
      <c r="Z244" s="439"/>
      <c r="AA244" s="439"/>
      <c r="AB244" s="439"/>
      <c r="AC244" s="439"/>
      <c r="AD244" s="439"/>
      <c r="AE244" s="439"/>
      <c r="AF244" s="439"/>
      <c r="AG244" s="439"/>
    </row>
    <row r="245" spans="1:33" ht="15" customHeight="1">
      <c r="A245" s="63">
        <f t="shared" si="45"/>
        <v>242</v>
      </c>
      <c r="B245" s="63" t="s">
        <v>1308</v>
      </c>
      <c r="C245" s="63" t="s">
        <v>1889</v>
      </c>
      <c r="D245" s="1234" t="s">
        <v>1943</v>
      </c>
      <c r="E245" s="64">
        <v>2998</v>
      </c>
      <c r="F245" s="65" t="s">
        <v>144</v>
      </c>
      <c r="G245" s="389">
        <f t="shared" si="46"/>
        <v>0.65999999999999992</v>
      </c>
      <c r="H245" s="389">
        <f t="shared" si="46"/>
        <v>0.57999999999999996</v>
      </c>
      <c r="I245" s="389">
        <f t="shared" si="46"/>
        <v>0.48999999999999988</v>
      </c>
      <c r="J245" s="389">
        <f t="shared" si="46"/>
        <v>0.41</v>
      </c>
      <c r="K245" s="389">
        <f t="shared" si="46"/>
        <v>0.35</v>
      </c>
      <c r="L245" s="720">
        <v>0.06</v>
      </c>
      <c r="M245" s="63" t="s">
        <v>325</v>
      </c>
      <c r="N245" s="440">
        <v>4.3999999999999997E-2</v>
      </c>
      <c r="O245" s="390">
        <v>6.0000000000000001E-3</v>
      </c>
      <c r="P245" s="390">
        <v>0</v>
      </c>
      <c r="Q245" s="390">
        <v>0</v>
      </c>
      <c r="R245" s="390">
        <v>0</v>
      </c>
      <c r="S245" s="63" t="str">
        <f t="shared" si="43"/>
        <v>N</v>
      </c>
      <c r="T245" s="63"/>
      <c r="U245" s="1039"/>
      <c r="V245" s="1039"/>
      <c r="W245" s="1039"/>
      <c r="X245" s="64" t="s">
        <v>2364</v>
      </c>
      <c r="Y245" s="439"/>
      <c r="Z245" s="439"/>
      <c r="AA245" s="439"/>
      <c r="AB245" s="439"/>
      <c r="AC245" s="439"/>
      <c r="AD245" s="439"/>
      <c r="AE245" s="439"/>
      <c r="AF245" s="439"/>
      <c r="AG245" s="439"/>
    </row>
    <row r="246" spans="1:33" ht="15" customHeight="1">
      <c r="A246" s="63">
        <f t="shared" si="45"/>
        <v>243</v>
      </c>
      <c r="B246" s="63" t="s">
        <v>1308</v>
      </c>
      <c r="C246" s="63" t="s">
        <v>1889</v>
      </c>
      <c r="D246" s="63" t="s">
        <v>1944</v>
      </c>
      <c r="E246" s="64">
        <v>0</v>
      </c>
      <c r="F246" s="65" t="s">
        <v>190</v>
      </c>
      <c r="G246" s="389">
        <f t="shared" si="46"/>
        <v>0.57999999999999996</v>
      </c>
      <c r="H246" s="389">
        <f t="shared" si="46"/>
        <v>0.5</v>
      </c>
      <c r="I246" s="389">
        <f t="shared" si="46"/>
        <v>0.41</v>
      </c>
      <c r="J246" s="389">
        <f t="shared" si="46"/>
        <v>0.32999999999999996</v>
      </c>
      <c r="K246" s="389">
        <f t="shared" si="46"/>
        <v>0.26999999999999996</v>
      </c>
      <c r="L246" s="720">
        <v>0.06</v>
      </c>
      <c r="M246" s="63" t="s">
        <v>662</v>
      </c>
      <c r="N246" s="440">
        <v>4.3999999999999997E-2</v>
      </c>
      <c r="O246" s="390">
        <v>6.0000000000000001E-3</v>
      </c>
      <c r="P246" s="390">
        <v>0</v>
      </c>
      <c r="Q246" s="390">
        <v>0</v>
      </c>
      <c r="R246" s="390">
        <v>0</v>
      </c>
      <c r="S246" s="63" t="str">
        <f t="shared" ref="S246:S268" si="49">+IF(LEFT(D246,1)="E","Y",IF(LEFT(D246,1)="S","Y",IF(LEFT(D246,1)="X","Y","N")))</f>
        <v>N</v>
      </c>
      <c r="T246" s="63"/>
      <c r="U246" s="1039"/>
      <c r="V246" s="1039"/>
      <c r="W246" s="1039"/>
      <c r="X246" s="64" t="s">
        <v>2364</v>
      </c>
      <c r="Y246" s="439"/>
      <c r="Z246" s="439"/>
      <c r="AA246" s="439"/>
      <c r="AB246" s="439"/>
      <c r="AC246" s="439"/>
      <c r="AD246" s="439"/>
      <c r="AE246" s="439"/>
      <c r="AF246" s="439"/>
      <c r="AG246" s="439"/>
    </row>
    <row r="247" spans="1:33" ht="15" customHeight="1">
      <c r="A247" s="63">
        <f t="shared" si="45"/>
        <v>244</v>
      </c>
      <c r="B247" s="63" t="s">
        <v>1308</v>
      </c>
      <c r="C247" s="63" t="s">
        <v>2343</v>
      </c>
      <c r="D247" s="63" t="s">
        <v>2207</v>
      </c>
      <c r="E247" s="64">
        <v>0</v>
      </c>
      <c r="F247" s="65" t="s">
        <v>190</v>
      </c>
      <c r="G247" s="389">
        <f t="shared" si="46"/>
        <v>0.57999999999999996</v>
      </c>
      <c r="H247" s="389">
        <f t="shared" si="46"/>
        <v>0.5</v>
      </c>
      <c r="I247" s="389">
        <f t="shared" si="46"/>
        <v>0.41</v>
      </c>
      <c r="J247" s="389">
        <f t="shared" si="46"/>
        <v>0.32999999999999996</v>
      </c>
      <c r="K247" s="389">
        <f t="shared" si="46"/>
        <v>0.26999999999999996</v>
      </c>
      <c r="L247" s="720">
        <v>0.06</v>
      </c>
      <c r="M247" s="63" t="s">
        <v>662</v>
      </c>
      <c r="N247" s="440">
        <v>4.3999999999999997E-2</v>
      </c>
      <c r="O247" s="390">
        <v>6.0000000000000001E-3</v>
      </c>
      <c r="P247" s="390">
        <v>0</v>
      </c>
      <c r="Q247" s="390">
        <v>0</v>
      </c>
      <c r="R247" s="390">
        <v>0</v>
      </c>
      <c r="S247" s="63" t="str">
        <f t="shared" si="49"/>
        <v>N</v>
      </c>
      <c r="T247" s="63"/>
      <c r="U247" s="1039"/>
      <c r="V247" s="1039"/>
      <c r="W247" s="1039"/>
      <c r="X247" s="64" t="s">
        <v>2364</v>
      </c>
      <c r="Y247" s="439"/>
      <c r="Z247" s="439"/>
      <c r="AA247" s="439"/>
      <c r="AB247" s="439"/>
      <c r="AC247" s="439"/>
      <c r="AD247" s="439"/>
      <c r="AE247" s="439"/>
      <c r="AF247" s="439"/>
      <c r="AG247" s="439"/>
    </row>
    <row r="248" spans="1:33" ht="15" customHeight="1">
      <c r="A248" s="63">
        <f t="shared" si="45"/>
        <v>245</v>
      </c>
      <c r="B248" s="63" t="s">
        <v>1308</v>
      </c>
      <c r="C248" s="63" t="s">
        <v>1889</v>
      </c>
      <c r="D248" s="63" t="s">
        <v>1945</v>
      </c>
      <c r="E248" s="64">
        <v>0</v>
      </c>
      <c r="F248" s="65" t="s">
        <v>190</v>
      </c>
      <c r="G248" s="389">
        <f t="shared" si="46"/>
        <v>0.65999999999999992</v>
      </c>
      <c r="H248" s="389">
        <f t="shared" si="46"/>
        <v>0.57999999999999996</v>
      </c>
      <c r="I248" s="389">
        <f t="shared" si="46"/>
        <v>0.48999999999999988</v>
      </c>
      <c r="J248" s="389">
        <f t="shared" si="46"/>
        <v>0.41</v>
      </c>
      <c r="K248" s="389">
        <f t="shared" si="46"/>
        <v>0.35</v>
      </c>
      <c r="L248" s="720">
        <v>0.06</v>
      </c>
      <c r="M248" s="63" t="s">
        <v>325</v>
      </c>
      <c r="N248" s="440">
        <v>4.3999999999999997E-2</v>
      </c>
      <c r="O248" s="390">
        <v>6.0000000000000001E-3</v>
      </c>
      <c r="P248" s="390">
        <v>0</v>
      </c>
      <c r="Q248" s="390">
        <v>0</v>
      </c>
      <c r="R248" s="390">
        <v>0</v>
      </c>
      <c r="S248" s="63" t="str">
        <f t="shared" si="49"/>
        <v>N</v>
      </c>
      <c r="T248" s="63"/>
      <c r="U248" s="1039"/>
      <c r="V248" s="1039"/>
      <c r="W248" s="1039"/>
      <c r="X248" s="64" t="s">
        <v>2364</v>
      </c>
      <c r="Y248" s="439"/>
      <c r="Z248" s="439"/>
      <c r="AA248" s="439"/>
      <c r="AB248" s="439"/>
      <c r="AC248" s="439"/>
      <c r="AD248" s="439"/>
      <c r="AE248" s="439"/>
      <c r="AF248" s="439"/>
      <c r="AG248" s="439"/>
    </row>
    <row r="249" spans="1:33" ht="15" customHeight="1">
      <c r="A249" s="63">
        <f t="shared" si="45"/>
        <v>246</v>
      </c>
      <c r="B249" s="63" t="s">
        <v>1308</v>
      </c>
      <c r="C249" s="63" t="s">
        <v>1889</v>
      </c>
      <c r="D249" s="63" t="s">
        <v>1946</v>
      </c>
      <c r="E249" s="64">
        <v>0</v>
      </c>
      <c r="F249" s="65" t="s">
        <v>190</v>
      </c>
      <c r="G249" s="389">
        <f t="shared" si="46"/>
        <v>0.65999999999999992</v>
      </c>
      <c r="H249" s="389">
        <f t="shared" si="46"/>
        <v>0.57999999999999996</v>
      </c>
      <c r="I249" s="389">
        <f t="shared" si="46"/>
        <v>0.48999999999999988</v>
      </c>
      <c r="J249" s="389">
        <f t="shared" si="46"/>
        <v>0.41</v>
      </c>
      <c r="K249" s="389">
        <f t="shared" si="46"/>
        <v>0.35</v>
      </c>
      <c r="L249" s="720">
        <v>0.06</v>
      </c>
      <c r="M249" s="63" t="s">
        <v>325</v>
      </c>
      <c r="N249" s="440">
        <v>4.3999999999999997E-2</v>
      </c>
      <c r="O249" s="390">
        <v>6.0000000000000001E-3</v>
      </c>
      <c r="P249" s="390">
        <v>0</v>
      </c>
      <c r="Q249" s="390">
        <v>0</v>
      </c>
      <c r="R249" s="390">
        <v>0</v>
      </c>
      <c r="S249" s="63" t="str">
        <f t="shared" si="49"/>
        <v>N</v>
      </c>
      <c r="T249" s="63"/>
      <c r="U249" s="1039"/>
      <c r="V249" s="1039"/>
      <c r="W249" s="1039"/>
      <c r="X249" s="64" t="s">
        <v>2364</v>
      </c>
      <c r="Y249" s="439"/>
      <c r="Z249" s="439"/>
      <c r="AA249" s="439"/>
      <c r="AB249" s="439"/>
      <c r="AC249" s="439"/>
      <c r="AD249" s="439"/>
      <c r="AE249" s="439"/>
      <c r="AF249" s="439"/>
      <c r="AG249" s="439"/>
    </row>
    <row r="250" spans="1:33" ht="15" customHeight="1">
      <c r="A250" s="63">
        <f t="shared" si="45"/>
        <v>247</v>
      </c>
      <c r="B250" s="63" t="s">
        <v>1308</v>
      </c>
      <c r="C250" s="63" t="s">
        <v>1889</v>
      </c>
      <c r="D250" s="63" t="s">
        <v>1947</v>
      </c>
      <c r="E250" s="64">
        <v>0</v>
      </c>
      <c r="F250" s="65" t="s">
        <v>190</v>
      </c>
      <c r="G250" s="389">
        <f t="shared" si="46"/>
        <v>0.65999999999999992</v>
      </c>
      <c r="H250" s="389">
        <f t="shared" si="46"/>
        <v>0.57999999999999996</v>
      </c>
      <c r="I250" s="389">
        <f t="shared" si="46"/>
        <v>0.48999999999999988</v>
      </c>
      <c r="J250" s="389">
        <f t="shared" si="46"/>
        <v>0.41</v>
      </c>
      <c r="K250" s="389">
        <f t="shared" si="46"/>
        <v>0.35</v>
      </c>
      <c r="L250" s="720">
        <v>0.06</v>
      </c>
      <c r="M250" s="63" t="s">
        <v>325</v>
      </c>
      <c r="N250" s="440">
        <v>4.3999999999999997E-2</v>
      </c>
      <c r="O250" s="390">
        <v>6.0000000000000001E-3</v>
      </c>
      <c r="P250" s="390">
        <v>0</v>
      </c>
      <c r="Q250" s="390">
        <v>0</v>
      </c>
      <c r="R250" s="390">
        <v>0</v>
      </c>
      <c r="S250" s="63" t="str">
        <f t="shared" si="49"/>
        <v>N</v>
      </c>
      <c r="T250" s="63"/>
      <c r="U250" s="1039"/>
      <c r="V250" s="1039"/>
      <c r="W250" s="1039"/>
      <c r="X250" s="64" t="s">
        <v>2364</v>
      </c>
      <c r="Y250" s="439"/>
      <c r="Z250" s="439"/>
      <c r="AA250" s="439"/>
      <c r="AB250" s="439"/>
      <c r="AC250" s="439"/>
      <c r="AD250" s="439"/>
      <c r="AE250" s="439"/>
      <c r="AF250" s="439"/>
      <c r="AG250" s="439"/>
    </row>
    <row r="251" spans="1:33" ht="15" customHeight="1">
      <c r="A251" s="63">
        <f t="shared" si="45"/>
        <v>248</v>
      </c>
      <c r="B251" s="63" t="s">
        <v>1308</v>
      </c>
      <c r="C251" s="63" t="s">
        <v>1889</v>
      </c>
      <c r="D251" s="63" t="s">
        <v>1948</v>
      </c>
      <c r="E251" s="64">
        <v>0</v>
      </c>
      <c r="F251" s="65" t="s">
        <v>190</v>
      </c>
      <c r="G251" s="389">
        <f t="shared" si="46"/>
        <v>0.65999999999999992</v>
      </c>
      <c r="H251" s="389">
        <f t="shared" si="46"/>
        <v>0.57999999999999996</v>
      </c>
      <c r="I251" s="389">
        <f t="shared" si="46"/>
        <v>0.48999999999999988</v>
      </c>
      <c r="J251" s="389">
        <f t="shared" si="46"/>
        <v>0.41</v>
      </c>
      <c r="K251" s="389">
        <f t="shared" si="46"/>
        <v>0.35</v>
      </c>
      <c r="L251" s="720">
        <v>0.06</v>
      </c>
      <c r="M251" s="63" t="s">
        <v>325</v>
      </c>
      <c r="N251" s="440">
        <v>4.3999999999999997E-2</v>
      </c>
      <c r="O251" s="390">
        <v>6.0000000000000001E-3</v>
      </c>
      <c r="P251" s="390">
        <v>0</v>
      </c>
      <c r="Q251" s="390">
        <v>0</v>
      </c>
      <c r="R251" s="390">
        <v>0</v>
      </c>
      <c r="S251" s="63" t="str">
        <f t="shared" si="49"/>
        <v>N</v>
      </c>
      <c r="T251" s="63"/>
      <c r="U251" s="1039"/>
      <c r="V251" s="1039"/>
      <c r="W251" s="1039"/>
      <c r="X251" s="64" t="s">
        <v>2364</v>
      </c>
      <c r="Y251" s="439"/>
      <c r="Z251" s="439"/>
      <c r="AA251" s="439"/>
      <c r="AB251" s="439"/>
      <c r="AC251" s="439"/>
      <c r="AD251" s="439"/>
      <c r="AE251" s="439"/>
      <c r="AF251" s="439"/>
      <c r="AG251" s="439"/>
    </row>
    <row r="252" spans="1:33" ht="15" customHeight="1">
      <c r="A252" s="63">
        <f t="shared" si="45"/>
        <v>249</v>
      </c>
      <c r="B252" s="63" t="s">
        <v>1306</v>
      </c>
      <c r="C252" s="63" t="s">
        <v>1307</v>
      </c>
      <c r="D252" s="63" t="s">
        <v>2551</v>
      </c>
      <c r="E252" s="64">
        <v>0</v>
      </c>
      <c r="F252" s="65" t="s">
        <v>190</v>
      </c>
      <c r="G252" s="389">
        <f t="shared" si="46"/>
        <v>0.69</v>
      </c>
      <c r="H252" s="389">
        <f t="shared" si="46"/>
        <v>0.61</v>
      </c>
      <c r="I252" s="389">
        <f t="shared" si="46"/>
        <v>0.51999999999999991</v>
      </c>
      <c r="J252" s="389">
        <f t="shared" si="46"/>
        <v>0.44</v>
      </c>
      <c r="K252" s="389">
        <f t="shared" si="46"/>
        <v>0.38</v>
      </c>
      <c r="L252" s="720">
        <v>0.06</v>
      </c>
      <c r="M252" s="63" t="s">
        <v>323</v>
      </c>
      <c r="N252" s="440">
        <v>4.3999999999999997E-2</v>
      </c>
      <c r="O252" s="390">
        <v>6.0000000000000001E-3</v>
      </c>
      <c r="P252" s="390">
        <v>0</v>
      </c>
      <c r="Q252" s="390">
        <v>0</v>
      </c>
      <c r="R252" s="390">
        <v>0</v>
      </c>
      <c r="S252" s="63" t="str">
        <f t="shared" ref="S252:S258" si="50">+IF(LEFT(D252,1)="E","Y",IF(LEFT(D252,1)="S","Y",IF(LEFT(D252,1)="X","Y","N")))</f>
        <v>N</v>
      </c>
      <c r="T252" s="63"/>
      <c r="U252" s="1039"/>
      <c r="V252" s="1039"/>
      <c r="W252" s="1039"/>
      <c r="X252" s="64" t="s">
        <v>2364</v>
      </c>
      <c r="Y252" s="439"/>
      <c r="Z252" s="439"/>
      <c r="AA252" s="439"/>
      <c r="AB252" s="439"/>
      <c r="AC252" s="439"/>
      <c r="AD252" s="439"/>
      <c r="AE252" s="439"/>
      <c r="AF252" s="439"/>
      <c r="AG252" s="439"/>
    </row>
    <row r="253" spans="1:33" ht="15" customHeight="1">
      <c r="A253" s="63">
        <f t="shared" si="45"/>
        <v>250</v>
      </c>
      <c r="B253" s="63" t="s">
        <v>1306</v>
      </c>
      <c r="C253" s="63" t="s">
        <v>1307</v>
      </c>
      <c r="D253" s="63" t="s">
        <v>2552</v>
      </c>
      <c r="E253" s="64">
        <v>0</v>
      </c>
      <c r="F253" s="65" t="s">
        <v>190</v>
      </c>
      <c r="G253" s="389">
        <f t="shared" si="46"/>
        <v>0.69</v>
      </c>
      <c r="H253" s="389">
        <f t="shared" si="46"/>
        <v>0.61</v>
      </c>
      <c r="I253" s="389">
        <f t="shared" si="46"/>
        <v>0.51999999999999991</v>
      </c>
      <c r="J253" s="389">
        <f t="shared" si="46"/>
        <v>0.44</v>
      </c>
      <c r="K253" s="389">
        <f t="shared" si="46"/>
        <v>0.38</v>
      </c>
      <c r="L253" s="720">
        <v>0.06</v>
      </c>
      <c r="M253" s="63" t="s">
        <v>323</v>
      </c>
      <c r="N253" s="440">
        <v>4.3999999999999997E-2</v>
      </c>
      <c r="O253" s="390">
        <v>6.0000000000000001E-3</v>
      </c>
      <c r="P253" s="390">
        <v>0</v>
      </c>
      <c r="Q253" s="390">
        <v>0</v>
      </c>
      <c r="R253" s="390">
        <v>0</v>
      </c>
      <c r="S253" s="63" t="str">
        <f t="shared" si="50"/>
        <v>N</v>
      </c>
      <c r="T253" s="63"/>
      <c r="U253" s="1039"/>
      <c r="V253" s="1039"/>
      <c r="W253" s="1039"/>
      <c r="X253" s="64" t="s">
        <v>2364</v>
      </c>
      <c r="Y253" s="439"/>
      <c r="Z253" s="439"/>
      <c r="AA253" s="439"/>
      <c r="AB253" s="439"/>
      <c r="AC253" s="439"/>
      <c r="AD253" s="439"/>
      <c r="AE253" s="439"/>
      <c r="AF253" s="439"/>
      <c r="AG253" s="439"/>
    </row>
    <row r="254" spans="1:33" ht="15" customHeight="1">
      <c r="A254" s="63">
        <f t="shared" si="45"/>
        <v>251</v>
      </c>
      <c r="B254" s="63" t="s">
        <v>1306</v>
      </c>
      <c r="C254" s="63" t="s">
        <v>1307</v>
      </c>
      <c r="D254" s="63" t="s">
        <v>2553</v>
      </c>
      <c r="E254" s="64">
        <v>0</v>
      </c>
      <c r="F254" s="65" t="s">
        <v>190</v>
      </c>
      <c r="G254" s="389">
        <f t="shared" si="46"/>
        <v>0.69</v>
      </c>
      <c r="H254" s="389">
        <f t="shared" si="46"/>
        <v>0.61</v>
      </c>
      <c r="I254" s="389">
        <f t="shared" si="46"/>
        <v>0.51999999999999991</v>
      </c>
      <c r="J254" s="389">
        <f t="shared" si="46"/>
        <v>0.44</v>
      </c>
      <c r="K254" s="389">
        <f t="shared" si="46"/>
        <v>0.38</v>
      </c>
      <c r="L254" s="720">
        <v>0.06</v>
      </c>
      <c r="M254" s="63" t="s">
        <v>323</v>
      </c>
      <c r="N254" s="440">
        <v>4.3999999999999997E-2</v>
      </c>
      <c r="O254" s="390">
        <v>6.0000000000000001E-3</v>
      </c>
      <c r="P254" s="390">
        <v>0</v>
      </c>
      <c r="Q254" s="390">
        <v>0</v>
      </c>
      <c r="R254" s="390">
        <v>0</v>
      </c>
      <c r="S254" s="63" t="str">
        <f t="shared" si="50"/>
        <v>N</v>
      </c>
      <c r="T254" s="63"/>
      <c r="U254" s="1039"/>
      <c r="V254" s="1039"/>
      <c r="W254" s="1039"/>
      <c r="X254" s="64" t="s">
        <v>2364</v>
      </c>
      <c r="Y254" s="439"/>
      <c r="Z254" s="439"/>
      <c r="AA254" s="439"/>
      <c r="AB254" s="439"/>
      <c r="AC254" s="439"/>
      <c r="AD254" s="439"/>
      <c r="AE254" s="439"/>
      <c r="AF254" s="439"/>
      <c r="AG254" s="439"/>
    </row>
    <row r="255" spans="1:33" ht="15" customHeight="1">
      <c r="A255" s="63">
        <f t="shared" si="45"/>
        <v>252</v>
      </c>
      <c r="B255" s="63" t="s">
        <v>1306</v>
      </c>
      <c r="C255" s="63" t="s">
        <v>1307</v>
      </c>
      <c r="D255" s="63" t="s">
        <v>2574</v>
      </c>
      <c r="E255" s="64">
        <v>0</v>
      </c>
      <c r="F255" s="65" t="s">
        <v>190</v>
      </c>
      <c r="G255" s="389">
        <f t="shared" si="46"/>
        <v>0.67999999999999994</v>
      </c>
      <c r="H255" s="389">
        <f t="shared" si="46"/>
        <v>0.6</v>
      </c>
      <c r="I255" s="389">
        <f t="shared" si="46"/>
        <v>0.5099999999999999</v>
      </c>
      <c r="J255" s="389">
        <f t="shared" si="46"/>
        <v>0.43</v>
      </c>
      <c r="K255" s="389">
        <f t="shared" si="46"/>
        <v>0.37</v>
      </c>
      <c r="L255" s="720">
        <v>0.06</v>
      </c>
      <c r="M255" s="63" t="s">
        <v>324</v>
      </c>
      <c r="N255" s="440">
        <v>4.3999999999999997E-2</v>
      </c>
      <c r="O255" s="390">
        <v>6.0000000000000001E-3</v>
      </c>
      <c r="P255" s="390">
        <v>0</v>
      </c>
      <c r="Q255" s="390">
        <v>0</v>
      </c>
      <c r="R255" s="390">
        <v>0</v>
      </c>
      <c r="S255" s="63" t="str">
        <f t="shared" si="50"/>
        <v>N</v>
      </c>
      <c r="T255" s="63"/>
      <c r="U255" s="1039"/>
      <c r="V255" s="1039"/>
      <c r="W255" s="1039"/>
      <c r="X255" s="64" t="s">
        <v>2364</v>
      </c>
      <c r="Y255" s="439"/>
      <c r="Z255" s="439"/>
      <c r="AA255" s="439"/>
      <c r="AB255" s="439"/>
      <c r="AC255" s="439"/>
      <c r="AD255" s="439"/>
      <c r="AE255" s="439"/>
      <c r="AF255" s="439"/>
      <c r="AG255" s="439"/>
    </row>
    <row r="256" spans="1:33" ht="15" customHeight="1">
      <c r="A256" s="63">
        <f t="shared" si="45"/>
        <v>253</v>
      </c>
      <c r="B256" s="63" t="s">
        <v>1306</v>
      </c>
      <c r="C256" s="63" t="s">
        <v>1307</v>
      </c>
      <c r="D256" s="63" t="s">
        <v>2555</v>
      </c>
      <c r="E256" s="64">
        <v>0</v>
      </c>
      <c r="F256" s="65" t="s">
        <v>190</v>
      </c>
      <c r="G256" s="389">
        <f t="shared" si="46"/>
        <v>0.67999999999999994</v>
      </c>
      <c r="H256" s="389">
        <f t="shared" si="46"/>
        <v>0.6</v>
      </c>
      <c r="I256" s="389">
        <f t="shared" si="46"/>
        <v>0.5099999999999999</v>
      </c>
      <c r="J256" s="389">
        <f t="shared" si="46"/>
        <v>0.43</v>
      </c>
      <c r="K256" s="389">
        <f t="shared" si="46"/>
        <v>0.37</v>
      </c>
      <c r="L256" s="720">
        <v>0.06</v>
      </c>
      <c r="M256" s="63" t="s">
        <v>324</v>
      </c>
      <c r="N256" s="440">
        <v>4.3999999999999997E-2</v>
      </c>
      <c r="O256" s="390">
        <v>6.0000000000000001E-3</v>
      </c>
      <c r="P256" s="390">
        <v>0</v>
      </c>
      <c r="Q256" s="390">
        <v>0</v>
      </c>
      <c r="R256" s="390">
        <v>0</v>
      </c>
      <c r="S256" s="63" t="str">
        <f t="shared" si="50"/>
        <v>N</v>
      </c>
      <c r="T256" s="63"/>
      <c r="U256" s="1039"/>
      <c r="V256" s="1039"/>
      <c r="W256" s="1039"/>
      <c r="X256" s="64" t="s">
        <v>2364</v>
      </c>
      <c r="Y256" s="439"/>
      <c r="Z256" s="439"/>
      <c r="AA256" s="439"/>
      <c r="AB256" s="439"/>
      <c r="AC256" s="439"/>
      <c r="AD256" s="439"/>
      <c r="AE256" s="439"/>
      <c r="AF256" s="439"/>
      <c r="AG256" s="439"/>
    </row>
    <row r="257" spans="1:33" ht="15" customHeight="1">
      <c r="A257" s="63">
        <f t="shared" si="45"/>
        <v>254</v>
      </c>
      <c r="B257" s="63" t="s">
        <v>1306</v>
      </c>
      <c r="C257" s="63" t="s">
        <v>1307</v>
      </c>
      <c r="D257" s="63" t="s">
        <v>2554</v>
      </c>
      <c r="E257" s="64">
        <v>0</v>
      </c>
      <c r="F257" s="65" t="s">
        <v>190</v>
      </c>
      <c r="G257" s="389">
        <f t="shared" si="46"/>
        <v>0.67999999999999994</v>
      </c>
      <c r="H257" s="389">
        <f t="shared" si="46"/>
        <v>0.6</v>
      </c>
      <c r="I257" s="389">
        <f t="shared" si="46"/>
        <v>0.5099999999999999</v>
      </c>
      <c r="J257" s="389">
        <f t="shared" si="46"/>
        <v>0.43</v>
      </c>
      <c r="K257" s="389">
        <f t="shared" si="46"/>
        <v>0.37</v>
      </c>
      <c r="L257" s="720">
        <v>0.06</v>
      </c>
      <c r="M257" s="63" t="s">
        <v>324</v>
      </c>
      <c r="N257" s="440">
        <v>4.3999999999999997E-2</v>
      </c>
      <c r="O257" s="390">
        <v>6.0000000000000001E-3</v>
      </c>
      <c r="P257" s="390">
        <v>0</v>
      </c>
      <c r="Q257" s="390">
        <v>0</v>
      </c>
      <c r="R257" s="390">
        <v>0</v>
      </c>
      <c r="S257" s="63" t="str">
        <f t="shared" si="50"/>
        <v>N</v>
      </c>
      <c r="T257" s="63"/>
      <c r="U257" s="1039"/>
      <c r="V257" s="1039"/>
      <c r="W257" s="1039"/>
      <c r="X257" s="64" t="s">
        <v>2364</v>
      </c>
      <c r="Y257" s="439"/>
      <c r="Z257" s="439"/>
      <c r="AA257" s="439"/>
      <c r="AB257" s="439"/>
      <c r="AC257" s="439"/>
      <c r="AD257" s="439"/>
      <c r="AE257" s="439"/>
      <c r="AF257" s="439"/>
      <c r="AG257" s="439"/>
    </row>
    <row r="258" spans="1:33" ht="15" customHeight="1">
      <c r="A258" s="63">
        <f t="shared" si="45"/>
        <v>255</v>
      </c>
      <c r="B258" s="63" t="s">
        <v>1306</v>
      </c>
      <c r="C258" s="63" t="s">
        <v>1307</v>
      </c>
      <c r="D258" s="63" t="s">
        <v>2556</v>
      </c>
      <c r="E258" s="64">
        <v>0</v>
      </c>
      <c r="F258" s="65" t="s">
        <v>190</v>
      </c>
      <c r="G258" s="389">
        <f t="shared" si="46"/>
        <v>0.66999999999999993</v>
      </c>
      <c r="H258" s="389">
        <f t="shared" si="46"/>
        <v>0.59</v>
      </c>
      <c r="I258" s="389">
        <f t="shared" si="46"/>
        <v>0.49999999999999989</v>
      </c>
      <c r="J258" s="389">
        <f t="shared" si="46"/>
        <v>0.42</v>
      </c>
      <c r="K258" s="389">
        <f t="shared" si="46"/>
        <v>0.36</v>
      </c>
      <c r="L258" s="720">
        <v>0.06</v>
      </c>
      <c r="M258" s="63" t="s">
        <v>660</v>
      </c>
      <c r="N258" s="440">
        <v>4.3999999999999997E-2</v>
      </c>
      <c r="O258" s="390">
        <v>6.0000000000000001E-3</v>
      </c>
      <c r="P258" s="390">
        <v>0</v>
      </c>
      <c r="Q258" s="390">
        <v>0</v>
      </c>
      <c r="R258" s="390">
        <v>0</v>
      </c>
      <c r="S258" s="63" t="str">
        <f t="shared" si="50"/>
        <v>N</v>
      </c>
      <c r="T258" s="63"/>
      <c r="U258" s="1039"/>
      <c r="V258" s="1039"/>
      <c r="W258" s="1039"/>
      <c r="X258" s="64" t="s">
        <v>2364</v>
      </c>
      <c r="Y258" s="439"/>
      <c r="Z258" s="439"/>
      <c r="AA258" s="439"/>
      <c r="AB258" s="439"/>
      <c r="AC258" s="439"/>
      <c r="AD258" s="439"/>
      <c r="AE258" s="439"/>
      <c r="AF258" s="439"/>
      <c r="AG258" s="439"/>
    </row>
    <row r="259" spans="1:33" ht="15" customHeight="1">
      <c r="A259" s="63">
        <f t="shared" si="45"/>
        <v>256</v>
      </c>
      <c r="B259" s="63" t="s">
        <v>1308</v>
      </c>
      <c r="C259" s="63" t="s">
        <v>1889</v>
      </c>
      <c r="D259" s="63" t="s">
        <v>1949</v>
      </c>
      <c r="E259" s="64">
        <v>0</v>
      </c>
      <c r="F259" s="65" t="s">
        <v>190</v>
      </c>
      <c r="G259" s="389">
        <f t="shared" si="46"/>
        <v>0.67999999999999994</v>
      </c>
      <c r="H259" s="389">
        <f t="shared" si="46"/>
        <v>0.6</v>
      </c>
      <c r="I259" s="389">
        <f t="shared" si="46"/>
        <v>0.5099999999999999</v>
      </c>
      <c r="J259" s="389">
        <f t="shared" si="46"/>
        <v>0.43</v>
      </c>
      <c r="K259" s="389">
        <f t="shared" si="46"/>
        <v>0.37</v>
      </c>
      <c r="L259" s="720">
        <v>0.06</v>
      </c>
      <c r="M259" s="63" t="s">
        <v>324</v>
      </c>
      <c r="N259" s="440">
        <v>4.3999999999999997E-2</v>
      </c>
      <c r="O259" s="390">
        <v>6.0000000000000001E-3</v>
      </c>
      <c r="P259" s="390">
        <v>0</v>
      </c>
      <c r="Q259" s="390">
        <v>0</v>
      </c>
      <c r="R259" s="390">
        <v>0</v>
      </c>
      <c r="S259" s="63" t="str">
        <f t="shared" si="49"/>
        <v>N</v>
      </c>
      <c r="T259" s="63"/>
      <c r="U259" s="1039"/>
      <c r="V259" s="1039"/>
      <c r="W259" s="1039"/>
      <c r="X259" s="64" t="s">
        <v>2364</v>
      </c>
      <c r="Y259" s="439"/>
      <c r="Z259" s="439"/>
      <c r="AA259" s="439"/>
      <c r="AB259" s="439"/>
      <c r="AC259" s="439"/>
      <c r="AD259" s="439"/>
      <c r="AE259" s="439"/>
      <c r="AF259" s="439"/>
      <c r="AG259" s="439"/>
    </row>
    <row r="260" spans="1:33" ht="15" customHeight="1">
      <c r="A260" s="63">
        <f t="shared" si="45"/>
        <v>257</v>
      </c>
      <c r="B260" s="63" t="s">
        <v>1308</v>
      </c>
      <c r="C260" s="63" t="s">
        <v>1889</v>
      </c>
      <c r="D260" s="63" t="s">
        <v>1950</v>
      </c>
      <c r="E260" s="64">
        <v>0</v>
      </c>
      <c r="F260" s="65" t="s">
        <v>190</v>
      </c>
      <c r="G260" s="389">
        <f t="shared" ref="G260:K310" si="51">+INDEX($AW$4:$AW$138,MATCH(G$3&amp;$M260,$AT$4:$AT$138,0))</f>
        <v>0.67999999999999994</v>
      </c>
      <c r="H260" s="389">
        <f t="shared" si="51"/>
        <v>0.6</v>
      </c>
      <c r="I260" s="389">
        <f t="shared" si="51"/>
        <v>0.5099999999999999</v>
      </c>
      <c r="J260" s="389">
        <f t="shared" si="51"/>
        <v>0.43</v>
      </c>
      <c r="K260" s="389">
        <f t="shared" si="51"/>
        <v>0.37</v>
      </c>
      <c r="L260" s="720">
        <v>0.06</v>
      </c>
      <c r="M260" s="63" t="s">
        <v>3166</v>
      </c>
      <c r="N260" s="440">
        <v>4.3999999999999997E-2</v>
      </c>
      <c r="O260" s="390">
        <v>6.0000000000000001E-3</v>
      </c>
      <c r="P260" s="390">
        <v>0</v>
      </c>
      <c r="Q260" s="390">
        <v>0</v>
      </c>
      <c r="R260" s="390">
        <v>0</v>
      </c>
      <c r="S260" s="63" t="str">
        <f t="shared" si="49"/>
        <v>N</v>
      </c>
      <c r="T260" s="63"/>
      <c r="U260" s="1039"/>
      <c r="V260" s="1039"/>
      <c r="W260" s="1039"/>
      <c r="X260" s="64" t="s">
        <v>2364</v>
      </c>
      <c r="Y260" s="439"/>
      <c r="Z260" s="439"/>
      <c r="AA260" s="439"/>
      <c r="AB260" s="439"/>
      <c r="AC260" s="439"/>
      <c r="AD260" s="439"/>
      <c r="AE260" s="439"/>
      <c r="AF260" s="439"/>
      <c r="AG260" s="439"/>
    </row>
    <row r="261" spans="1:33" ht="15" customHeight="1">
      <c r="A261" s="63">
        <f t="shared" si="45"/>
        <v>258</v>
      </c>
      <c r="B261" s="63" t="s">
        <v>1308</v>
      </c>
      <c r="C261" s="63" t="s">
        <v>1889</v>
      </c>
      <c r="D261" s="63" t="s">
        <v>1951</v>
      </c>
      <c r="E261" s="64">
        <v>0</v>
      </c>
      <c r="F261" s="65" t="s">
        <v>190</v>
      </c>
      <c r="G261" s="389">
        <f t="shared" si="51"/>
        <v>0.7</v>
      </c>
      <c r="H261" s="389">
        <f t="shared" si="51"/>
        <v>0.62</v>
      </c>
      <c r="I261" s="389">
        <f t="shared" si="51"/>
        <v>0.52999999999999992</v>
      </c>
      <c r="J261" s="389">
        <f t="shared" si="51"/>
        <v>0.45</v>
      </c>
      <c r="K261" s="389">
        <f t="shared" si="51"/>
        <v>0.39</v>
      </c>
      <c r="L261" s="720">
        <v>0.06</v>
      </c>
      <c r="M261" s="63" t="s">
        <v>322</v>
      </c>
      <c r="N261" s="440">
        <v>4.3999999999999997E-2</v>
      </c>
      <c r="O261" s="390">
        <v>6.0000000000000001E-3</v>
      </c>
      <c r="P261" s="390">
        <v>0</v>
      </c>
      <c r="Q261" s="390">
        <v>0</v>
      </c>
      <c r="R261" s="390">
        <v>0</v>
      </c>
      <c r="S261" s="63" t="str">
        <f t="shared" si="49"/>
        <v>N</v>
      </c>
      <c r="T261" s="63"/>
      <c r="U261" s="1039"/>
      <c r="V261" s="1039"/>
      <c r="W261" s="1039"/>
      <c r="X261" s="64" t="s">
        <v>2364</v>
      </c>
      <c r="Y261" s="439"/>
      <c r="Z261" s="439"/>
      <c r="AA261" s="439"/>
      <c r="AB261" s="439"/>
      <c r="AC261" s="439"/>
      <c r="AD261" s="439"/>
      <c r="AE261" s="439"/>
      <c r="AF261" s="439"/>
      <c r="AG261" s="439"/>
    </row>
    <row r="262" spans="1:33" ht="15" customHeight="1">
      <c r="A262" s="63">
        <f t="shared" si="45"/>
        <v>259</v>
      </c>
      <c r="B262" s="63" t="s">
        <v>1308</v>
      </c>
      <c r="C262" s="63" t="s">
        <v>1889</v>
      </c>
      <c r="D262" s="63" t="s">
        <v>1952</v>
      </c>
      <c r="E262" s="64">
        <v>0</v>
      </c>
      <c r="F262" s="65" t="s">
        <v>190</v>
      </c>
      <c r="G262" s="389">
        <f t="shared" si="51"/>
        <v>0.7</v>
      </c>
      <c r="H262" s="389">
        <f t="shared" si="51"/>
        <v>0.62</v>
      </c>
      <c r="I262" s="389">
        <f t="shared" si="51"/>
        <v>0.52999999999999992</v>
      </c>
      <c r="J262" s="389">
        <f t="shared" si="51"/>
        <v>0.45</v>
      </c>
      <c r="K262" s="389">
        <f t="shared" si="51"/>
        <v>0.39</v>
      </c>
      <c r="L262" s="720">
        <v>0.06</v>
      </c>
      <c r="M262" s="63" t="s">
        <v>322</v>
      </c>
      <c r="N262" s="440">
        <v>4.3999999999999997E-2</v>
      </c>
      <c r="O262" s="390">
        <v>6.0000000000000001E-3</v>
      </c>
      <c r="P262" s="390">
        <v>0</v>
      </c>
      <c r="Q262" s="390">
        <v>0</v>
      </c>
      <c r="R262" s="390">
        <v>0</v>
      </c>
      <c r="S262" s="63" t="str">
        <f t="shared" si="49"/>
        <v>N</v>
      </c>
      <c r="T262" s="63"/>
      <c r="U262" s="1039"/>
      <c r="V262" s="1039"/>
      <c r="W262" s="1039"/>
      <c r="X262" s="64" t="s">
        <v>2364</v>
      </c>
      <c r="Y262" s="439"/>
      <c r="Z262" s="439"/>
      <c r="AA262" s="439"/>
      <c r="AB262" s="439"/>
      <c r="AC262" s="439"/>
      <c r="AD262" s="439"/>
      <c r="AE262" s="439"/>
      <c r="AF262" s="439"/>
      <c r="AG262" s="439"/>
    </row>
    <row r="263" spans="1:33" ht="15" customHeight="1">
      <c r="A263" s="63">
        <f t="shared" si="45"/>
        <v>260</v>
      </c>
      <c r="B263" s="63" t="s">
        <v>1308</v>
      </c>
      <c r="C263" s="63" t="s">
        <v>1889</v>
      </c>
      <c r="D263" s="63" t="s">
        <v>1953</v>
      </c>
      <c r="E263" s="64">
        <v>0</v>
      </c>
      <c r="F263" s="65" t="s">
        <v>190</v>
      </c>
      <c r="G263" s="389">
        <f t="shared" si="51"/>
        <v>0.7</v>
      </c>
      <c r="H263" s="389">
        <f t="shared" si="51"/>
        <v>0.62</v>
      </c>
      <c r="I263" s="389">
        <f t="shared" si="51"/>
        <v>0.52999999999999992</v>
      </c>
      <c r="J263" s="389">
        <f t="shared" si="51"/>
        <v>0.45</v>
      </c>
      <c r="K263" s="389">
        <f t="shared" si="51"/>
        <v>0.39</v>
      </c>
      <c r="L263" s="720">
        <v>0.06</v>
      </c>
      <c r="M263" s="63" t="s">
        <v>322</v>
      </c>
      <c r="N263" s="440">
        <v>4.3999999999999997E-2</v>
      </c>
      <c r="O263" s="390">
        <v>6.0000000000000001E-3</v>
      </c>
      <c r="P263" s="390">
        <v>0</v>
      </c>
      <c r="Q263" s="390">
        <v>0</v>
      </c>
      <c r="R263" s="390">
        <v>0</v>
      </c>
      <c r="S263" s="63" t="str">
        <f t="shared" si="49"/>
        <v>N</v>
      </c>
      <c r="T263" s="63"/>
      <c r="U263" s="1039"/>
      <c r="V263" s="1039"/>
      <c r="W263" s="1039"/>
      <c r="X263" s="64" t="s">
        <v>2364</v>
      </c>
      <c r="Y263" s="439"/>
      <c r="Z263" s="439"/>
      <c r="AA263" s="439"/>
      <c r="AB263" s="439"/>
      <c r="AC263" s="439"/>
      <c r="AD263" s="439"/>
      <c r="AE263" s="439"/>
      <c r="AF263" s="439"/>
      <c r="AG263" s="439"/>
    </row>
    <row r="264" spans="1:33" ht="15" customHeight="1">
      <c r="A264" s="63">
        <f t="shared" si="45"/>
        <v>261</v>
      </c>
      <c r="B264" s="63" t="s">
        <v>2332</v>
      </c>
      <c r="C264" s="63" t="s">
        <v>1889</v>
      </c>
      <c r="D264" s="63" t="s">
        <v>1954</v>
      </c>
      <c r="E264" s="64">
        <v>0</v>
      </c>
      <c r="F264" s="65" t="s">
        <v>190</v>
      </c>
      <c r="G264" s="389">
        <f t="shared" si="51"/>
        <v>0.7</v>
      </c>
      <c r="H264" s="389">
        <f t="shared" si="51"/>
        <v>0.62</v>
      </c>
      <c r="I264" s="389">
        <f t="shared" si="51"/>
        <v>0.52999999999999992</v>
      </c>
      <c r="J264" s="389">
        <f t="shared" si="51"/>
        <v>0.45</v>
      </c>
      <c r="K264" s="389">
        <f t="shared" si="51"/>
        <v>0.39</v>
      </c>
      <c r="L264" s="720">
        <v>0.06</v>
      </c>
      <c r="M264" s="63" t="s">
        <v>322</v>
      </c>
      <c r="N264" s="440">
        <v>4.3999999999999997E-2</v>
      </c>
      <c r="O264" s="390">
        <v>6.0000000000000001E-3</v>
      </c>
      <c r="P264" s="390">
        <v>0</v>
      </c>
      <c r="Q264" s="390">
        <v>0</v>
      </c>
      <c r="R264" s="390">
        <v>0</v>
      </c>
      <c r="S264" s="63" t="str">
        <f t="shared" si="49"/>
        <v>N</v>
      </c>
      <c r="T264" s="63"/>
      <c r="U264" s="1039"/>
      <c r="V264" s="1039"/>
      <c r="W264" s="1039"/>
      <c r="X264" s="64" t="s">
        <v>2364</v>
      </c>
      <c r="Y264" s="439"/>
      <c r="Z264" s="439"/>
      <c r="AA264" s="439"/>
      <c r="AB264" s="439"/>
      <c r="AC264" s="439"/>
      <c r="AD264" s="439"/>
      <c r="AE264" s="439"/>
      <c r="AF264" s="439"/>
      <c r="AG264" s="439"/>
    </row>
    <row r="265" spans="1:33" ht="15" customHeight="1">
      <c r="A265" s="63">
        <f t="shared" si="45"/>
        <v>262</v>
      </c>
      <c r="B265" s="63" t="s">
        <v>1308</v>
      </c>
      <c r="C265" s="63" t="s">
        <v>1889</v>
      </c>
      <c r="D265" s="63" t="s">
        <v>2208</v>
      </c>
      <c r="E265" s="64">
        <v>0</v>
      </c>
      <c r="F265" s="65" t="s">
        <v>190</v>
      </c>
      <c r="G265" s="389">
        <f t="shared" si="51"/>
        <v>0.7</v>
      </c>
      <c r="H265" s="389">
        <f t="shared" si="51"/>
        <v>0.62</v>
      </c>
      <c r="I265" s="389">
        <f t="shared" si="51"/>
        <v>0.52999999999999992</v>
      </c>
      <c r="J265" s="389">
        <f t="shared" si="51"/>
        <v>0.45</v>
      </c>
      <c r="K265" s="389">
        <f t="shared" si="51"/>
        <v>0.39</v>
      </c>
      <c r="L265" s="720">
        <v>0.06</v>
      </c>
      <c r="M265" s="63" t="s">
        <v>322</v>
      </c>
      <c r="N265" s="440">
        <v>4.3999999999999997E-2</v>
      </c>
      <c r="O265" s="390">
        <v>6.0000000000000001E-3</v>
      </c>
      <c r="P265" s="390">
        <v>0</v>
      </c>
      <c r="Q265" s="390">
        <v>0</v>
      </c>
      <c r="R265" s="390">
        <v>0</v>
      </c>
      <c r="S265" s="63" t="str">
        <f t="shared" si="49"/>
        <v>N</v>
      </c>
      <c r="T265" s="63"/>
      <c r="U265" s="1039"/>
      <c r="V265" s="1039"/>
      <c r="W265" s="1039"/>
      <c r="X265" s="64" t="s">
        <v>2364</v>
      </c>
      <c r="Y265" s="439"/>
      <c r="Z265" s="439"/>
      <c r="AA265" s="439"/>
      <c r="AB265" s="439"/>
      <c r="AC265" s="439"/>
      <c r="AD265" s="439"/>
      <c r="AE265" s="439"/>
      <c r="AF265" s="439"/>
      <c r="AG265" s="439"/>
    </row>
    <row r="266" spans="1:33" ht="15" customHeight="1">
      <c r="A266" s="63">
        <f t="shared" si="45"/>
        <v>263</v>
      </c>
      <c r="B266" s="63" t="s">
        <v>1308</v>
      </c>
      <c r="C266" s="63" t="s">
        <v>1889</v>
      </c>
      <c r="D266" s="63" t="s">
        <v>1955</v>
      </c>
      <c r="E266" s="64">
        <v>0</v>
      </c>
      <c r="F266" s="65" t="s">
        <v>190</v>
      </c>
      <c r="G266" s="389">
        <f t="shared" si="51"/>
        <v>0.7</v>
      </c>
      <c r="H266" s="389">
        <f t="shared" si="51"/>
        <v>0.62</v>
      </c>
      <c r="I266" s="389">
        <f t="shared" si="51"/>
        <v>0.52999999999999992</v>
      </c>
      <c r="J266" s="389">
        <f t="shared" si="51"/>
        <v>0.45</v>
      </c>
      <c r="K266" s="389">
        <f t="shared" si="51"/>
        <v>0.39</v>
      </c>
      <c r="L266" s="720">
        <v>0.06</v>
      </c>
      <c r="M266" s="63" t="s">
        <v>322</v>
      </c>
      <c r="N266" s="440">
        <v>4.3999999999999997E-2</v>
      </c>
      <c r="O266" s="390">
        <v>6.0000000000000001E-3</v>
      </c>
      <c r="P266" s="390">
        <v>0</v>
      </c>
      <c r="Q266" s="390">
        <v>0</v>
      </c>
      <c r="R266" s="390">
        <v>0</v>
      </c>
      <c r="S266" s="63" t="str">
        <f t="shared" si="49"/>
        <v>N</v>
      </c>
      <c r="T266" s="63"/>
      <c r="U266" s="1039"/>
      <c r="V266" s="1039"/>
      <c r="W266" s="1039"/>
      <c r="X266" s="64" t="s">
        <v>2364</v>
      </c>
      <c r="Y266" s="439"/>
      <c r="Z266" s="439"/>
      <c r="AA266" s="439"/>
      <c r="AB266" s="439"/>
      <c r="AC266" s="439"/>
      <c r="AD266" s="439"/>
      <c r="AE266" s="439"/>
      <c r="AF266" s="439"/>
      <c r="AG266" s="439"/>
    </row>
    <row r="267" spans="1:33" ht="15" customHeight="1">
      <c r="A267" s="63">
        <f t="shared" si="45"/>
        <v>264</v>
      </c>
      <c r="B267" s="63" t="s">
        <v>2332</v>
      </c>
      <c r="C267" s="63" t="s">
        <v>1889</v>
      </c>
      <c r="D267" s="63" t="s">
        <v>2363</v>
      </c>
      <c r="E267" s="64">
        <v>0</v>
      </c>
      <c r="F267" s="65" t="s">
        <v>621</v>
      </c>
      <c r="G267" s="389">
        <f t="shared" si="51"/>
        <v>0.7</v>
      </c>
      <c r="H267" s="389">
        <f t="shared" si="51"/>
        <v>0.62</v>
      </c>
      <c r="I267" s="389">
        <f t="shared" si="51"/>
        <v>0.52999999999999992</v>
      </c>
      <c r="J267" s="389">
        <f t="shared" si="51"/>
        <v>0.45</v>
      </c>
      <c r="K267" s="389">
        <f t="shared" si="51"/>
        <v>0.39</v>
      </c>
      <c r="L267" s="720">
        <v>0.06</v>
      </c>
      <c r="M267" s="63" t="s">
        <v>322</v>
      </c>
      <c r="N267" s="440">
        <v>4.3999999999999997E-2</v>
      </c>
      <c r="O267" s="390">
        <v>6.0000000000000001E-3</v>
      </c>
      <c r="P267" s="390">
        <v>0</v>
      </c>
      <c r="Q267" s="390">
        <v>0</v>
      </c>
      <c r="R267" s="390">
        <v>0</v>
      </c>
      <c r="S267" s="63" t="str">
        <f t="shared" si="49"/>
        <v>N</v>
      </c>
      <c r="T267" s="63"/>
      <c r="U267" s="1039"/>
      <c r="V267" s="1039"/>
      <c r="W267" s="1039"/>
      <c r="X267" s="64" t="s">
        <v>2364</v>
      </c>
      <c r="Y267" s="439"/>
      <c r="Z267" s="439"/>
      <c r="AA267" s="439"/>
      <c r="AB267" s="439"/>
      <c r="AC267" s="439"/>
      <c r="AD267" s="439"/>
      <c r="AE267" s="439"/>
      <c r="AF267" s="439"/>
      <c r="AG267" s="439"/>
    </row>
    <row r="268" spans="1:33" ht="15" customHeight="1">
      <c r="A268" s="63">
        <f t="shared" si="45"/>
        <v>265</v>
      </c>
      <c r="B268" s="63" t="s">
        <v>1308</v>
      </c>
      <c r="C268" s="63" t="s">
        <v>1889</v>
      </c>
      <c r="D268" s="63" t="s">
        <v>2208</v>
      </c>
      <c r="E268" s="64">
        <v>0</v>
      </c>
      <c r="F268" s="65" t="s">
        <v>621</v>
      </c>
      <c r="G268" s="389">
        <f t="shared" si="51"/>
        <v>0.7</v>
      </c>
      <c r="H268" s="389">
        <f t="shared" si="51"/>
        <v>0.62</v>
      </c>
      <c r="I268" s="389">
        <f t="shared" si="51"/>
        <v>0.52999999999999992</v>
      </c>
      <c r="J268" s="389">
        <f t="shared" si="51"/>
        <v>0.45</v>
      </c>
      <c r="K268" s="389">
        <f t="shared" si="51"/>
        <v>0.39</v>
      </c>
      <c r="L268" s="720">
        <v>0.06</v>
      </c>
      <c r="M268" s="63" t="s">
        <v>322</v>
      </c>
      <c r="N268" s="440">
        <v>4.3999999999999997E-2</v>
      </c>
      <c r="O268" s="390">
        <v>6.0000000000000001E-3</v>
      </c>
      <c r="P268" s="390">
        <v>0</v>
      </c>
      <c r="Q268" s="390">
        <v>0</v>
      </c>
      <c r="R268" s="390">
        <v>0</v>
      </c>
      <c r="S268" s="63" t="str">
        <f t="shared" si="49"/>
        <v>N</v>
      </c>
      <c r="T268" s="63"/>
      <c r="U268" s="1039"/>
      <c r="V268" s="1039"/>
      <c r="W268" s="1039"/>
      <c r="X268" s="64" t="s">
        <v>2364</v>
      </c>
      <c r="Y268" s="439"/>
      <c r="Z268" s="439"/>
      <c r="AA268" s="439"/>
      <c r="AB268" s="439"/>
      <c r="AC268" s="439"/>
      <c r="AD268" s="439"/>
      <c r="AE268" s="439"/>
      <c r="AF268" s="439"/>
      <c r="AG268" s="439"/>
    </row>
    <row r="269" spans="1:33" ht="15" customHeight="1">
      <c r="A269" s="63">
        <f t="shared" si="45"/>
        <v>266</v>
      </c>
      <c r="B269" s="63" t="s">
        <v>1308</v>
      </c>
      <c r="C269" s="63" t="s">
        <v>1889</v>
      </c>
      <c r="D269" s="1234" t="s">
        <v>1956</v>
      </c>
      <c r="E269" s="64">
        <v>4395</v>
      </c>
      <c r="F269" s="65" t="s">
        <v>189</v>
      </c>
      <c r="G269" s="389">
        <f t="shared" si="51"/>
        <v>0.61999999999999988</v>
      </c>
      <c r="H269" s="389">
        <f t="shared" si="51"/>
        <v>0.53999999999999992</v>
      </c>
      <c r="I269" s="389">
        <f t="shared" si="51"/>
        <v>0.44999999999999984</v>
      </c>
      <c r="J269" s="389">
        <f t="shared" si="51"/>
        <v>0.36999999999999994</v>
      </c>
      <c r="K269" s="389">
        <f t="shared" si="51"/>
        <v>0.30999999999999994</v>
      </c>
      <c r="L269" s="720">
        <v>0.06</v>
      </c>
      <c r="M269" s="63" t="s">
        <v>664</v>
      </c>
      <c r="N269" s="440">
        <v>4.3999999999999997E-2</v>
      </c>
      <c r="O269" s="390">
        <v>6.0000000000000001E-3</v>
      </c>
      <c r="P269" s="390">
        <v>0</v>
      </c>
      <c r="Q269" s="390">
        <v>0</v>
      </c>
      <c r="R269" s="390">
        <v>0</v>
      </c>
      <c r="S269" s="63" t="s">
        <v>476</v>
      </c>
      <c r="T269" s="63"/>
      <c r="U269" s="1039"/>
      <c r="V269" s="1039"/>
      <c r="W269" s="1039"/>
      <c r="X269" s="64" t="s">
        <v>2364</v>
      </c>
      <c r="Y269" s="439"/>
      <c r="Z269" s="439"/>
      <c r="AA269" s="439"/>
      <c r="AB269" s="439"/>
      <c r="AC269" s="439"/>
      <c r="AD269" s="439"/>
      <c r="AE269" s="439"/>
      <c r="AF269" s="439"/>
      <c r="AG269" s="439"/>
    </row>
    <row r="270" spans="1:33" ht="15" customHeight="1">
      <c r="A270" s="63">
        <f t="shared" ref="A270:A313" si="52">ROW()-3</f>
        <v>267</v>
      </c>
      <c r="B270" s="63" t="s">
        <v>1308</v>
      </c>
      <c r="C270" s="63" t="s">
        <v>1889</v>
      </c>
      <c r="D270" s="63"/>
      <c r="E270" s="64"/>
      <c r="F270" s="65" t="s">
        <v>144</v>
      </c>
      <c r="G270" s="389" t="e">
        <f t="shared" si="51"/>
        <v>#N/A</v>
      </c>
      <c r="H270" s="389" t="e">
        <f t="shared" si="51"/>
        <v>#N/A</v>
      </c>
      <c r="I270" s="389" t="e">
        <f t="shared" si="51"/>
        <v>#N/A</v>
      </c>
      <c r="J270" s="389" t="e">
        <f t="shared" si="51"/>
        <v>#N/A</v>
      </c>
      <c r="K270" s="389" t="e">
        <f t="shared" si="51"/>
        <v>#N/A</v>
      </c>
      <c r="L270" s="720"/>
      <c r="M270" s="63"/>
      <c r="N270" s="440"/>
      <c r="O270" s="390"/>
      <c r="P270" s="390">
        <v>0</v>
      </c>
      <c r="Q270" s="390">
        <v>0</v>
      </c>
      <c r="R270" s="390">
        <v>0</v>
      </c>
      <c r="S270" s="63" t="s">
        <v>476</v>
      </c>
      <c r="T270" s="63"/>
      <c r="U270" s="1039"/>
      <c r="V270" s="1039"/>
      <c r="W270" s="1039"/>
      <c r="X270" s="64" t="s">
        <v>2364</v>
      </c>
      <c r="Y270" s="439"/>
      <c r="Z270" s="439"/>
      <c r="AA270" s="439"/>
      <c r="AB270" s="439"/>
      <c r="AC270" s="439"/>
      <c r="AD270" s="439"/>
      <c r="AE270" s="439"/>
      <c r="AF270" s="439"/>
      <c r="AG270" s="439"/>
    </row>
    <row r="271" spans="1:33" ht="15" customHeight="1">
      <c r="A271" s="63">
        <f t="shared" si="52"/>
        <v>268</v>
      </c>
      <c r="B271" s="63" t="s">
        <v>1308</v>
      </c>
      <c r="C271" s="63" t="s">
        <v>1889</v>
      </c>
      <c r="D271" s="63"/>
      <c r="E271" s="64"/>
      <c r="F271" s="65" t="s">
        <v>144</v>
      </c>
      <c r="G271" s="389" t="e">
        <f t="shared" si="51"/>
        <v>#N/A</v>
      </c>
      <c r="H271" s="389" t="e">
        <f t="shared" si="51"/>
        <v>#N/A</v>
      </c>
      <c r="I271" s="389" t="e">
        <f t="shared" si="51"/>
        <v>#N/A</v>
      </c>
      <c r="J271" s="389" t="e">
        <f t="shared" si="51"/>
        <v>#N/A</v>
      </c>
      <c r="K271" s="389" t="e">
        <f t="shared" si="51"/>
        <v>#N/A</v>
      </c>
      <c r="L271" s="720"/>
      <c r="M271" s="63"/>
      <c r="N271" s="440"/>
      <c r="O271" s="390"/>
      <c r="P271" s="390">
        <v>0</v>
      </c>
      <c r="Q271" s="390">
        <v>0</v>
      </c>
      <c r="R271" s="390">
        <v>0</v>
      </c>
      <c r="S271" s="63" t="s">
        <v>476</v>
      </c>
      <c r="T271" s="63"/>
      <c r="U271" s="1039"/>
      <c r="V271" s="1039"/>
      <c r="W271" s="1039"/>
      <c r="X271" s="64" t="s">
        <v>2364</v>
      </c>
      <c r="Y271" s="439"/>
      <c r="Z271" s="439"/>
      <c r="AA271" s="439"/>
      <c r="AB271" s="439"/>
      <c r="AC271" s="439"/>
      <c r="AD271" s="439"/>
      <c r="AE271" s="439"/>
      <c r="AF271" s="439"/>
      <c r="AG271" s="439"/>
    </row>
    <row r="272" spans="1:33" ht="15" customHeight="1">
      <c r="A272" s="63">
        <f t="shared" si="52"/>
        <v>269</v>
      </c>
      <c r="B272" s="63" t="s">
        <v>1308</v>
      </c>
      <c r="C272" s="63" t="s">
        <v>1889</v>
      </c>
      <c r="D272" s="63"/>
      <c r="E272" s="64"/>
      <c r="F272" s="65" t="s">
        <v>144</v>
      </c>
      <c r="G272" s="389" t="e">
        <f t="shared" si="51"/>
        <v>#N/A</v>
      </c>
      <c r="H272" s="389" t="e">
        <f t="shared" si="51"/>
        <v>#N/A</v>
      </c>
      <c r="I272" s="389" t="e">
        <f t="shared" si="51"/>
        <v>#N/A</v>
      </c>
      <c r="J272" s="389" t="e">
        <f t="shared" si="51"/>
        <v>#N/A</v>
      </c>
      <c r="K272" s="389" t="e">
        <f t="shared" si="51"/>
        <v>#N/A</v>
      </c>
      <c r="L272" s="720"/>
      <c r="M272" s="63"/>
      <c r="N272" s="440"/>
      <c r="O272" s="390"/>
      <c r="P272" s="390">
        <v>0</v>
      </c>
      <c r="Q272" s="390">
        <v>0</v>
      </c>
      <c r="R272" s="390">
        <v>0</v>
      </c>
      <c r="S272" s="63" t="s">
        <v>476</v>
      </c>
      <c r="T272" s="63"/>
      <c r="U272" s="1039"/>
      <c r="V272" s="1039"/>
      <c r="W272" s="1039"/>
      <c r="X272" s="64" t="s">
        <v>2364</v>
      </c>
      <c r="Y272" s="439"/>
      <c r="Z272" s="439"/>
      <c r="AA272" s="439"/>
      <c r="AB272" s="439"/>
      <c r="AC272" s="439"/>
      <c r="AD272" s="439"/>
      <c r="AE272" s="439"/>
      <c r="AF272" s="439"/>
      <c r="AG272" s="439"/>
    </row>
    <row r="273" spans="1:36" ht="15" customHeight="1">
      <c r="A273" s="63">
        <f t="shared" si="52"/>
        <v>270</v>
      </c>
      <c r="B273" s="63" t="s">
        <v>2332</v>
      </c>
      <c r="C273" s="63" t="s">
        <v>1889</v>
      </c>
      <c r="D273" s="63"/>
      <c r="E273" s="64"/>
      <c r="F273" s="65" t="s">
        <v>144</v>
      </c>
      <c r="G273" s="389" t="e">
        <f t="shared" si="51"/>
        <v>#N/A</v>
      </c>
      <c r="H273" s="389" t="e">
        <f t="shared" si="51"/>
        <v>#N/A</v>
      </c>
      <c r="I273" s="389" t="e">
        <f t="shared" si="51"/>
        <v>#N/A</v>
      </c>
      <c r="J273" s="389" t="e">
        <f t="shared" si="51"/>
        <v>#N/A</v>
      </c>
      <c r="K273" s="389" t="e">
        <f t="shared" si="51"/>
        <v>#N/A</v>
      </c>
      <c r="L273" s="720"/>
      <c r="M273" s="63"/>
      <c r="N273" s="440"/>
      <c r="O273" s="390"/>
      <c r="P273" s="390">
        <v>0</v>
      </c>
      <c r="Q273" s="390">
        <v>0</v>
      </c>
      <c r="R273" s="390">
        <v>0</v>
      </c>
      <c r="S273" s="63" t="s">
        <v>476</v>
      </c>
      <c r="T273" s="63"/>
      <c r="U273" s="1039"/>
      <c r="V273" s="1039"/>
      <c r="W273" s="1039"/>
      <c r="X273" s="64" t="s">
        <v>2364</v>
      </c>
      <c r="Y273" s="439"/>
      <c r="Z273" s="439"/>
      <c r="AA273" s="439"/>
      <c r="AB273" s="439"/>
      <c r="AC273" s="439"/>
      <c r="AD273" s="439"/>
      <c r="AE273" s="439"/>
      <c r="AF273" s="439"/>
      <c r="AG273" s="439"/>
    </row>
    <row r="274" spans="1:36" ht="15" customHeight="1">
      <c r="A274" s="63">
        <f t="shared" si="52"/>
        <v>271</v>
      </c>
      <c r="B274" s="63" t="s">
        <v>1308</v>
      </c>
      <c r="C274" s="63" t="s">
        <v>1889</v>
      </c>
      <c r="D274" s="63"/>
      <c r="E274" s="64"/>
      <c r="F274" s="65" t="s">
        <v>144</v>
      </c>
      <c r="G274" s="389" t="e">
        <f t="shared" si="51"/>
        <v>#N/A</v>
      </c>
      <c r="H274" s="389" t="e">
        <f t="shared" si="51"/>
        <v>#N/A</v>
      </c>
      <c r="I274" s="389" t="e">
        <f t="shared" si="51"/>
        <v>#N/A</v>
      </c>
      <c r="J274" s="389" t="e">
        <f t="shared" si="51"/>
        <v>#N/A</v>
      </c>
      <c r="K274" s="389" t="e">
        <f t="shared" si="51"/>
        <v>#N/A</v>
      </c>
      <c r="L274" s="720"/>
      <c r="M274" s="63"/>
      <c r="N274" s="440"/>
      <c r="O274" s="390"/>
      <c r="P274" s="390">
        <v>0</v>
      </c>
      <c r="Q274" s="390">
        <v>0</v>
      </c>
      <c r="R274" s="390">
        <v>0</v>
      </c>
      <c r="S274" s="63" t="s">
        <v>476</v>
      </c>
      <c r="T274" s="63"/>
      <c r="U274" s="1039"/>
      <c r="V274" s="1039"/>
      <c r="W274" s="1039"/>
      <c r="X274" s="64" t="s">
        <v>2364</v>
      </c>
      <c r="Y274" s="439"/>
      <c r="Z274" s="439"/>
      <c r="AA274" s="439"/>
    </row>
    <row r="275" spans="1:36" ht="15" customHeight="1">
      <c r="A275" s="63">
        <f t="shared" si="52"/>
        <v>272</v>
      </c>
      <c r="B275" s="63" t="s">
        <v>1308</v>
      </c>
      <c r="C275" s="63" t="s">
        <v>622</v>
      </c>
      <c r="D275" s="63" t="s">
        <v>2209</v>
      </c>
      <c r="E275" s="64">
        <v>1984</v>
      </c>
      <c r="F275" s="65" t="s">
        <v>144</v>
      </c>
      <c r="G275" s="389">
        <f t="shared" si="51"/>
        <v>0.66999999999999993</v>
      </c>
      <c r="H275" s="389">
        <f t="shared" si="51"/>
        <v>0.59</v>
      </c>
      <c r="I275" s="389">
        <f t="shared" si="51"/>
        <v>0.49999999999999989</v>
      </c>
      <c r="J275" s="389">
        <f t="shared" si="51"/>
        <v>0.42</v>
      </c>
      <c r="K275" s="389">
        <f t="shared" si="51"/>
        <v>0.36</v>
      </c>
      <c r="L275" s="720">
        <v>0.06</v>
      </c>
      <c r="M275" s="63" t="s">
        <v>660</v>
      </c>
      <c r="N275" s="440">
        <v>4.4999999999999998E-2</v>
      </c>
      <c r="O275" s="390">
        <v>6.0000000000000001E-3</v>
      </c>
      <c r="P275" s="390">
        <v>0</v>
      </c>
      <c r="Q275" s="390">
        <v>0</v>
      </c>
      <c r="R275" s="390">
        <v>0</v>
      </c>
      <c r="S275" s="63" t="s">
        <v>476</v>
      </c>
      <c r="T275" s="63"/>
      <c r="U275" s="1039"/>
      <c r="V275" s="1039"/>
      <c r="W275" s="1039"/>
      <c r="X275" s="64" t="s">
        <v>2364</v>
      </c>
      <c r="Y275" s="439"/>
      <c r="Z275" s="439"/>
      <c r="AA275" s="439"/>
    </row>
    <row r="276" spans="1:36" ht="15" customHeight="1">
      <c r="A276" s="63">
        <f t="shared" si="52"/>
        <v>273</v>
      </c>
      <c r="B276" s="63" t="s">
        <v>1308</v>
      </c>
      <c r="C276" s="63" t="s">
        <v>622</v>
      </c>
      <c r="D276" s="63" t="s">
        <v>2210</v>
      </c>
      <c r="E276" s="64">
        <v>1984</v>
      </c>
      <c r="F276" s="65" t="s">
        <v>144</v>
      </c>
      <c r="G276" s="389">
        <f t="shared" si="51"/>
        <v>0.66999999999999993</v>
      </c>
      <c r="H276" s="389">
        <f t="shared" si="51"/>
        <v>0.59</v>
      </c>
      <c r="I276" s="389">
        <f t="shared" si="51"/>
        <v>0.49999999999999989</v>
      </c>
      <c r="J276" s="389">
        <f t="shared" si="51"/>
        <v>0.42</v>
      </c>
      <c r="K276" s="389">
        <f t="shared" si="51"/>
        <v>0.36</v>
      </c>
      <c r="L276" s="720">
        <v>0.06</v>
      </c>
      <c r="M276" s="63" t="s">
        <v>660</v>
      </c>
      <c r="N276" s="440">
        <v>4.4999999999999998E-2</v>
      </c>
      <c r="O276" s="390">
        <v>6.0000000000000001E-3</v>
      </c>
      <c r="P276" s="390">
        <v>0</v>
      </c>
      <c r="Q276" s="390">
        <v>0</v>
      </c>
      <c r="R276" s="390">
        <v>0</v>
      </c>
      <c r="S276" s="63" t="s">
        <v>476</v>
      </c>
      <c r="T276" s="63"/>
      <c r="U276" s="1039"/>
      <c r="V276" s="1039"/>
      <c r="W276" s="1039"/>
      <c r="X276" s="64" t="s">
        <v>2364</v>
      </c>
      <c r="Y276" s="439"/>
      <c r="Z276" s="439"/>
      <c r="AA276" s="439"/>
    </row>
    <row r="277" spans="1:36" ht="15" customHeight="1">
      <c r="A277" s="63">
        <f t="shared" si="52"/>
        <v>274</v>
      </c>
      <c r="B277" s="63" t="s">
        <v>1308</v>
      </c>
      <c r="C277" s="63" t="s">
        <v>622</v>
      </c>
      <c r="D277" s="63" t="s">
        <v>1723</v>
      </c>
      <c r="E277" s="64">
        <v>1984</v>
      </c>
      <c r="F277" s="65" t="s">
        <v>144</v>
      </c>
      <c r="G277" s="389">
        <f t="shared" si="51"/>
        <v>0.65999999999999992</v>
      </c>
      <c r="H277" s="389">
        <f t="shared" si="51"/>
        <v>0.57999999999999996</v>
      </c>
      <c r="I277" s="389">
        <f t="shared" si="51"/>
        <v>0.48999999999999988</v>
      </c>
      <c r="J277" s="389">
        <f t="shared" si="51"/>
        <v>0.41</v>
      </c>
      <c r="K277" s="389">
        <f t="shared" si="51"/>
        <v>0.35</v>
      </c>
      <c r="L277" s="720">
        <v>0.06</v>
      </c>
      <c r="M277" s="63" t="s">
        <v>3169</v>
      </c>
      <c r="N277" s="440">
        <v>4.4999999999999998E-2</v>
      </c>
      <c r="O277" s="390">
        <v>6.0000000000000001E-3</v>
      </c>
      <c r="P277" s="390">
        <v>0</v>
      </c>
      <c r="Q277" s="390">
        <v>0</v>
      </c>
      <c r="R277" s="390">
        <v>0</v>
      </c>
      <c r="S277" s="63" t="s">
        <v>476</v>
      </c>
      <c r="T277" s="63"/>
      <c r="U277" s="1039"/>
      <c r="V277" s="1039"/>
      <c r="W277" s="1039"/>
      <c r="X277" s="64" t="s">
        <v>2364</v>
      </c>
      <c r="Y277" s="439"/>
      <c r="Z277" s="439"/>
      <c r="AA277" s="439"/>
    </row>
    <row r="278" spans="1:36" ht="15" customHeight="1">
      <c r="A278" s="63">
        <f t="shared" si="52"/>
        <v>275</v>
      </c>
      <c r="B278" s="63" t="s">
        <v>1308</v>
      </c>
      <c r="C278" s="63" t="s">
        <v>622</v>
      </c>
      <c r="D278" s="1234" t="s">
        <v>2365</v>
      </c>
      <c r="E278" s="64">
        <v>2480</v>
      </c>
      <c r="F278" s="65" t="s">
        <v>144</v>
      </c>
      <c r="G278" s="389">
        <f t="shared" si="51"/>
        <v>0.57999999999999996</v>
      </c>
      <c r="H278" s="389">
        <f t="shared" si="51"/>
        <v>0.5</v>
      </c>
      <c r="I278" s="389">
        <f t="shared" si="51"/>
        <v>0.41</v>
      </c>
      <c r="J278" s="389">
        <f t="shared" si="51"/>
        <v>0.32999999999999996</v>
      </c>
      <c r="K278" s="389">
        <f t="shared" si="51"/>
        <v>0.26999999999999996</v>
      </c>
      <c r="L278" s="720">
        <v>0.06</v>
      </c>
      <c r="M278" s="63" t="s">
        <v>3168</v>
      </c>
      <c r="N278" s="440">
        <v>4.4999999999999998E-2</v>
      </c>
      <c r="O278" s="390">
        <v>6.0000000000000001E-3</v>
      </c>
      <c r="P278" s="390">
        <v>0</v>
      </c>
      <c r="Q278" s="390">
        <v>0</v>
      </c>
      <c r="R278" s="390">
        <v>0</v>
      </c>
      <c r="S278" s="63" t="s">
        <v>476</v>
      </c>
      <c r="T278" s="63"/>
      <c r="U278" s="1039"/>
      <c r="V278" s="1039"/>
      <c r="W278" s="1039"/>
      <c r="X278" s="64" t="s">
        <v>2364</v>
      </c>
      <c r="Y278" s="439"/>
      <c r="Z278" s="439"/>
      <c r="AA278" s="439"/>
    </row>
    <row r="279" spans="1:36" ht="15" customHeight="1">
      <c r="A279" s="63">
        <f t="shared" si="52"/>
        <v>276</v>
      </c>
      <c r="B279" s="63" t="s">
        <v>1308</v>
      </c>
      <c r="C279" s="63" t="s">
        <v>622</v>
      </c>
      <c r="D279" s="63" t="s">
        <v>2211</v>
      </c>
      <c r="E279" s="64">
        <v>1968</v>
      </c>
      <c r="F279" s="65" t="s">
        <v>144</v>
      </c>
      <c r="G279" s="389">
        <f t="shared" si="51"/>
        <v>0.66999999999999993</v>
      </c>
      <c r="H279" s="389">
        <f t="shared" si="51"/>
        <v>0.59</v>
      </c>
      <c r="I279" s="389">
        <f t="shared" si="51"/>
        <v>0.49999999999999989</v>
      </c>
      <c r="J279" s="389">
        <f t="shared" si="51"/>
        <v>0.42</v>
      </c>
      <c r="K279" s="389">
        <f t="shared" si="51"/>
        <v>0.36</v>
      </c>
      <c r="L279" s="720">
        <v>0.06</v>
      </c>
      <c r="M279" s="63" t="s">
        <v>660</v>
      </c>
      <c r="N279" s="440">
        <v>4.4999999999999998E-2</v>
      </c>
      <c r="O279" s="390">
        <v>6.0000000000000001E-3</v>
      </c>
      <c r="P279" s="390">
        <v>0</v>
      </c>
      <c r="Q279" s="390">
        <v>0</v>
      </c>
      <c r="R279" s="390">
        <v>0</v>
      </c>
      <c r="S279" s="63" t="s">
        <v>476</v>
      </c>
      <c r="T279" s="63"/>
      <c r="U279" s="1039"/>
      <c r="V279" s="1039"/>
      <c r="W279" s="1039"/>
      <c r="X279" s="64" t="s">
        <v>2364</v>
      </c>
      <c r="Y279" s="439"/>
      <c r="Z279" s="439"/>
      <c r="AA279" s="439"/>
    </row>
    <row r="280" spans="1:36" ht="15" customHeight="1">
      <c r="A280" s="63">
        <f t="shared" si="52"/>
        <v>277</v>
      </c>
      <c r="B280" s="63" t="s">
        <v>1308</v>
      </c>
      <c r="C280" s="63" t="s">
        <v>622</v>
      </c>
      <c r="D280" s="63" t="s">
        <v>2212</v>
      </c>
      <c r="E280" s="64">
        <v>1968</v>
      </c>
      <c r="F280" s="65" t="s">
        <v>144</v>
      </c>
      <c r="G280" s="389">
        <f t="shared" si="51"/>
        <v>0.66999999999999993</v>
      </c>
      <c r="H280" s="389">
        <f t="shared" si="51"/>
        <v>0.59</v>
      </c>
      <c r="I280" s="389">
        <f t="shared" si="51"/>
        <v>0.49999999999999989</v>
      </c>
      <c r="J280" s="389">
        <f t="shared" si="51"/>
        <v>0.42</v>
      </c>
      <c r="K280" s="389">
        <f t="shared" si="51"/>
        <v>0.36</v>
      </c>
      <c r="L280" s="720">
        <v>0.06</v>
      </c>
      <c r="M280" s="63" t="s">
        <v>660</v>
      </c>
      <c r="N280" s="440">
        <v>4.4999999999999998E-2</v>
      </c>
      <c r="O280" s="390">
        <v>6.0000000000000001E-3</v>
      </c>
      <c r="P280" s="390">
        <v>0</v>
      </c>
      <c r="Q280" s="390">
        <v>0</v>
      </c>
      <c r="R280" s="390">
        <v>0</v>
      </c>
      <c r="S280" s="63" t="s">
        <v>476</v>
      </c>
      <c r="T280" s="63"/>
      <c r="U280" s="1039"/>
      <c r="V280" s="1039"/>
      <c r="W280" s="1039"/>
      <c r="X280" s="64" t="s">
        <v>2364</v>
      </c>
      <c r="Y280" s="439"/>
      <c r="Z280" s="439"/>
      <c r="AA280" s="439"/>
    </row>
    <row r="281" spans="1:36" ht="15" customHeight="1">
      <c r="A281" s="63">
        <f t="shared" si="52"/>
        <v>278</v>
      </c>
      <c r="B281" s="63" t="s">
        <v>1308</v>
      </c>
      <c r="C281" s="63" t="s">
        <v>622</v>
      </c>
      <c r="D281" s="63" t="s">
        <v>2366</v>
      </c>
      <c r="E281" s="64">
        <v>1984</v>
      </c>
      <c r="F281" s="65" t="s">
        <v>619</v>
      </c>
      <c r="G281" s="389">
        <f t="shared" si="51"/>
        <v>0.66999999999999993</v>
      </c>
      <c r="H281" s="389">
        <f t="shared" si="51"/>
        <v>0.59</v>
      </c>
      <c r="I281" s="389">
        <f t="shared" si="51"/>
        <v>0.49999999999999989</v>
      </c>
      <c r="J281" s="389">
        <f t="shared" si="51"/>
        <v>0.42</v>
      </c>
      <c r="K281" s="389">
        <f t="shared" si="51"/>
        <v>0.36</v>
      </c>
      <c r="L281" s="720">
        <v>0.06</v>
      </c>
      <c r="M281" s="63" t="s">
        <v>660</v>
      </c>
      <c r="N281" s="440">
        <v>4.4999999999999998E-2</v>
      </c>
      <c r="O281" s="390">
        <v>6.0000000000000001E-3</v>
      </c>
      <c r="P281" s="390">
        <v>0</v>
      </c>
      <c r="Q281" s="390">
        <v>0</v>
      </c>
      <c r="R281" s="390">
        <v>0</v>
      </c>
      <c r="S281" s="63" t="s">
        <v>476</v>
      </c>
      <c r="T281" s="63"/>
      <c r="U281" s="1039"/>
      <c r="V281" s="1039"/>
      <c r="W281" s="1039"/>
      <c r="X281" s="64" t="s">
        <v>2364</v>
      </c>
      <c r="Y281" s="439"/>
      <c r="Z281" s="439"/>
      <c r="AA281" s="439"/>
    </row>
    <row r="282" spans="1:36" ht="15" customHeight="1">
      <c r="A282" s="63">
        <f t="shared" si="52"/>
        <v>279</v>
      </c>
      <c r="B282" s="63" t="s">
        <v>1308</v>
      </c>
      <c r="C282" s="63" t="s">
        <v>622</v>
      </c>
      <c r="D282" s="63" t="s">
        <v>1957</v>
      </c>
      <c r="E282" s="64">
        <v>1984</v>
      </c>
      <c r="F282" s="65" t="s">
        <v>2138</v>
      </c>
      <c r="G282" s="389">
        <f t="shared" si="51"/>
        <v>0.66999999999999993</v>
      </c>
      <c r="H282" s="389">
        <f t="shared" si="51"/>
        <v>0.59</v>
      </c>
      <c r="I282" s="389">
        <f t="shared" si="51"/>
        <v>0.49999999999999989</v>
      </c>
      <c r="J282" s="389">
        <f t="shared" si="51"/>
        <v>0.42</v>
      </c>
      <c r="K282" s="389">
        <f t="shared" si="51"/>
        <v>0.36</v>
      </c>
      <c r="L282" s="720">
        <v>0.06</v>
      </c>
      <c r="M282" s="63" t="s">
        <v>660</v>
      </c>
      <c r="N282" s="440">
        <v>4.4999999999999998E-2</v>
      </c>
      <c r="O282" s="390">
        <v>6.0000000000000001E-3</v>
      </c>
      <c r="P282" s="390">
        <v>0</v>
      </c>
      <c r="Q282" s="390">
        <v>0</v>
      </c>
      <c r="R282" s="390">
        <v>0</v>
      </c>
      <c r="S282" s="63" t="s">
        <v>476</v>
      </c>
      <c r="T282" s="63"/>
      <c r="U282" s="1039"/>
      <c r="V282" s="1039"/>
      <c r="W282" s="1039"/>
      <c r="X282" s="64" t="s">
        <v>2364</v>
      </c>
      <c r="Y282" s="439"/>
      <c r="Z282" s="439"/>
      <c r="AA282" s="439"/>
    </row>
    <row r="283" spans="1:36" ht="15" customHeight="1">
      <c r="A283" s="63">
        <f t="shared" si="52"/>
        <v>280</v>
      </c>
      <c r="B283" s="63" t="s">
        <v>1308</v>
      </c>
      <c r="C283" s="63" t="s">
        <v>622</v>
      </c>
      <c r="D283" s="63" t="s">
        <v>2367</v>
      </c>
      <c r="E283" s="64">
        <v>1984</v>
      </c>
      <c r="F283" s="65" t="s">
        <v>144</v>
      </c>
      <c r="G283" s="389">
        <f t="shared" si="51"/>
        <v>0.66999999999999993</v>
      </c>
      <c r="H283" s="389">
        <f t="shared" si="51"/>
        <v>0.59</v>
      </c>
      <c r="I283" s="389">
        <f t="shared" si="51"/>
        <v>0.49999999999999989</v>
      </c>
      <c r="J283" s="389">
        <f t="shared" si="51"/>
        <v>0.42</v>
      </c>
      <c r="K283" s="389">
        <f t="shared" si="51"/>
        <v>0.36</v>
      </c>
      <c r="L283" s="720">
        <v>0.06</v>
      </c>
      <c r="M283" s="63" t="s">
        <v>660</v>
      </c>
      <c r="N283" s="440">
        <v>4.4999999999999998E-2</v>
      </c>
      <c r="O283" s="390">
        <v>6.0000000000000001E-3</v>
      </c>
      <c r="P283" s="390">
        <v>0</v>
      </c>
      <c r="Q283" s="390">
        <v>0</v>
      </c>
      <c r="R283" s="390">
        <v>0</v>
      </c>
      <c r="S283" s="63" t="s">
        <v>476</v>
      </c>
      <c r="T283" s="63"/>
      <c r="U283" s="1039"/>
      <c r="V283" s="1039"/>
      <c r="W283" s="1039"/>
      <c r="X283" s="64" t="s">
        <v>2364</v>
      </c>
      <c r="Y283" s="439"/>
      <c r="Z283" s="439"/>
      <c r="AA283" s="439"/>
    </row>
    <row r="284" spans="1:36" ht="15" customHeight="1">
      <c r="A284" s="63">
        <f t="shared" si="52"/>
        <v>281</v>
      </c>
      <c r="B284" s="63" t="s">
        <v>1308</v>
      </c>
      <c r="C284" s="63" t="s">
        <v>2368</v>
      </c>
      <c r="D284" s="63" t="s">
        <v>1388</v>
      </c>
      <c r="E284" s="64">
        <v>2995</v>
      </c>
      <c r="F284" s="65" t="s">
        <v>144</v>
      </c>
      <c r="G284" s="389">
        <f t="shared" si="51"/>
        <v>0.65999999999999992</v>
      </c>
      <c r="H284" s="389">
        <f t="shared" si="51"/>
        <v>0.57999999999999996</v>
      </c>
      <c r="I284" s="389">
        <f t="shared" si="51"/>
        <v>0.48999999999999988</v>
      </c>
      <c r="J284" s="389">
        <f t="shared" si="51"/>
        <v>0.41</v>
      </c>
      <c r="K284" s="389">
        <f t="shared" si="51"/>
        <v>0.35</v>
      </c>
      <c r="L284" s="720">
        <v>0.06</v>
      </c>
      <c r="M284" s="63" t="s">
        <v>3170</v>
      </c>
      <c r="N284" s="440">
        <v>4.4999999999999998E-2</v>
      </c>
      <c r="O284" s="390">
        <v>6.0000000000000001E-3</v>
      </c>
      <c r="P284" s="390">
        <v>0</v>
      </c>
      <c r="Q284" s="390">
        <v>0</v>
      </c>
      <c r="R284" s="390">
        <v>0</v>
      </c>
      <c r="S284" s="63" t="s">
        <v>476</v>
      </c>
      <c r="T284" s="63"/>
      <c r="U284" s="1039"/>
      <c r="V284" s="1039"/>
      <c r="W284" s="1039"/>
      <c r="X284" s="64" t="s">
        <v>2364</v>
      </c>
      <c r="Y284" s="439"/>
      <c r="Z284" s="439"/>
      <c r="AA284" s="439"/>
      <c r="AJ284" s="439" t="s">
        <v>2456</v>
      </c>
    </row>
    <row r="285" spans="1:36" ht="15" customHeight="1">
      <c r="A285" s="63">
        <f t="shared" si="52"/>
        <v>282</v>
      </c>
      <c r="B285" s="63" t="s">
        <v>1308</v>
      </c>
      <c r="C285" s="63" t="s">
        <v>622</v>
      </c>
      <c r="D285" s="63" t="s">
        <v>2213</v>
      </c>
      <c r="E285" s="64">
        <v>1968</v>
      </c>
      <c r="F285" s="65" t="s">
        <v>144</v>
      </c>
      <c r="G285" s="389">
        <f t="shared" si="51"/>
        <v>0.66999999999999993</v>
      </c>
      <c r="H285" s="389">
        <f t="shared" si="51"/>
        <v>0.59</v>
      </c>
      <c r="I285" s="389">
        <f t="shared" si="51"/>
        <v>0.49999999999999989</v>
      </c>
      <c r="J285" s="389">
        <f t="shared" si="51"/>
        <v>0.42</v>
      </c>
      <c r="K285" s="389">
        <f t="shared" si="51"/>
        <v>0.36</v>
      </c>
      <c r="L285" s="720">
        <v>0.06</v>
      </c>
      <c r="M285" s="63" t="s">
        <v>660</v>
      </c>
      <c r="N285" s="440">
        <v>4.4999999999999998E-2</v>
      </c>
      <c r="O285" s="390">
        <v>6.0000000000000001E-3</v>
      </c>
      <c r="P285" s="390">
        <v>0</v>
      </c>
      <c r="Q285" s="390">
        <v>0</v>
      </c>
      <c r="R285" s="390">
        <v>0</v>
      </c>
      <c r="S285" s="63" t="s">
        <v>476</v>
      </c>
      <c r="T285" s="63"/>
      <c r="U285" s="1039"/>
      <c r="V285" s="1039"/>
      <c r="W285" s="1039"/>
      <c r="X285" s="64" t="s">
        <v>2364</v>
      </c>
      <c r="Y285" s="439"/>
      <c r="Z285" s="439"/>
      <c r="AA285" s="439"/>
      <c r="AJ285" s="439" t="s">
        <v>2457</v>
      </c>
    </row>
    <row r="286" spans="1:36" ht="15" customHeight="1">
      <c r="A286" s="63">
        <f t="shared" si="52"/>
        <v>283</v>
      </c>
      <c r="B286" s="63" t="s">
        <v>1308</v>
      </c>
      <c r="C286" s="63" t="s">
        <v>622</v>
      </c>
      <c r="D286" s="63" t="s">
        <v>2369</v>
      </c>
      <c r="E286" s="64">
        <v>1984</v>
      </c>
      <c r="F286" s="65" t="s">
        <v>144</v>
      </c>
      <c r="G286" s="389">
        <f t="shared" si="51"/>
        <v>0.66999999999999993</v>
      </c>
      <c r="H286" s="389">
        <f t="shared" si="51"/>
        <v>0.59</v>
      </c>
      <c r="I286" s="389">
        <f t="shared" si="51"/>
        <v>0.49999999999999989</v>
      </c>
      <c r="J286" s="389">
        <f t="shared" si="51"/>
        <v>0.42</v>
      </c>
      <c r="K286" s="389">
        <f t="shared" si="51"/>
        <v>0.36</v>
      </c>
      <c r="L286" s="720">
        <v>0.06</v>
      </c>
      <c r="M286" s="63" t="s">
        <v>660</v>
      </c>
      <c r="N286" s="440">
        <v>4.4999999999999998E-2</v>
      </c>
      <c r="O286" s="390">
        <v>6.0000000000000001E-3</v>
      </c>
      <c r="P286" s="390">
        <v>0</v>
      </c>
      <c r="Q286" s="390">
        <v>0</v>
      </c>
      <c r="R286" s="390">
        <v>0</v>
      </c>
      <c r="S286" s="63" t="s">
        <v>476</v>
      </c>
      <c r="T286" s="63"/>
      <c r="U286" s="1039"/>
      <c r="V286" s="1039"/>
      <c r="W286" s="1039"/>
      <c r="X286" s="64" t="s">
        <v>2364</v>
      </c>
      <c r="Y286" s="439"/>
      <c r="Z286" s="439"/>
      <c r="AA286" s="439"/>
      <c r="AJ286" s="439" t="s">
        <v>2456</v>
      </c>
    </row>
    <row r="287" spans="1:36" ht="15" customHeight="1">
      <c r="A287" s="63">
        <f t="shared" si="52"/>
        <v>284</v>
      </c>
      <c r="B287" s="63" t="s">
        <v>1308</v>
      </c>
      <c r="C287" s="63" t="s">
        <v>622</v>
      </c>
      <c r="D287" s="63" t="s">
        <v>1958</v>
      </c>
      <c r="E287" s="64">
        <v>1984</v>
      </c>
      <c r="F287" s="65" t="s">
        <v>144</v>
      </c>
      <c r="G287" s="389">
        <f t="shared" si="51"/>
        <v>0.66999999999999993</v>
      </c>
      <c r="H287" s="389">
        <f t="shared" si="51"/>
        <v>0.59</v>
      </c>
      <c r="I287" s="389">
        <f t="shared" si="51"/>
        <v>0.49999999999999989</v>
      </c>
      <c r="J287" s="389">
        <f t="shared" si="51"/>
        <v>0.42</v>
      </c>
      <c r="K287" s="389">
        <f t="shared" si="51"/>
        <v>0.36</v>
      </c>
      <c r="L287" s="720">
        <v>0.06</v>
      </c>
      <c r="M287" s="63" t="s">
        <v>660</v>
      </c>
      <c r="N287" s="440">
        <v>4.4999999999999998E-2</v>
      </c>
      <c r="O287" s="390">
        <v>6.0000000000000001E-3</v>
      </c>
      <c r="P287" s="390">
        <v>0</v>
      </c>
      <c r="Q287" s="390">
        <v>0</v>
      </c>
      <c r="R287" s="390">
        <v>0</v>
      </c>
      <c r="S287" s="63" t="s">
        <v>476</v>
      </c>
      <c r="T287" s="63"/>
      <c r="U287" s="1039"/>
      <c r="V287" s="1039"/>
      <c r="W287" s="1039"/>
      <c r="X287" s="64" t="s">
        <v>2364</v>
      </c>
      <c r="Y287" s="439"/>
      <c r="Z287" s="439"/>
      <c r="AA287" s="439"/>
      <c r="AJ287" s="439"/>
    </row>
    <row r="288" spans="1:36" ht="15" customHeight="1">
      <c r="A288" s="63">
        <f t="shared" si="52"/>
        <v>285</v>
      </c>
      <c r="B288" s="63" t="s">
        <v>1308</v>
      </c>
      <c r="C288" s="63" t="s">
        <v>622</v>
      </c>
      <c r="D288" s="63" t="s">
        <v>1968</v>
      </c>
      <c r="E288" s="64">
        <v>1984</v>
      </c>
      <c r="F288" s="65" t="s">
        <v>144</v>
      </c>
      <c r="G288" s="389">
        <f t="shared" si="51"/>
        <v>0.66999999999999993</v>
      </c>
      <c r="H288" s="389">
        <f t="shared" si="51"/>
        <v>0.59</v>
      </c>
      <c r="I288" s="389">
        <f t="shared" si="51"/>
        <v>0.49999999999999989</v>
      </c>
      <c r="J288" s="389">
        <f t="shared" si="51"/>
        <v>0.42</v>
      </c>
      <c r="K288" s="389">
        <f t="shared" si="51"/>
        <v>0.36</v>
      </c>
      <c r="L288" s="720">
        <v>0.06</v>
      </c>
      <c r="M288" s="63" t="s">
        <v>660</v>
      </c>
      <c r="N288" s="440">
        <v>4.4999999999999998E-2</v>
      </c>
      <c r="O288" s="390">
        <v>6.0000000000000001E-3</v>
      </c>
      <c r="P288" s="390">
        <v>0</v>
      </c>
      <c r="Q288" s="390">
        <v>0</v>
      </c>
      <c r="R288" s="390">
        <v>0</v>
      </c>
      <c r="S288" s="63" t="s">
        <v>476</v>
      </c>
      <c r="T288" s="63"/>
      <c r="U288" s="1039"/>
      <c r="V288" s="1039"/>
      <c r="W288" s="1039"/>
      <c r="X288" s="64" t="s">
        <v>2364</v>
      </c>
      <c r="Y288" s="439"/>
      <c r="Z288" s="439"/>
      <c r="AA288" s="439"/>
      <c r="AJ288" s="439"/>
    </row>
    <row r="289" spans="1:36" ht="15" customHeight="1">
      <c r="A289" s="63">
        <f t="shared" si="52"/>
        <v>286</v>
      </c>
      <c r="B289" s="63" t="s">
        <v>2332</v>
      </c>
      <c r="C289" s="63" t="s">
        <v>622</v>
      </c>
      <c r="D289" s="63" t="s">
        <v>2557</v>
      </c>
      <c r="E289" s="64">
        <v>1984</v>
      </c>
      <c r="F289" s="65" t="s">
        <v>144</v>
      </c>
      <c r="G289" s="389">
        <f t="shared" si="51"/>
        <v>0.66999999999999993</v>
      </c>
      <c r="H289" s="389">
        <f t="shared" si="51"/>
        <v>0.59</v>
      </c>
      <c r="I289" s="389">
        <f t="shared" si="51"/>
        <v>0.49999999999999989</v>
      </c>
      <c r="J289" s="389">
        <f t="shared" si="51"/>
        <v>0.42</v>
      </c>
      <c r="K289" s="389">
        <f t="shared" si="51"/>
        <v>0.36</v>
      </c>
      <c r="L289" s="720">
        <v>0.06</v>
      </c>
      <c r="M289" s="63" t="s">
        <v>660</v>
      </c>
      <c r="N289" s="440">
        <v>4.4999999999999998E-2</v>
      </c>
      <c r="O289" s="390">
        <v>6.0000000000000001E-3</v>
      </c>
      <c r="P289" s="390">
        <v>0</v>
      </c>
      <c r="Q289" s="390">
        <v>0</v>
      </c>
      <c r="R289" s="390">
        <v>0</v>
      </c>
      <c r="S289" s="63" t="s">
        <v>476</v>
      </c>
      <c r="T289" s="63"/>
      <c r="U289" s="1039"/>
      <c r="V289" s="1039"/>
      <c r="W289" s="1039"/>
      <c r="X289" s="64" t="s">
        <v>2364</v>
      </c>
      <c r="Y289" s="439"/>
      <c r="Z289" s="439"/>
      <c r="AA289" s="439"/>
      <c r="AJ289" s="439"/>
    </row>
    <row r="290" spans="1:36" ht="15" customHeight="1">
      <c r="A290" s="63">
        <f t="shared" si="52"/>
        <v>287</v>
      </c>
      <c r="B290" s="63" t="s">
        <v>1308</v>
      </c>
      <c r="C290" s="63" t="s">
        <v>2368</v>
      </c>
      <c r="D290" s="1234" t="s">
        <v>1969</v>
      </c>
      <c r="E290" s="64">
        <v>1984</v>
      </c>
      <c r="F290" s="65" t="s">
        <v>144</v>
      </c>
      <c r="G290" s="389">
        <f t="shared" si="51"/>
        <v>0.66999999999999993</v>
      </c>
      <c r="H290" s="389">
        <f t="shared" si="51"/>
        <v>0.59</v>
      </c>
      <c r="I290" s="389">
        <f t="shared" si="51"/>
        <v>0.49999999999999989</v>
      </c>
      <c r="J290" s="389">
        <f t="shared" si="51"/>
        <v>0.42</v>
      </c>
      <c r="K290" s="389">
        <f t="shared" si="51"/>
        <v>0.36</v>
      </c>
      <c r="L290" s="720">
        <v>0.06</v>
      </c>
      <c r="M290" s="63" t="s">
        <v>660</v>
      </c>
      <c r="N290" s="440">
        <v>4.4999999999999998E-2</v>
      </c>
      <c r="O290" s="390">
        <v>6.0000000000000001E-3</v>
      </c>
      <c r="P290" s="390">
        <v>0</v>
      </c>
      <c r="Q290" s="390">
        <v>0</v>
      </c>
      <c r="R290" s="390">
        <v>0</v>
      </c>
      <c r="S290" s="63" t="s">
        <v>476</v>
      </c>
      <c r="T290" s="63"/>
      <c r="U290" s="1039"/>
      <c r="V290" s="1039"/>
      <c r="W290" s="1039"/>
      <c r="X290" s="64" t="s">
        <v>2364</v>
      </c>
      <c r="Y290" s="439"/>
      <c r="Z290" s="439"/>
      <c r="AA290" s="439"/>
      <c r="AJ290" s="439"/>
    </row>
    <row r="291" spans="1:36" ht="15" customHeight="1">
      <c r="A291" s="63">
        <f t="shared" si="52"/>
        <v>288</v>
      </c>
      <c r="B291" s="63" t="s">
        <v>1308</v>
      </c>
      <c r="C291" s="63" t="s">
        <v>622</v>
      </c>
      <c r="D291" s="63" t="s">
        <v>1970</v>
      </c>
      <c r="E291" s="64">
        <v>2995</v>
      </c>
      <c r="F291" s="65" t="s">
        <v>144</v>
      </c>
      <c r="G291" s="389">
        <f t="shared" si="51"/>
        <v>0.65999999999999992</v>
      </c>
      <c r="H291" s="389">
        <f t="shared" si="51"/>
        <v>0.57999999999999996</v>
      </c>
      <c r="I291" s="389">
        <f t="shared" si="51"/>
        <v>0.48999999999999988</v>
      </c>
      <c r="J291" s="389">
        <f t="shared" si="51"/>
        <v>0.41</v>
      </c>
      <c r="K291" s="389">
        <f t="shared" si="51"/>
        <v>0.35</v>
      </c>
      <c r="L291" s="720">
        <v>0.06</v>
      </c>
      <c r="M291" s="63" t="s">
        <v>3171</v>
      </c>
      <c r="N291" s="440">
        <v>4.4999999999999998E-2</v>
      </c>
      <c r="O291" s="390">
        <v>6.0000000000000001E-3</v>
      </c>
      <c r="P291" s="390">
        <v>0</v>
      </c>
      <c r="Q291" s="390">
        <v>0</v>
      </c>
      <c r="R291" s="390">
        <v>0</v>
      </c>
      <c r="S291" s="63" t="s">
        <v>476</v>
      </c>
      <c r="T291" s="63"/>
      <c r="U291" s="1039"/>
      <c r="V291" s="1039"/>
      <c r="W291" s="1039"/>
      <c r="X291" s="64" t="s">
        <v>2364</v>
      </c>
      <c r="Y291" s="439"/>
      <c r="Z291" s="439"/>
      <c r="AA291" s="439"/>
      <c r="AJ291" s="439"/>
    </row>
    <row r="292" spans="1:36" ht="15" customHeight="1">
      <c r="A292" s="63">
        <f t="shared" si="52"/>
        <v>289</v>
      </c>
      <c r="B292" s="63" t="s">
        <v>1308</v>
      </c>
      <c r="C292" s="63" t="s">
        <v>622</v>
      </c>
      <c r="D292" s="63" t="s">
        <v>2214</v>
      </c>
      <c r="E292" s="64">
        <v>2995</v>
      </c>
      <c r="F292" s="65" t="s">
        <v>144</v>
      </c>
      <c r="G292" s="389">
        <f t="shared" si="51"/>
        <v>0.65999999999999992</v>
      </c>
      <c r="H292" s="389">
        <f t="shared" si="51"/>
        <v>0.57999999999999996</v>
      </c>
      <c r="I292" s="389">
        <f t="shared" si="51"/>
        <v>0.48999999999999988</v>
      </c>
      <c r="J292" s="389">
        <f t="shared" si="51"/>
        <v>0.41</v>
      </c>
      <c r="K292" s="389">
        <f t="shared" si="51"/>
        <v>0.35</v>
      </c>
      <c r="L292" s="720">
        <v>0.06</v>
      </c>
      <c r="M292" s="63" t="s">
        <v>3172</v>
      </c>
      <c r="N292" s="440">
        <v>4.4999999999999998E-2</v>
      </c>
      <c r="O292" s="390">
        <v>6.0000000000000001E-3</v>
      </c>
      <c r="P292" s="390">
        <v>0</v>
      </c>
      <c r="Q292" s="390">
        <v>0</v>
      </c>
      <c r="R292" s="390">
        <v>0</v>
      </c>
      <c r="S292" s="63" t="s">
        <v>476</v>
      </c>
      <c r="T292" s="63"/>
      <c r="U292" s="1039"/>
      <c r="V292" s="1039"/>
      <c r="W292" s="1039"/>
      <c r="X292" s="64" t="s">
        <v>2364</v>
      </c>
      <c r="Y292" s="439"/>
      <c r="Z292" s="439"/>
      <c r="AA292" s="439"/>
      <c r="AJ292" s="439" t="s">
        <v>2456</v>
      </c>
    </row>
    <row r="293" spans="1:36" ht="15" customHeight="1">
      <c r="A293" s="63">
        <f t="shared" si="52"/>
        <v>290</v>
      </c>
      <c r="B293" s="63" t="s">
        <v>1308</v>
      </c>
      <c r="C293" s="63" t="s">
        <v>622</v>
      </c>
      <c r="D293" s="63" t="s">
        <v>1971</v>
      </c>
      <c r="E293" s="64">
        <v>2894</v>
      </c>
      <c r="F293" s="65" t="s">
        <v>144</v>
      </c>
      <c r="G293" s="389">
        <f t="shared" si="51"/>
        <v>0.57999999999999996</v>
      </c>
      <c r="H293" s="389">
        <f t="shared" si="51"/>
        <v>0.5</v>
      </c>
      <c r="I293" s="389">
        <f t="shared" si="51"/>
        <v>0.41</v>
      </c>
      <c r="J293" s="389">
        <f t="shared" si="51"/>
        <v>0.32999999999999996</v>
      </c>
      <c r="K293" s="389">
        <f t="shared" si="51"/>
        <v>0.26999999999999996</v>
      </c>
      <c r="L293" s="720">
        <v>0.06</v>
      </c>
      <c r="M293" s="63" t="s">
        <v>3173</v>
      </c>
      <c r="N293" s="440">
        <v>4.4999999999999998E-2</v>
      </c>
      <c r="O293" s="390">
        <v>6.0000000000000001E-3</v>
      </c>
      <c r="P293" s="390">
        <v>0</v>
      </c>
      <c r="Q293" s="390">
        <v>0</v>
      </c>
      <c r="R293" s="390">
        <v>0</v>
      </c>
      <c r="S293" s="63" t="s">
        <v>476</v>
      </c>
      <c r="T293" s="63"/>
      <c r="U293" s="1039"/>
      <c r="V293" s="1039"/>
      <c r="W293" s="1039"/>
      <c r="X293" s="64" t="s">
        <v>2364</v>
      </c>
      <c r="Y293" s="439"/>
      <c r="Z293" s="439"/>
      <c r="AA293" s="439"/>
      <c r="AJ293" s="439"/>
    </row>
    <row r="294" spans="1:36" ht="15" customHeight="1">
      <c r="A294" s="63">
        <f t="shared" si="52"/>
        <v>291</v>
      </c>
      <c r="B294" s="63" t="s">
        <v>1308</v>
      </c>
      <c r="C294" s="63" t="s">
        <v>622</v>
      </c>
      <c r="D294" s="1234" t="s">
        <v>1972</v>
      </c>
      <c r="E294" s="64">
        <v>1968</v>
      </c>
      <c r="F294" s="65" t="s">
        <v>144</v>
      </c>
      <c r="G294" s="389">
        <f t="shared" si="51"/>
        <v>0.7</v>
      </c>
      <c r="H294" s="389">
        <f t="shared" si="51"/>
        <v>0.62</v>
      </c>
      <c r="I294" s="389">
        <f t="shared" si="51"/>
        <v>0.52999999999999992</v>
      </c>
      <c r="J294" s="389">
        <f t="shared" si="51"/>
        <v>0.45</v>
      </c>
      <c r="K294" s="389">
        <f t="shared" si="51"/>
        <v>0.39</v>
      </c>
      <c r="L294" s="720">
        <v>0.06</v>
      </c>
      <c r="M294" s="63" t="s">
        <v>3159</v>
      </c>
      <c r="N294" s="440">
        <v>4.4999999999999998E-2</v>
      </c>
      <c r="O294" s="390">
        <v>6.0000000000000001E-3</v>
      </c>
      <c r="P294" s="390">
        <v>0</v>
      </c>
      <c r="Q294" s="390">
        <v>0</v>
      </c>
      <c r="R294" s="390">
        <v>0</v>
      </c>
      <c r="S294" s="63" t="s">
        <v>476</v>
      </c>
      <c r="T294" s="63"/>
      <c r="U294" s="1039"/>
      <c r="V294" s="1039"/>
      <c r="W294" s="1039"/>
      <c r="X294" s="64" t="s">
        <v>2364</v>
      </c>
      <c r="Y294" s="439"/>
      <c r="Z294" s="439"/>
      <c r="AA294" s="439"/>
      <c r="AJ294" s="439"/>
    </row>
    <row r="295" spans="1:36" ht="15" customHeight="1">
      <c r="A295" s="63">
        <f t="shared" si="52"/>
        <v>292</v>
      </c>
      <c r="B295" s="63" t="s">
        <v>1308</v>
      </c>
      <c r="C295" s="63" t="s">
        <v>622</v>
      </c>
      <c r="D295" s="1234" t="s">
        <v>1389</v>
      </c>
      <c r="E295" s="64">
        <v>1968</v>
      </c>
      <c r="F295" s="65" t="s">
        <v>144</v>
      </c>
      <c r="G295" s="389">
        <f t="shared" si="51"/>
        <v>0.7</v>
      </c>
      <c r="H295" s="389">
        <f t="shared" si="51"/>
        <v>0.62</v>
      </c>
      <c r="I295" s="389">
        <f t="shared" si="51"/>
        <v>0.52999999999999992</v>
      </c>
      <c r="J295" s="389">
        <f t="shared" si="51"/>
        <v>0.45</v>
      </c>
      <c r="K295" s="389">
        <f t="shared" si="51"/>
        <v>0.39</v>
      </c>
      <c r="L295" s="720">
        <v>0.06</v>
      </c>
      <c r="M295" s="63" t="s">
        <v>3159</v>
      </c>
      <c r="N295" s="440">
        <v>4.4999999999999998E-2</v>
      </c>
      <c r="O295" s="390">
        <v>6.0000000000000001E-3</v>
      </c>
      <c r="P295" s="390">
        <v>0</v>
      </c>
      <c r="Q295" s="390">
        <v>0</v>
      </c>
      <c r="R295" s="390">
        <v>0</v>
      </c>
      <c r="S295" s="63" t="s">
        <v>476</v>
      </c>
      <c r="T295" s="63"/>
      <c r="U295" s="1039"/>
      <c r="V295" s="1039"/>
      <c r="W295" s="1039"/>
      <c r="X295" s="64" t="s">
        <v>2364</v>
      </c>
      <c r="Y295" s="439"/>
      <c r="Z295" s="439"/>
      <c r="AA295" s="439"/>
      <c r="AJ295" s="439"/>
    </row>
    <row r="296" spans="1:36" ht="15" customHeight="1">
      <c r="A296" s="63">
        <f t="shared" si="52"/>
        <v>293</v>
      </c>
      <c r="B296" s="63" t="s">
        <v>1308</v>
      </c>
      <c r="C296" s="63" t="s">
        <v>622</v>
      </c>
      <c r="D296" s="63" t="s">
        <v>2215</v>
      </c>
      <c r="E296" s="64">
        <v>1968</v>
      </c>
      <c r="F296" s="65" t="s">
        <v>144</v>
      </c>
      <c r="G296" s="389">
        <f t="shared" si="51"/>
        <v>0.7</v>
      </c>
      <c r="H296" s="389">
        <f t="shared" si="51"/>
        <v>0.62</v>
      </c>
      <c r="I296" s="389">
        <f t="shared" si="51"/>
        <v>0.52999999999999992</v>
      </c>
      <c r="J296" s="389">
        <f t="shared" si="51"/>
        <v>0.45</v>
      </c>
      <c r="K296" s="389">
        <f t="shared" si="51"/>
        <v>0.39</v>
      </c>
      <c r="L296" s="720">
        <v>0.06</v>
      </c>
      <c r="M296" s="63" t="s">
        <v>322</v>
      </c>
      <c r="N296" s="440">
        <v>4.4999999999999998E-2</v>
      </c>
      <c r="O296" s="390">
        <v>6.0000000000000001E-3</v>
      </c>
      <c r="P296" s="390">
        <v>0</v>
      </c>
      <c r="Q296" s="390">
        <v>0</v>
      </c>
      <c r="R296" s="390">
        <v>0</v>
      </c>
      <c r="S296" s="63" t="s">
        <v>476</v>
      </c>
      <c r="T296" s="63"/>
      <c r="U296" s="1039"/>
      <c r="V296" s="1039"/>
      <c r="W296" s="1039"/>
      <c r="X296" s="64" t="s">
        <v>2364</v>
      </c>
      <c r="Y296" s="439"/>
      <c r="Z296" s="439"/>
      <c r="AA296" s="439"/>
      <c r="AJ296" s="439"/>
    </row>
    <row r="297" spans="1:36" ht="15" customHeight="1">
      <c r="A297" s="63">
        <f t="shared" si="52"/>
        <v>294</v>
      </c>
      <c r="B297" s="63" t="s">
        <v>1308</v>
      </c>
      <c r="C297" s="63" t="s">
        <v>622</v>
      </c>
      <c r="D297" s="63" t="s">
        <v>2370</v>
      </c>
      <c r="E297" s="64">
        <v>2967</v>
      </c>
      <c r="F297" s="65" t="s">
        <v>144</v>
      </c>
      <c r="G297" s="389">
        <f t="shared" si="51"/>
        <v>0.7</v>
      </c>
      <c r="H297" s="389">
        <f t="shared" si="51"/>
        <v>0.62</v>
      </c>
      <c r="I297" s="389">
        <f t="shared" si="51"/>
        <v>0.52999999999999992</v>
      </c>
      <c r="J297" s="389">
        <f t="shared" si="51"/>
        <v>0.45</v>
      </c>
      <c r="K297" s="389">
        <f t="shared" si="51"/>
        <v>0.39</v>
      </c>
      <c r="L297" s="720">
        <v>0.06</v>
      </c>
      <c r="M297" s="63" t="s">
        <v>322</v>
      </c>
      <c r="N297" s="440">
        <v>4.4999999999999998E-2</v>
      </c>
      <c r="O297" s="390">
        <v>6.0000000000000001E-3</v>
      </c>
      <c r="P297" s="390">
        <v>0</v>
      </c>
      <c r="Q297" s="390">
        <v>0</v>
      </c>
      <c r="R297" s="390">
        <v>0</v>
      </c>
      <c r="S297" s="63" t="s">
        <v>476</v>
      </c>
      <c r="T297" s="63"/>
      <c r="U297" s="1039"/>
      <c r="V297" s="1039"/>
      <c r="W297" s="1039"/>
      <c r="X297" s="64" t="s">
        <v>2364</v>
      </c>
      <c r="Y297" s="439"/>
      <c r="Z297" s="439"/>
      <c r="AA297" s="439"/>
      <c r="AJ297" s="439" t="s">
        <v>2456</v>
      </c>
    </row>
    <row r="298" spans="1:36" ht="15" customHeight="1">
      <c r="A298" s="63">
        <f t="shared" si="52"/>
        <v>295</v>
      </c>
      <c r="B298" s="63" t="s">
        <v>1308</v>
      </c>
      <c r="C298" s="63" t="s">
        <v>622</v>
      </c>
      <c r="D298" s="1234" t="s">
        <v>1973</v>
      </c>
      <c r="E298" s="64">
        <v>1984</v>
      </c>
      <c r="F298" s="65" t="s">
        <v>144</v>
      </c>
      <c r="G298" s="389">
        <f t="shared" si="51"/>
        <v>0.7</v>
      </c>
      <c r="H298" s="389">
        <f t="shared" si="51"/>
        <v>0.62</v>
      </c>
      <c r="I298" s="389">
        <f t="shared" si="51"/>
        <v>0.52999999999999992</v>
      </c>
      <c r="J298" s="389">
        <f t="shared" si="51"/>
        <v>0.45</v>
      </c>
      <c r="K298" s="389">
        <f t="shared" si="51"/>
        <v>0.39</v>
      </c>
      <c r="L298" s="720">
        <v>0.06</v>
      </c>
      <c r="M298" s="63" t="s">
        <v>322</v>
      </c>
      <c r="N298" s="440">
        <v>4.4999999999999998E-2</v>
      </c>
      <c r="O298" s="390">
        <v>6.0000000000000001E-3</v>
      </c>
      <c r="P298" s="390">
        <v>0</v>
      </c>
      <c r="Q298" s="390">
        <v>0</v>
      </c>
      <c r="R298" s="390">
        <v>0</v>
      </c>
      <c r="S298" s="63" t="s">
        <v>476</v>
      </c>
      <c r="T298" s="63"/>
      <c r="U298" s="1039"/>
      <c r="V298" s="1039"/>
      <c r="W298" s="1039"/>
      <c r="X298" s="64" t="s">
        <v>2364</v>
      </c>
      <c r="Y298" s="439"/>
      <c r="Z298" s="439"/>
      <c r="AA298" s="439"/>
    </row>
    <row r="299" spans="1:36" ht="15" customHeight="1">
      <c r="A299" s="63">
        <f t="shared" si="52"/>
        <v>296</v>
      </c>
      <c r="B299" s="63" t="s">
        <v>2332</v>
      </c>
      <c r="C299" s="63" t="s">
        <v>622</v>
      </c>
      <c r="D299" s="1234" t="s">
        <v>2371</v>
      </c>
      <c r="E299" s="64">
        <v>1984</v>
      </c>
      <c r="F299" s="65" t="s">
        <v>144</v>
      </c>
      <c r="G299" s="389">
        <f t="shared" si="51"/>
        <v>0.7</v>
      </c>
      <c r="H299" s="389">
        <f t="shared" si="51"/>
        <v>0.62</v>
      </c>
      <c r="I299" s="389">
        <f t="shared" si="51"/>
        <v>0.52999999999999992</v>
      </c>
      <c r="J299" s="389">
        <f t="shared" si="51"/>
        <v>0.45</v>
      </c>
      <c r="K299" s="389">
        <f t="shared" si="51"/>
        <v>0.39</v>
      </c>
      <c r="L299" s="720">
        <v>0.06</v>
      </c>
      <c r="M299" s="63" t="s">
        <v>322</v>
      </c>
      <c r="N299" s="440">
        <v>4.4999999999999998E-2</v>
      </c>
      <c r="O299" s="390">
        <v>6.0000000000000001E-3</v>
      </c>
      <c r="P299" s="390">
        <v>0</v>
      </c>
      <c r="Q299" s="390">
        <v>0</v>
      </c>
      <c r="R299" s="390">
        <v>0</v>
      </c>
      <c r="S299" s="63" t="s">
        <v>476</v>
      </c>
      <c r="T299" s="63"/>
      <c r="U299" s="1039"/>
      <c r="V299" s="1039"/>
      <c r="W299" s="1039"/>
      <c r="X299" s="64" t="s">
        <v>2364</v>
      </c>
      <c r="Y299" s="439"/>
      <c r="Z299" s="439"/>
      <c r="AA299" s="439"/>
    </row>
    <row r="300" spans="1:36" ht="15" customHeight="1">
      <c r="A300" s="63">
        <f t="shared" si="52"/>
        <v>297</v>
      </c>
      <c r="B300" s="63" t="s">
        <v>1308</v>
      </c>
      <c r="C300" s="63" t="s">
        <v>622</v>
      </c>
      <c r="D300" s="1234" t="s">
        <v>1959</v>
      </c>
      <c r="E300" s="64">
        <v>1984</v>
      </c>
      <c r="F300" s="65" t="s">
        <v>619</v>
      </c>
      <c r="G300" s="389">
        <f t="shared" si="51"/>
        <v>0.7</v>
      </c>
      <c r="H300" s="389">
        <f t="shared" si="51"/>
        <v>0.62</v>
      </c>
      <c r="I300" s="389">
        <f t="shared" si="51"/>
        <v>0.52999999999999992</v>
      </c>
      <c r="J300" s="389">
        <f t="shared" si="51"/>
        <v>0.45</v>
      </c>
      <c r="K300" s="389">
        <f t="shared" si="51"/>
        <v>0.39</v>
      </c>
      <c r="L300" s="720">
        <v>0.06</v>
      </c>
      <c r="M300" s="63" t="s">
        <v>322</v>
      </c>
      <c r="N300" s="440">
        <v>4.4999999999999998E-2</v>
      </c>
      <c r="O300" s="390">
        <v>6.0000000000000001E-3</v>
      </c>
      <c r="P300" s="390">
        <v>0</v>
      </c>
      <c r="Q300" s="390">
        <v>0</v>
      </c>
      <c r="R300" s="390">
        <v>0</v>
      </c>
      <c r="S300" s="63" t="s">
        <v>476</v>
      </c>
      <c r="T300" s="63"/>
      <c r="U300" s="1039"/>
      <c r="V300" s="1039"/>
      <c r="W300" s="1039"/>
      <c r="X300" s="64" t="s">
        <v>2364</v>
      </c>
      <c r="Y300" s="439"/>
      <c r="Z300" s="439"/>
      <c r="AA300" s="439"/>
    </row>
    <row r="301" spans="1:36" ht="15" customHeight="1">
      <c r="A301" s="63">
        <f t="shared" si="52"/>
        <v>298</v>
      </c>
      <c r="B301" s="63" t="s">
        <v>1308</v>
      </c>
      <c r="C301" s="63" t="s">
        <v>622</v>
      </c>
      <c r="D301" s="63" t="s">
        <v>2140</v>
      </c>
      <c r="E301" s="64">
        <v>2967</v>
      </c>
      <c r="F301" s="65" t="s">
        <v>144</v>
      </c>
      <c r="G301" s="389">
        <f t="shared" si="51"/>
        <v>0.7</v>
      </c>
      <c r="H301" s="389">
        <f t="shared" si="51"/>
        <v>0.62</v>
      </c>
      <c r="I301" s="389">
        <f t="shared" si="51"/>
        <v>0.52999999999999992</v>
      </c>
      <c r="J301" s="389">
        <f t="shared" si="51"/>
        <v>0.45</v>
      </c>
      <c r="K301" s="389">
        <f t="shared" si="51"/>
        <v>0.39</v>
      </c>
      <c r="L301" s="720">
        <v>0.06</v>
      </c>
      <c r="M301" s="63" t="s">
        <v>3159</v>
      </c>
      <c r="N301" s="440">
        <v>4.4999999999999998E-2</v>
      </c>
      <c r="O301" s="390">
        <v>6.0000000000000001E-3</v>
      </c>
      <c r="P301" s="390">
        <v>0</v>
      </c>
      <c r="Q301" s="390">
        <v>0</v>
      </c>
      <c r="R301" s="390">
        <v>0</v>
      </c>
      <c r="S301" s="63" t="s">
        <v>476</v>
      </c>
      <c r="T301" s="63"/>
      <c r="U301" s="1039"/>
      <c r="V301" s="1039"/>
      <c r="W301" s="1039"/>
      <c r="X301" s="64" t="s">
        <v>2364</v>
      </c>
      <c r="Y301" s="439"/>
      <c r="Z301" s="439"/>
      <c r="AA301" s="439"/>
    </row>
    <row r="302" spans="1:36" ht="15" customHeight="1">
      <c r="A302" s="63">
        <f t="shared" si="52"/>
        <v>299</v>
      </c>
      <c r="B302" s="63" t="s">
        <v>1308</v>
      </c>
      <c r="C302" s="63" t="s">
        <v>622</v>
      </c>
      <c r="D302" s="63" t="s">
        <v>2216</v>
      </c>
      <c r="E302" s="64">
        <v>2967</v>
      </c>
      <c r="F302" s="65" t="s">
        <v>144</v>
      </c>
      <c r="G302" s="389">
        <f t="shared" si="51"/>
        <v>0.57999999999999996</v>
      </c>
      <c r="H302" s="389">
        <f t="shared" si="51"/>
        <v>0.5</v>
      </c>
      <c r="I302" s="389">
        <f t="shared" si="51"/>
        <v>0.41</v>
      </c>
      <c r="J302" s="389">
        <f t="shared" si="51"/>
        <v>0.32999999999999996</v>
      </c>
      <c r="K302" s="389">
        <f t="shared" si="51"/>
        <v>0.26999999999999996</v>
      </c>
      <c r="L302" s="720">
        <v>0.06</v>
      </c>
      <c r="M302" s="63" t="s">
        <v>3173</v>
      </c>
      <c r="N302" s="440">
        <v>4.4999999999999998E-2</v>
      </c>
      <c r="O302" s="390">
        <v>6.0000000000000001E-3</v>
      </c>
      <c r="P302" s="390">
        <v>0</v>
      </c>
      <c r="Q302" s="390">
        <v>0</v>
      </c>
      <c r="R302" s="390">
        <v>0</v>
      </c>
      <c r="S302" s="63" t="s">
        <v>476</v>
      </c>
      <c r="T302" s="63"/>
      <c r="U302" s="1039"/>
      <c r="V302" s="1039"/>
      <c r="W302" s="1039"/>
      <c r="X302" s="64" t="s">
        <v>2364</v>
      </c>
      <c r="Y302" s="439"/>
      <c r="Z302" s="439"/>
      <c r="AA302" s="439"/>
    </row>
    <row r="303" spans="1:36" ht="15" customHeight="1">
      <c r="A303" s="63">
        <f t="shared" si="52"/>
        <v>300</v>
      </c>
      <c r="B303" s="63" t="s">
        <v>1308</v>
      </c>
      <c r="C303" s="63" t="s">
        <v>622</v>
      </c>
      <c r="D303" s="1234" t="s">
        <v>1974</v>
      </c>
      <c r="E303" s="64">
        <v>3996</v>
      </c>
      <c r="F303" s="65" t="s">
        <v>144</v>
      </c>
      <c r="G303" s="389">
        <f t="shared" si="51"/>
        <v>0.57999999999999996</v>
      </c>
      <c r="H303" s="389">
        <f t="shared" si="51"/>
        <v>0.5</v>
      </c>
      <c r="I303" s="389">
        <f t="shared" si="51"/>
        <v>0.41</v>
      </c>
      <c r="J303" s="389">
        <f t="shared" si="51"/>
        <v>0.32999999999999996</v>
      </c>
      <c r="K303" s="389">
        <f t="shared" si="51"/>
        <v>0.26999999999999996</v>
      </c>
      <c r="L303" s="720">
        <v>0.06</v>
      </c>
      <c r="M303" s="63" t="s">
        <v>3173</v>
      </c>
      <c r="N303" s="440">
        <v>4.4999999999999998E-2</v>
      </c>
      <c r="O303" s="390">
        <v>6.0000000000000001E-3</v>
      </c>
      <c r="P303" s="390">
        <v>0</v>
      </c>
      <c r="Q303" s="390">
        <v>0</v>
      </c>
      <c r="R303" s="390">
        <v>0</v>
      </c>
      <c r="S303" s="63" t="s">
        <v>476</v>
      </c>
      <c r="T303" s="63"/>
      <c r="U303" s="1039"/>
      <c r="V303" s="1039"/>
      <c r="W303" s="1039"/>
      <c r="X303" s="64" t="s">
        <v>2364</v>
      </c>
      <c r="Y303" s="439"/>
      <c r="Z303" s="439"/>
      <c r="AA303" s="439"/>
    </row>
    <row r="304" spans="1:36" ht="15" customHeight="1">
      <c r="A304" s="63">
        <f t="shared" si="52"/>
        <v>301</v>
      </c>
      <c r="B304" s="63" t="s">
        <v>1308</v>
      </c>
      <c r="C304" s="63" t="s">
        <v>622</v>
      </c>
      <c r="D304" s="1234" t="s">
        <v>1975</v>
      </c>
      <c r="E304" s="64">
        <v>2967</v>
      </c>
      <c r="F304" s="65" t="s">
        <v>1873</v>
      </c>
      <c r="G304" s="389">
        <f t="shared" si="51"/>
        <v>0.69</v>
      </c>
      <c r="H304" s="389">
        <f t="shared" si="51"/>
        <v>0.61</v>
      </c>
      <c r="I304" s="389">
        <f t="shared" si="51"/>
        <v>0.51999999999999991</v>
      </c>
      <c r="J304" s="389">
        <f t="shared" si="51"/>
        <v>0.44</v>
      </c>
      <c r="K304" s="389">
        <f t="shared" si="51"/>
        <v>0.38</v>
      </c>
      <c r="L304" s="720">
        <v>0.06</v>
      </c>
      <c r="M304" s="63" t="s">
        <v>323</v>
      </c>
      <c r="N304" s="440">
        <v>4.4999999999999998E-2</v>
      </c>
      <c r="O304" s="390">
        <v>6.0000000000000001E-3</v>
      </c>
      <c r="P304" s="390">
        <v>0</v>
      </c>
      <c r="Q304" s="390">
        <v>0</v>
      </c>
      <c r="R304" s="390">
        <v>0</v>
      </c>
      <c r="S304" s="63" t="s">
        <v>476</v>
      </c>
      <c r="T304" s="63"/>
      <c r="U304" s="1039"/>
      <c r="V304" s="1039"/>
      <c r="W304" s="1039"/>
      <c r="X304" s="64" t="s">
        <v>2364</v>
      </c>
      <c r="Y304" s="439"/>
      <c r="Z304" s="439"/>
      <c r="AA304" s="439"/>
    </row>
    <row r="305" spans="1:27" ht="15" customHeight="1">
      <c r="A305" s="63">
        <f t="shared" si="52"/>
        <v>302</v>
      </c>
      <c r="B305" s="63" t="s">
        <v>2332</v>
      </c>
      <c r="C305" s="63" t="s">
        <v>622</v>
      </c>
      <c r="D305" s="1234" t="s">
        <v>1976</v>
      </c>
      <c r="E305" s="64">
        <v>2967</v>
      </c>
      <c r="F305" s="65" t="s">
        <v>144</v>
      </c>
      <c r="G305" s="389">
        <f t="shared" si="51"/>
        <v>0.69</v>
      </c>
      <c r="H305" s="389">
        <f t="shared" si="51"/>
        <v>0.61</v>
      </c>
      <c r="I305" s="389">
        <f t="shared" si="51"/>
        <v>0.51999999999999991</v>
      </c>
      <c r="J305" s="389">
        <f t="shared" si="51"/>
        <v>0.44</v>
      </c>
      <c r="K305" s="389">
        <f t="shared" si="51"/>
        <v>0.38</v>
      </c>
      <c r="L305" s="720">
        <v>0.06</v>
      </c>
      <c r="M305" s="63" t="s">
        <v>323</v>
      </c>
      <c r="N305" s="440">
        <v>4.4999999999999998E-2</v>
      </c>
      <c r="O305" s="390">
        <v>6.0000000000000001E-3</v>
      </c>
      <c r="P305" s="390">
        <v>0</v>
      </c>
      <c r="Q305" s="390">
        <v>0</v>
      </c>
      <c r="R305" s="390">
        <v>0</v>
      </c>
      <c r="S305" s="63" t="s">
        <v>476</v>
      </c>
      <c r="T305" s="63"/>
      <c r="U305" s="1039"/>
      <c r="V305" s="1039"/>
      <c r="W305" s="1039"/>
      <c r="X305" s="64" t="s">
        <v>2364</v>
      </c>
      <c r="Y305" s="439"/>
      <c r="Z305" s="439"/>
      <c r="AA305" s="439"/>
    </row>
    <row r="306" spans="1:27" ht="15" customHeight="1">
      <c r="A306" s="63">
        <f t="shared" si="52"/>
        <v>303</v>
      </c>
      <c r="B306" s="63" t="s">
        <v>1308</v>
      </c>
      <c r="C306" s="63" t="s">
        <v>622</v>
      </c>
      <c r="D306" s="1234" t="s">
        <v>1960</v>
      </c>
      <c r="E306" s="64">
        <v>2995</v>
      </c>
      <c r="F306" s="65" t="s">
        <v>1873</v>
      </c>
      <c r="G306" s="389">
        <f t="shared" si="51"/>
        <v>0.69</v>
      </c>
      <c r="H306" s="389">
        <f t="shared" si="51"/>
        <v>0.61</v>
      </c>
      <c r="I306" s="389">
        <f t="shared" si="51"/>
        <v>0.51999999999999991</v>
      </c>
      <c r="J306" s="389">
        <f t="shared" si="51"/>
        <v>0.44</v>
      </c>
      <c r="K306" s="389">
        <f t="shared" si="51"/>
        <v>0.38</v>
      </c>
      <c r="L306" s="720">
        <v>0.06</v>
      </c>
      <c r="M306" s="63" t="s">
        <v>323</v>
      </c>
      <c r="N306" s="440">
        <v>4.4999999999999998E-2</v>
      </c>
      <c r="O306" s="390">
        <v>6.0000000000000001E-3</v>
      </c>
      <c r="P306" s="390">
        <v>0</v>
      </c>
      <c r="Q306" s="390">
        <v>0</v>
      </c>
      <c r="R306" s="390">
        <v>0</v>
      </c>
      <c r="S306" s="63" t="s">
        <v>476</v>
      </c>
      <c r="T306" s="63"/>
      <c r="U306" s="1039"/>
      <c r="V306" s="1039"/>
      <c r="W306" s="1039"/>
      <c r="X306" s="64" t="s">
        <v>2364</v>
      </c>
      <c r="Y306" s="439"/>
      <c r="Z306" s="439"/>
      <c r="AA306" s="439"/>
    </row>
    <row r="307" spans="1:27" ht="15" customHeight="1">
      <c r="A307" s="63">
        <f t="shared" si="52"/>
        <v>304</v>
      </c>
      <c r="B307" s="63" t="s">
        <v>1308</v>
      </c>
      <c r="C307" s="63" t="s">
        <v>622</v>
      </c>
      <c r="D307" s="1234" t="s">
        <v>2141</v>
      </c>
      <c r="E307" s="64">
        <v>1984</v>
      </c>
      <c r="F307" s="65" t="s">
        <v>1873</v>
      </c>
      <c r="G307" s="389">
        <f t="shared" si="51"/>
        <v>0.69</v>
      </c>
      <c r="H307" s="389">
        <f t="shared" si="51"/>
        <v>0.61</v>
      </c>
      <c r="I307" s="389">
        <f t="shared" si="51"/>
        <v>0.51999999999999991</v>
      </c>
      <c r="J307" s="389">
        <f t="shared" si="51"/>
        <v>0.44</v>
      </c>
      <c r="K307" s="389">
        <f t="shared" si="51"/>
        <v>0.38</v>
      </c>
      <c r="L307" s="720">
        <v>0.06</v>
      </c>
      <c r="M307" s="63" t="s">
        <v>323</v>
      </c>
      <c r="N307" s="440">
        <v>4.4999999999999998E-2</v>
      </c>
      <c r="O307" s="390">
        <v>6.0000000000000001E-3</v>
      </c>
      <c r="P307" s="390">
        <v>0</v>
      </c>
      <c r="Q307" s="390">
        <v>0</v>
      </c>
      <c r="R307" s="390">
        <v>0</v>
      </c>
      <c r="S307" s="63" t="s">
        <v>476</v>
      </c>
      <c r="T307" s="63"/>
      <c r="U307" s="1039"/>
      <c r="V307" s="1039"/>
      <c r="W307" s="1039"/>
      <c r="X307" s="64" t="s">
        <v>2364</v>
      </c>
      <c r="Y307" s="439"/>
      <c r="Z307" s="439"/>
      <c r="AA307" s="439"/>
    </row>
    <row r="308" spans="1:27" ht="15" customHeight="1">
      <c r="A308" s="63">
        <f t="shared" si="52"/>
        <v>305</v>
      </c>
      <c r="B308" s="63" t="s">
        <v>1308</v>
      </c>
      <c r="C308" s="63" t="s">
        <v>622</v>
      </c>
      <c r="D308" s="1234" t="s">
        <v>1977</v>
      </c>
      <c r="E308" s="64">
        <v>2967</v>
      </c>
      <c r="F308" s="65" t="s">
        <v>144</v>
      </c>
      <c r="G308" s="389">
        <f t="shared" si="51"/>
        <v>0.54</v>
      </c>
      <c r="H308" s="389">
        <f t="shared" si="51"/>
        <v>0.45999999999999996</v>
      </c>
      <c r="I308" s="389">
        <f t="shared" si="51"/>
        <v>0.37</v>
      </c>
      <c r="J308" s="389">
        <f t="shared" si="51"/>
        <v>0.28999999999999998</v>
      </c>
      <c r="K308" s="389">
        <f t="shared" si="51"/>
        <v>0.23</v>
      </c>
      <c r="L308" s="720">
        <v>0.06</v>
      </c>
      <c r="M308" s="63" t="s">
        <v>3174</v>
      </c>
      <c r="N308" s="440">
        <v>4.4999999999999998E-2</v>
      </c>
      <c r="O308" s="390">
        <v>6.0000000000000001E-3</v>
      </c>
      <c r="P308" s="390">
        <v>0</v>
      </c>
      <c r="Q308" s="390">
        <v>0</v>
      </c>
      <c r="R308" s="390">
        <v>0</v>
      </c>
      <c r="S308" s="63" t="s">
        <v>476</v>
      </c>
      <c r="T308" s="63"/>
      <c r="U308" s="1039"/>
      <c r="V308" s="1039"/>
      <c r="W308" s="1039"/>
      <c r="X308" s="64" t="s">
        <v>2364</v>
      </c>
      <c r="Y308" s="439"/>
      <c r="Z308" s="439"/>
      <c r="AA308" s="439"/>
    </row>
    <row r="309" spans="1:27" ht="15" customHeight="1">
      <c r="A309" s="63">
        <f t="shared" si="52"/>
        <v>306</v>
      </c>
      <c r="B309" s="63" t="s">
        <v>1308</v>
      </c>
      <c r="C309" s="63" t="s">
        <v>622</v>
      </c>
      <c r="D309" s="1234" t="s">
        <v>1961</v>
      </c>
      <c r="E309" s="64">
        <v>3996</v>
      </c>
      <c r="F309" s="65" t="s">
        <v>144</v>
      </c>
      <c r="G309" s="389">
        <f t="shared" si="51"/>
        <v>0.65999999999999992</v>
      </c>
      <c r="H309" s="389">
        <f t="shared" si="51"/>
        <v>0.57999999999999996</v>
      </c>
      <c r="I309" s="389">
        <f t="shared" si="51"/>
        <v>0.48999999999999988</v>
      </c>
      <c r="J309" s="389">
        <f t="shared" si="51"/>
        <v>0.41</v>
      </c>
      <c r="K309" s="389">
        <f t="shared" si="51"/>
        <v>0.35</v>
      </c>
      <c r="L309" s="720">
        <v>0.06</v>
      </c>
      <c r="M309" s="63" t="s">
        <v>3171</v>
      </c>
      <c r="N309" s="440">
        <v>4.4999999999999998E-2</v>
      </c>
      <c r="O309" s="390">
        <v>6.0000000000000001E-3</v>
      </c>
      <c r="P309" s="390">
        <v>0</v>
      </c>
      <c r="Q309" s="390">
        <v>0</v>
      </c>
      <c r="R309" s="390">
        <v>0</v>
      </c>
      <c r="S309" s="63" t="s">
        <v>476</v>
      </c>
      <c r="T309" s="63"/>
      <c r="U309" s="1039"/>
      <c r="V309" s="1039"/>
      <c r="W309" s="1039"/>
      <c r="X309" s="64" t="s">
        <v>2364</v>
      </c>
      <c r="Y309" s="439"/>
      <c r="Z309" s="439"/>
      <c r="AA309" s="439"/>
    </row>
    <row r="310" spans="1:27" ht="15" customHeight="1">
      <c r="A310" s="63">
        <f t="shared" si="52"/>
        <v>307</v>
      </c>
      <c r="B310" s="63" t="s">
        <v>1308</v>
      </c>
      <c r="C310" s="63" t="s">
        <v>622</v>
      </c>
      <c r="D310" s="63" t="s">
        <v>2464</v>
      </c>
      <c r="E310" s="64">
        <v>2967</v>
      </c>
      <c r="F310" s="65" t="s">
        <v>144</v>
      </c>
      <c r="G310" s="389">
        <f t="shared" si="51"/>
        <v>0.57999999999999996</v>
      </c>
      <c r="H310" s="389">
        <f t="shared" si="51"/>
        <v>0.5</v>
      </c>
      <c r="I310" s="389">
        <f t="shared" si="51"/>
        <v>0.41</v>
      </c>
      <c r="J310" s="389">
        <f t="shared" si="51"/>
        <v>0.32999999999999996</v>
      </c>
      <c r="K310" s="389">
        <f t="shared" si="51"/>
        <v>0.26999999999999996</v>
      </c>
      <c r="L310" s="720">
        <v>0.06</v>
      </c>
      <c r="M310" s="63" t="s">
        <v>3173</v>
      </c>
      <c r="N310" s="440">
        <v>4.4999999999999998E-2</v>
      </c>
      <c r="O310" s="390">
        <v>6.0000000000000001E-3</v>
      </c>
      <c r="P310" s="390">
        <v>0</v>
      </c>
      <c r="Q310" s="390">
        <v>0</v>
      </c>
      <c r="R310" s="390">
        <v>0</v>
      </c>
      <c r="S310" s="63" t="s">
        <v>476</v>
      </c>
      <c r="T310" s="63"/>
      <c r="U310" s="1039"/>
      <c r="V310" s="1039"/>
      <c r="W310" s="1039"/>
      <c r="X310" s="64" t="s">
        <v>2364</v>
      </c>
      <c r="Y310" s="439"/>
      <c r="Z310" s="439"/>
      <c r="AA310" s="439"/>
    </row>
    <row r="311" spans="1:27" ht="15" customHeight="1">
      <c r="A311" s="63">
        <f t="shared" si="52"/>
        <v>308</v>
      </c>
      <c r="B311" s="63" t="s">
        <v>1306</v>
      </c>
      <c r="C311" s="63" t="s">
        <v>622</v>
      </c>
      <c r="D311" s="63" t="s">
        <v>2681</v>
      </c>
      <c r="E311" s="64">
        <v>2967</v>
      </c>
      <c r="F311" s="65" t="s">
        <v>144</v>
      </c>
      <c r="G311" s="389">
        <f t="shared" ref="G311:K361" si="53">+INDEX($AW$4:$AW$138,MATCH(G$3&amp;$M311,$AT$4:$AT$138,0))</f>
        <v>0.57999999999999996</v>
      </c>
      <c r="H311" s="389">
        <f t="shared" si="53"/>
        <v>0.5</v>
      </c>
      <c r="I311" s="389">
        <f t="shared" si="53"/>
        <v>0.41</v>
      </c>
      <c r="J311" s="389">
        <f t="shared" si="53"/>
        <v>0.32999999999999996</v>
      </c>
      <c r="K311" s="389">
        <f t="shared" si="53"/>
        <v>0.26999999999999996</v>
      </c>
      <c r="L311" s="720">
        <v>0.06</v>
      </c>
      <c r="M311" s="63" t="s">
        <v>3173</v>
      </c>
      <c r="N311" s="440">
        <v>4.4999999999999998E-2</v>
      </c>
      <c r="O311" s="390">
        <v>6.0000000000000001E-3</v>
      </c>
      <c r="P311" s="390">
        <v>0</v>
      </c>
      <c r="Q311" s="390">
        <v>0</v>
      </c>
      <c r="R311" s="390">
        <v>0</v>
      </c>
      <c r="S311" s="63" t="s">
        <v>476</v>
      </c>
      <c r="T311" s="63"/>
      <c r="U311" s="1039"/>
      <c r="V311" s="1039"/>
      <c r="W311" s="1039"/>
      <c r="X311" s="64" t="s">
        <v>2364</v>
      </c>
      <c r="Y311" s="439"/>
      <c r="Z311" s="439"/>
      <c r="AA311" s="439"/>
    </row>
    <row r="312" spans="1:27" ht="15" customHeight="1">
      <c r="A312" s="63">
        <f t="shared" si="52"/>
        <v>309</v>
      </c>
      <c r="B312" s="63" t="s">
        <v>2332</v>
      </c>
      <c r="C312" s="63" t="s">
        <v>622</v>
      </c>
      <c r="D312" s="63" t="s">
        <v>2217</v>
      </c>
      <c r="E312" s="64">
        <v>2995</v>
      </c>
      <c r="F312" s="65" t="s">
        <v>1873</v>
      </c>
      <c r="G312" s="389">
        <f t="shared" si="53"/>
        <v>0.57999999999999996</v>
      </c>
      <c r="H312" s="389">
        <f t="shared" si="53"/>
        <v>0.5</v>
      </c>
      <c r="I312" s="389">
        <f t="shared" si="53"/>
        <v>0.41</v>
      </c>
      <c r="J312" s="389">
        <f t="shared" si="53"/>
        <v>0.32999999999999996</v>
      </c>
      <c r="K312" s="389">
        <f t="shared" si="53"/>
        <v>0.26999999999999996</v>
      </c>
      <c r="L312" s="720">
        <v>0.06</v>
      </c>
      <c r="M312" s="63" t="s">
        <v>3173</v>
      </c>
      <c r="N312" s="440">
        <v>4.4999999999999998E-2</v>
      </c>
      <c r="O312" s="390">
        <v>6.0000000000000001E-3</v>
      </c>
      <c r="P312" s="390">
        <v>0</v>
      </c>
      <c r="Q312" s="390">
        <v>0</v>
      </c>
      <c r="R312" s="390">
        <v>0</v>
      </c>
      <c r="S312" s="63" t="s">
        <v>476</v>
      </c>
      <c r="T312" s="63"/>
      <c r="U312" s="1039"/>
      <c r="V312" s="1039"/>
      <c r="W312" s="1039"/>
      <c r="X312" s="64" t="s">
        <v>2364</v>
      </c>
      <c r="Y312" s="439"/>
      <c r="Z312" s="439"/>
      <c r="AA312" s="439"/>
    </row>
    <row r="313" spans="1:27" ht="15" customHeight="1">
      <c r="A313" s="63">
        <f t="shared" si="52"/>
        <v>310</v>
      </c>
      <c r="B313" s="63" t="s">
        <v>1308</v>
      </c>
      <c r="C313" s="63" t="s">
        <v>622</v>
      </c>
      <c r="D313" s="63" t="s">
        <v>1978</v>
      </c>
      <c r="E313" s="64">
        <v>3996</v>
      </c>
      <c r="F313" s="65" t="s">
        <v>144</v>
      </c>
      <c r="G313" s="389">
        <f t="shared" si="53"/>
        <v>0.57999999999999996</v>
      </c>
      <c r="H313" s="389">
        <f t="shared" si="53"/>
        <v>0.5</v>
      </c>
      <c r="I313" s="389">
        <f t="shared" si="53"/>
        <v>0.41</v>
      </c>
      <c r="J313" s="389">
        <f t="shared" si="53"/>
        <v>0.32999999999999996</v>
      </c>
      <c r="K313" s="389">
        <f t="shared" si="53"/>
        <v>0.26999999999999996</v>
      </c>
      <c r="L313" s="720">
        <v>0.06</v>
      </c>
      <c r="M313" s="63" t="s">
        <v>3173</v>
      </c>
      <c r="N313" s="440">
        <v>4.4999999999999998E-2</v>
      </c>
      <c r="O313" s="390">
        <v>6.0000000000000001E-3</v>
      </c>
      <c r="P313" s="390">
        <v>0</v>
      </c>
      <c r="Q313" s="390">
        <v>0</v>
      </c>
      <c r="R313" s="390">
        <v>0</v>
      </c>
      <c r="S313" s="63" t="s">
        <v>476</v>
      </c>
      <c r="T313" s="63"/>
      <c r="U313" s="1039"/>
      <c r="V313" s="1039"/>
      <c r="W313" s="1039"/>
      <c r="X313" s="64" t="s">
        <v>2364</v>
      </c>
      <c r="Y313" s="439"/>
      <c r="Z313" s="439"/>
      <c r="AA313" s="439"/>
    </row>
    <row r="314" spans="1:27" ht="15" customHeight="1">
      <c r="A314" s="63">
        <f t="shared" ref="A314:A386" si="54">ROW()-3</f>
        <v>311</v>
      </c>
      <c r="B314" s="63" t="s">
        <v>1308</v>
      </c>
      <c r="C314" s="63" t="s">
        <v>622</v>
      </c>
      <c r="D314" s="63" t="s">
        <v>1979</v>
      </c>
      <c r="E314" s="64">
        <v>3996</v>
      </c>
      <c r="F314" s="65" t="s">
        <v>144</v>
      </c>
      <c r="G314" s="389">
        <f t="shared" si="53"/>
        <v>0.57999999999999996</v>
      </c>
      <c r="H314" s="389">
        <f t="shared" si="53"/>
        <v>0.5</v>
      </c>
      <c r="I314" s="389">
        <f t="shared" si="53"/>
        <v>0.41</v>
      </c>
      <c r="J314" s="389">
        <f t="shared" si="53"/>
        <v>0.32999999999999996</v>
      </c>
      <c r="K314" s="389">
        <f t="shared" si="53"/>
        <v>0.26999999999999996</v>
      </c>
      <c r="L314" s="720">
        <v>0.06</v>
      </c>
      <c r="M314" s="63" t="s">
        <v>3173</v>
      </c>
      <c r="N314" s="440">
        <v>4.4999999999999998E-2</v>
      </c>
      <c r="O314" s="390">
        <v>6.0000000000000001E-3</v>
      </c>
      <c r="P314" s="390">
        <v>0</v>
      </c>
      <c r="Q314" s="390">
        <v>0</v>
      </c>
      <c r="R314" s="390">
        <v>0</v>
      </c>
      <c r="S314" s="63" t="s">
        <v>476</v>
      </c>
      <c r="T314" s="63"/>
      <c r="U314" s="1039"/>
      <c r="V314" s="1039"/>
      <c r="W314" s="1039"/>
      <c r="X314" s="64" t="s">
        <v>2364</v>
      </c>
      <c r="Y314" s="439"/>
      <c r="Z314" s="439"/>
      <c r="AA314" s="439"/>
    </row>
    <row r="315" spans="1:27" ht="15" customHeight="1">
      <c r="A315" s="63">
        <f t="shared" si="54"/>
        <v>312</v>
      </c>
      <c r="B315" s="63" t="s">
        <v>2332</v>
      </c>
      <c r="C315" s="63" t="s">
        <v>622</v>
      </c>
      <c r="D315" s="63" t="s">
        <v>2218</v>
      </c>
      <c r="E315" s="64">
        <v>3996</v>
      </c>
      <c r="F315" s="65" t="s">
        <v>144</v>
      </c>
      <c r="G315" s="389">
        <f t="shared" si="53"/>
        <v>0.54</v>
      </c>
      <c r="H315" s="389">
        <f t="shared" si="53"/>
        <v>0.45999999999999996</v>
      </c>
      <c r="I315" s="389">
        <f t="shared" si="53"/>
        <v>0.37</v>
      </c>
      <c r="J315" s="389">
        <f t="shared" si="53"/>
        <v>0.28999999999999998</v>
      </c>
      <c r="K315" s="389">
        <f t="shared" si="53"/>
        <v>0.23</v>
      </c>
      <c r="L315" s="720">
        <v>0.06</v>
      </c>
      <c r="M315" s="63" t="s">
        <v>3175</v>
      </c>
      <c r="N315" s="440">
        <v>4.4999999999999998E-2</v>
      </c>
      <c r="O315" s="390">
        <v>6.0000000000000001E-3</v>
      </c>
      <c r="P315" s="390">
        <v>0</v>
      </c>
      <c r="Q315" s="390">
        <v>0</v>
      </c>
      <c r="R315" s="390">
        <v>0</v>
      </c>
      <c r="S315" s="63" t="s">
        <v>476</v>
      </c>
      <c r="T315" s="63"/>
      <c r="U315" s="1039"/>
      <c r="V315" s="1039"/>
      <c r="W315" s="1039"/>
      <c r="X315" s="64" t="s">
        <v>2364</v>
      </c>
      <c r="Y315" s="439"/>
      <c r="Z315" s="439"/>
      <c r="AA315" s="439"/>
    </row>
    <row r="316" spans="1:27" ht="15" customHeight="1">
      <c r="A316" s="63">
        <f t="shared" si="54"/>
        <v>313</v>
      </c>
      <c r="B316" s="63" t="s">
        <v>1308</v>
      </c>
      <c r="C316" s="63" t="s">
        <v>622</v>
      </c>
      <c r="D316" s="1234" t="s">
        <v>1980</v>
      </c>
      <c r="E316" s="64">
        <v>1968</v>
      </c>
      <c r="F316" s="65" t="s">
        <v>144</v>
      </c>
      <c r="G316" s="389">
        <f t="shared" si="53"/>
        <v>0.66999999999999993</v>
      </c>
      <c r="H316" s="389">
        <f t="shared" si="53"/>
        <v>0.59</v>
      </c>
      <c r="I316" s="389">
        <f t="shared" si="53"/>
        <v>0.49999999999999989</v>
      </c>
      <c r="J316" s="389">
        <f t="shared" si="53"/>
        <v>0.42</v>
      </c>
      <c r="K316" s="389">
        <f t="shared" si="53"/>
        <v>0.36</v>
      </c>
      <c r="L316" s="720">
        <v>0.06</v>
      </c>
      <c r="M316" s="63" t="s">
        <v>660</v>
      </c>
      <c r="N316" s="440">
        <v>4.4999999999999998E-2</v>
      </c>
      <c r="O316" s="390">
        <v>6.0000000000000001E-3</v>
      </c>
      <c r="P316" s="390">
        <v>0</v>
      </c>
      <c r="Q316" s="390">
        <v>0</v>
      </c>
      <c r="R316" s="390">
        <v>0</v>
      </c>
      <c r="S316" s="63" t="s">
        <v>476</v>
      </c>
      <c r="T316" s="63"/>
      <c r="U316" s="1039"/>
      <c r="V316" s="1039"/>
      <c r="W316" s="1039"/>
      <c r="X316" s="64" t="s">
        <v>2364</v>
      </c>
      <c r="Y316" s="439"/>
      <c r="Z316" s="439"/>
      <c r="AA316" s="439"/>
    </row>
    <row r="317" spans="1:27" ht="15" customHeight="1">
      <c r="A317" s="63">
        <f t="shared" si="54"/>
        <v>314</v>
      </c>
      <c r="B317" s="63" t="s">
        <v>1308</v>
      </c>
      <c r="C317" s="63" t="s">
        <v>622</v>
      </c>
      <c r="D317" s="1234" t="s">
        <v>1981</v>
      </c>
      <c r="E317" s="64">
        <v>1968</v>
      </c>
      <c r="F317" s="65" t="s">
        <v>144</v>
      </c>
      <c r="G317" s="389">
        <f t="shared" si="53"/>
        <v>0.66999999999999993</v>
      </c>
      <c r="H317" s="389">
        <f t="shared" si="53"/>
        <v>0.59</v>
      </c>
      <c r="I317" s="389">
        <f t="shared" si="53"/>
        <v>0.49999999999999989</v>
      </c>
      <c r="J317" s="389">
        <f t="shared" si="53"/>
        <v>0.42</v>
      </c>
      <c r="K317" s="389">
        <f t="shared" si="53"/>
        <v>0.36</v>
      </c>
      <c r="L317" s="720">
        <v>0.06</v>
      </c>
      <c r="M317" s="63" t="s">
        <v>660</v>
      </c>
      <c r="N317" s="440">
        <v>4.4999999999999998E-2</v>
      </c>
      <c r="O317" s="390">
        <v>6.0000000000000001E-3</v>
      </c>
      <c r="P317" s="390">
        <v>0</v>
      </c>
      <c r="Q317" s="390">
        <v>0</v>
      </c>
      <c r="R317" s="390">
        <v>0</v>
      </c>
      <c r="S317" s="63" t="s">
        <v>476</v>
      </c>
      <c r="T317" s="63"/>
      <c r="U317" s="1039"/>
      <c r="V317" s="1039"/>
      <c r="W317" s="1039"/>
      <c r="X317" s="64" t="s">
        <v>2364</v>
      </c>
      <c r="Y317" s="439"/>
      <c r="Z317" s="439"/>
      <c r="AA317" s="439"/>
    </row>
    <row r="318" spans="1:27" ht="15" customHeight="1">
      <c r="A318" s="63">
        <f t="shared" si="54"/>
        <v>315</v>
      </c>
      <c r="B318" s="63" t="s">
        <v>1308</v>
      </c>
      <c r="C318" s="63" t="s">
        <v>2368</v>
      </c>
      <c r="D318" s="63" t="s">
        <v>1982</v>
      </c>
      <c r="E318" s="64">
        <v>1968</v>
      </c>
      <c r="F318" s="65" t="s">
        <v>189</v>
      </c>
      <c r="G318" s="389">
        <f t="shared" si="53"/>
        <v>0.66999999999999993</v>
      </c>
      <c r="H318" s="389">
        <f t="shared" si="53"/>
        <v>0.59</v>
      </c>
      <c r="I318" s="389">
        <f t="shared" si="53"/>
        <v>0.49999999999999989</v>
      </c>
      <c r="J318" s="389">
        <f t="shared" si="53"/>
        <v>0.42</v>
      </c>
      <c r="K318" s="389">
        <f t="shared" si="53"/>
        <v>0.36</v>
      </c>
      <c r="L318" s="720">
        <v>0.06</v>
      </c>
      <c r="M318" s="63" t="s">
        <v>660</v>
      </c>
      <c r="N318" s="440">
        <v>4.4999999999999998E-2</v>
      </c>
      <c r="O318" s="390">
        <v>6.0000000000000001E-3</v>
      </c>
      <c r="P318" s="390">
        <v>0</v>
      </c>
      <c r="Q318" s="390">
        <v>0</v>
      </c>
      <c r="R318" s="390">
        <v>0</v>
      </c>
      <c r="S318" s="63" t="s">
        <v>476</v>
      </c>
      <c r="T318" s="63"/>
      <c r="U318" s="1039"/>
      <c r="V318" s="1039"/>
      <c r="W318" s="1039"/>
      <c r="X318" s="64" t="s">
        <v>2364</v>
      </c>
      <c r="Y318" s="439"/>
      <c r="Z318" s="439"/>
      <c r="AA318" s="439"/>
    </row>
    <row r="319" spans="1:27" ht="15" customHeight="1">
      <c r="A319" s="63">
        <f t="shared" si="54"/>
        <v>316</v>
      </c>
      <c r="B319" s="63" t="s">
        <v>1308</v>
      </c>
      <c r="C319" s="63" t="s">
        <v>622</v>
      </c>
      <c r="D319" s="63" t="s">
        <v>1983</v>
      </c>
      <c r="E319" s="64">
        <v>1968</v>
      </c>
      <c r="F319" s="65" t="s">
        <v>189</v>
      </c>
      <c r="G319" s="389">
        <f t="shared" si="53"/>
        <v>0.66999999999999993</v>
      </c>
      <c r="H319" s="389">
        <f t="shared" si="53"/>
        <v>0.59</v>
      </c>
      <c r="I319" s="389">
        <f t="shared" si="53"/>
        <v>0.49999999999999989</v>
      </c>
      <c r="J319" s="389">
        <f t="shared" si="53"/>
        <v>0.42</v>
      </c>
      <c r="K319" s="389">
        <f t="shared" si="53"/>
        <v>0.36</v>
      </c>
      <c r="L319" s="720">
        <v>0.06</v>
      </c>
      <c r="M319" s="63" t="s">
        <v>660</v>
      </c>
      <c r="N319" s="440">
        <v>4.4999999999999998E-2</v>
      </c>
      <c r="O319" s="390">
        <v>6.0000000000000001E-3</v>
      </c>
      <c r="P319" s="390">
        <v>0</v>
      </c>
      <c r="Q319" s="390">
        <v>0</v>
      </c>
      <c r="R319" s="390">
        <v>0</v>
      </c>
      <c r="S319" s="63" t="s">
        <v>476</v>
      </c>
      <c r="T319" s="63"/>
      <c r="U319" s="1039"/>
      <c r="V319" s="1039"/>
      <c r="W319" s="1039"/>
      <c r="X319" s="64" t="s">
        <v>2364</v>
      </c>
      <c r="Y319" s="439"/>
      <c r="Z319" s="439"/>
      <c r="AA319" s="439"/>
    </row>
    <row r="320" spans="1:27" ht="15" customHeight="1">
      <c r="A320" s="63">
        <f t="shared" si="54"/>
        <v>317</v>
      </c>
      <c r="B320" s="63" t="s">
        <v>1308</v>
      </c>
      <c r="C320" s="63" t="s">
        <v>622</v>
      </c>
      <c r="D320" s="63" t="s">
        <v>1984</v>
      </c>
      <c r="E320" s="64">
        <v>1968</v>
      </c>
      <c r="F320" s="65" t="s">
        <v>189</v>
      </c>
      <c r="G320" s="389">
        <f t="shared" si="53"/>
        <v>0.66999999999999993</v>
      </c>
      <c r="H320" s="389">
        <f t="shared" si="53"/>
        <v>0.59</v>
      </c>
      <c r="I320" s="389">
        <f t="shared" si="53"/>
        <v>0.49999999999999989</v>
      </c>
      <c r="J320" s="389">
        <f t="shared" si="53"/>
        <v>0.42</v>
      </c>
      <c r="K320" s="389">
        <f t="shared" si="53"/>
        <v>0.36</v>
      </c>
      <c r="L320" s="720">
        <v>0.06</v>
      </c>
      <c r="M320" s="63" t="s">
        <v>660</v>
      </c>
      <c r="N320" s="440">
        <v>4.4999999999999998E-2</v>
      </c>
      <c r="O320" s="390">
        <v>6.0000000000000001E-3</v>
      </c>
      <c r="P320" s="390">
        <v>0</v>
      </c>
      <c r="Q320" s="390">
        <v>0</v>
      </c>
      <c r="R320" s="390">
        <v>0</v>
      </c>
      <c r="S320" s="63" t="s">
        <v>476</v>
      </c>
      <c r="T320" s="63"/>
      <c r="U320" s="1039"/>
      <c r="V320" s="1039"/>
      <c r="W320" s="1039"/>
      <c r="X320" s="64" t="s">
        <v>2364</v>
      </c>
      <c r="Y320" s="439"/>
      <c r="Z320" s="439"/>
      <c r="AA320" s="439"/>
    </row>
    <row r="321" spans="1:27" ht="15" customHeight="1">
      <c r="A321" s="63">
        <f t="shared" si="54"/>
        <v>318</v>
      </c>
      <c r="B321" s="63" t="s">
        <v>1308</v>
      </c>
      <c r="C321" s="63" t="s">
        <v>622</v>
      </c>
      <c r="D321" s="63" t="s">
        <v>2372</v>
      </c>
      <c r="E321" s="64">
        <v>1968</v>
      </c>
      <c r="F321" s="65" t="s">
        <v>189</v>
      </c>
      <c r="G321" s="389">
        <f t="shared" si="53"/>
        <v>0.66999999999999993</v>
      </c>
      <c r="H321" s="389">
        <f t="shared" si="53"/>
        <v>0.59</v>
      </c>
      <c r="I321" s="389">
        <f t="shared" si="53"/>
        <v>0.49999999999999989</v>
      </c>
      <c r="J321" s="389">
        <f t="shared" si="53"/>
        <v>0.42</v>
      </c>
      <c r="K321" s="389">
        <f t="shared" si="53"/>
        <v>0.36</v>
      </c>
      <c r="L321" s="720">
        <v>0.06</v>
      </c>
      <c r="M321" s="63" t="s">
        <v>660</v>
      </c>
      <c r="N321" s="440">
        <v>4.4999999999999998E-2</v>
      </c>
      <c r="O321" s="390">
        <v>6.0000000000000001E-3</v>
      </c>
      <c r="P321" s="390">
        <v>0</v>
      </c>
      <c r="Q321" s="390">
        <v>0</v>
      </c>
      <c r="R321" s="390">
        <v>0</v>
      </c>
      <c r="S321" s="63" t="s">
        <v>476</v>
      </c>
      <c r="T321" s="63"/>
      <c r="U321" s="1039"/>
      <c r="V321" s="1039"/>
      <c r="W321" s="1039"/>
      <c r="X321" s="64" t="s">
        <v>2364</v>
      </c>
      <c r="Y321" s="439"/>
      <c r="Z321" s="439"/>
      <c r="AA321" s="439"/>
    </row>
    <row r="322" spans="1:27" ht="15" customHeight="1">
      <c r="A322" s="63">
        <f t="shared" si="54"/>
        <v>319</v>
      </c>
      <c r="B322" s="63" t="s">
        <v>1308</v>
      </c>
      <c r="C322" s="63" t="s">
        <v>622</v>
      </c>
      <c r="D322" s="63" t="s">
        <v>1985</v>
      </c>
      <c r="E322" s="64">
        <v>1968</v>
      </c>
      <c r="F322" s="65" t="s">
        <v>189</v>
      </c>
      <c r="G322" s="389">
        <f t="shared" si="53"/>
        <v>0.66999999999999993</v>
      </c>
      <c r="H322" s="389">
        <f t="shared" si="53"/>
        <v>0.59</v>
      </c>
      <c r="I322" s="389">
        <f t="shared" si="53"/>
        <v>0.49999999999999989</v>
      </c>
      <c r="J322" s="389">
        <f t="shared" si="53"/>
        <v>0.42</v>
      </c>
      <c r="K322" s="389">
        <f t="shared" si="53"/>
        <v>0.36</v>
      </c>
      <c r="L322" s="720">
        <v>0.06</v>
      </c>
      <c r="M322" s="63" t="s">
        <v>660</v>
      </c>
      <c r="N322" s="440">
        <v>4.4999999999999998E-2</v>
      </c>
      <c r="O322" s="390">
        <v>6.0000000000000001E-3</v>
      </c>
      <c r="P322" s="390">
        <v>0</v>
      </c>
      <c r="Q322" s="390">
        <v>0</v>
      </c>
      <c r="R322" s="390">
        <v>0</v>
      </c>
      <c r="S322" s="63" t="s">
        <v>476</v>
      </c>
      <c r="T322" s="63"/>
      <c r="U322" s="1039"/>
      <c r="V322" s="1039"/>
      <c r="W322" s="1039"/>
      <c r="X322" s="64" t="s">
        <v>2364</v>
      </c>
      <c r="Y322" s="439"/>
      <c r="Z322" s="439"/>
      <c r="AA322" s="439"/>
    </row>
    <row r="323" spans="1:27" ht="15" customHeight="1">
      <c r="A323" s="63">
        <f t="shared" si="54"/>
        <v>320</v>
      </c>
      <c r="B323" s="63" t="s">
        <v>1308</v>
      </c>
      <c r="C323" s="63" t="s">
        <v>622</v>
      </c>
      <c r="D323" s="63" t="s">
        <v>1986</v>
      </c>
      <c r="E323" s="64">
        <v>1968</v>
      </c>
      <c r="F323" s="65" t="s">
        <v>189</v>
      </c>
      <c r="G323" s="389">
        <f t="shared" si="53"/>
        <v>0.66999999999999993</v>
      </c>
      <c r="H323" s="389">
        <f t="shared" si="53"/>
        <v>0.59</v>
      </c>
      <c r="I323" s="389">
        <f t="shared" si="53"/>
        <v>0.49999999999999989</v>
      </c>
      <c r="J323" s="389">
        <f t="shared" si="53"/>
        <v>0.42</v>
      </c>
      <c r="K323" s="389">
        <f t="shared" si="53"/>
        <v>0.36</v>
      </c>
      <c r="L323" s="720">
        <v>0.06</v>
      </c>
      <c r="M323" s="63" t="s">
        <v>660</v>
      </c>
      <c r="N323" s="440">
        <v>4.4999999999999998E-2</v>
      </c>
      <c r="O323" s="390">
        <v>6.0000000000000001E-3</v>
      </c>
      <c r="P323" s="390">
        <v>0</v>
      </c>
      <c r="Q323" s="390">
        <v>0</v>
      </c>
      <c r="R323" s="390">
        <v>0</v>
      </c>
      <c r="S323" s="63" t="s">
        <v>476</v>
      </c>
      <c r="T323" s="63"/>
      <c r="U323" s="1039"/>
      <c r="V323" s="1039"/>
      <c r="W323" s="1039"/>
      <c r="X323" s="64" t="s">
        <v>2364</v>
      </c>
      <c r="Y323" s="439"/>
      <c r="Z323" s="439"/>
      <c r="AA323" s="439"/>
    </row>
    <row r="324" spans="1:27" ht="15" customHeight="1">
      <c r="A324" s="63">
        <f t="shared" si="54"/>
        <v>321</v>
      </c>
      <c r="B324" s="63" t="s">
        <v>1308</v>
      </c>
      <c r="C324" s="63" t="s">
        <v>622</v>
      </c>
      <c r="D324" s="1234" t="s">
        <v>1987</v>
      </c>
      <c r="E324" s="64">
        <v>1984</v>
      </c>
      <c r="F324" s="65" t="s">
        <v>189</v>
      </c>
      <c r="G324" s="389">
        <f t="shared" si="53"/>
        <v>0.66999999999999993</v>
      </c>
      <c r="H324" s="389">
        <f t="shared" si="53"/>
        <v>0.59</v>
      </c>
      <c r="I324" s="389">
        <f t="shared" si="53"/>
        <v>0.49999999999999989</v>
      </c>
      <c r="J324" s="389">
        <f t="shared" si="53"/>
        <v>0.42</v>
      </c>
      <c r="K324" s="389">
        <f t="shared" si="53"/>
        <v>0.36</v>
      </c>
      <c r="L324" s="720">
        <v>0.06</v>
      </c>
      <c r="M324" s="63" t="s">
        <v>660</v>
      </c>
      <c r="N324" s="440">
        <v>4.4999999999999998E-2</v>
      </c>
      <c r="O324" s="390">
        <v>6.0000000000000001E-3</v>
      </c>
      <c r="P324" s="390">
        <v>0</v>
      </c>
      <c r="Q324" s="390">
        <v>0</v>
      </c>
      <c r="R324" s="390">
        <v>0</v>
      </c>
      <c r="S324" s="63" t="s">
        <v>476</v>
      </c>
      <c r="T324" s="63"/>
      <c r="U324" s="1039"/>
      <c r="V324" s="1039"/>
      <c r="W324" s="1039"/>
      <c r="X324" s="64" t="s">
        <v>2364</v>
      </c>
      <c r="Y324" s="439"/>
      <c r="Z324" s="439"/>
      <c r="AA324" s="439"/>
    </row>
    <row r="325" spans="1:27" ht="15" customHeight="1">
      <c r="A325" s="63">
        <f t="shared" si="54"/>
        <v>322</v>
      </c>
      <c r="B325" s="63" t="s">
        <v>2332</v>
      </c>
      <c r="C325" s="63" t="s">
        <v>622</v>
      </c>
      <c r="D325" s="1234" t="s">
        <v>1988</v>
      </c>
      <c r="E325" s="64">
        <v>1984</v>
      </c>
      <c r="F325" s="65" t="s">
        <v>189</v>
      </c>
      <c r="G325" s="389">
        <f t="shared" si="53"/>
        <v>0.66999999999999993</v>
      </c>
      <c r="H325" s="389">
        <f t="shared" si="53"/>
        <v>0.59</v>
      </c>
      <c r="I325" s="389">
        <f t="shared" si="53"/>
        <v>0.49999999999999989</v>
      </c>
      <c r="J325" s="389">
        <f t="shared" si="53"/>
        <v>0.42</v>
      </c>
      <c r="K325" s="389">
        <f t="shared" si="53"/>
        <v>0.36</v>
      </c>
      <c r="L325" s="720">
        <v>0.06</v>
      </c>
      <c r="M325" s="63" t="s">
        <v>660</v>
      </c>
      <c r="N325" s="440">
        <v>4.4999999999999998E-2</v>
      </c>
      <c r="O325" s="390">
        <v>6.0000000000000001E-3</v>
      </c>
      <c r="P325" s="390">
        <v>0</v>
      </c>
      <c r="Q325" s="390">
        <v>0</v>
      </c>
      <c r="R325" s="390">
        <v>0</v>
      </c>
      <c r="S325" s="63" t="s">
        <v>476</v>
      </c>
      <c r="T325" s="63"/>
      <c r="U325" s="1039"/>
      <c r="V325" s="1039"/>
      <c r="W325" s="1039"/>
      <c r="X325" s="64" t="s">
        <v>2364</v>
      </c>
      <c r="Y325" s="439"/>
      <c r="Z325" s="439"/>
      <c r="AA325" s="439"/>
    </row>
    <row r="326" spans="1:27" ht="15" customHeight="1">
      <c r="A326" s="63">
        <f t="shared" si="54"/>
        <v>323</v>
      </c>
      <c r="B326" s="63" t="s">
        <v>1306</v>
      </c>
      <c r="C326" s="63" t="s">
        <v>622</v>
      </c>
      <c r="D326" s="1234" t="s">
        <v>2558</v>
      </c>
      <c r="E326" s="64">
        <v>1984</v>
      </c>
      <c r="F326" s="65" t="s">
        <v>189</v>
      </c>
      <c r="G326" s="389">
        <f t="shared" si="53"/>
        <v>0.66999999999999993</v>
      </c>
      <c r="H326" s="389">
        <f t="shared" si="53"/>
        <v>0.59</v>
      </c>
      <c r="I326" s="389">
        <f t="shared" si="53"/>
        <v>0.49999999999999989</v>
      </c>
      <c r="J326" s="389">
        <f t="shared" si="53"/>
        <v>0.42</v>
      </c>
      <c r="K326" s="389">
        <f t="shared" si="53"/>
        <v>0.36</v>
      </c>
      <c r="L326" s="720">
        <v>0.06</v>
      </c>
      <c r="M326" s="63" t="s">
        <v>660</v>
      </c>
      <c r="N326" s="440">
        <v>4.4999999999999998E-2</v>
      </c>
      <c r="O326" s="390">
        <v>6.0000000000000001E-3</v>
      </c>
      <c r="P326" s="390">
        <v>0</v>
      </c>
      <c r="Q326" s="390">
        <v>0</v>
      </c>
      <c r="R326" s="390">
        <v>0</v>
      </c>
      <c r="S326" s="63" t="s">
        <v>476</v>
      </c>
      <c r="T326" s="63"/>
      <c r="U326" s="1039"/>
      <c r="V326" s="1039"/>
      <c r="W326" s="1039"/>
      <c r="X326" s="64" t="s">
        <v>2364</v>
      </c>
      <c r="Y326" s="439"/>
      <c r="Z326" s="439"/>
      <c r="AA326" s="439"/>
    </row>
    <row r="327" spans="1:27" ht="15" customHeight="1">
      <c r="A327" s="63">
        <f t="shared" si="54"/>
        <v>324</v>
      </c>
      <c r="B327" s="63" t="s">
        <v>1306</v>
      </c>
      <c r="C327" s="63" t="s">
        <v>622</v>
      </c>
      <c r="D327" s="1234" t="s">
        <v>2559</v>
      </c>
      <c r="E327" s="64">
        <v>1984</v>
      </c>
      <c r="F327" s="65" t="s">
        <v>189</v>
      </c>
      <c r="G327" s="389">
        <f t="shared" si="53"/>
        <v>0.66999999999999993</v>
      </c>
      <c r="H327" s="389">
        <f t="shared" si="53"/>
        <v>0.59</v>
      </c>
      <c r="I327" s="389">
        <f t="shared" si="53"/>
        <v>0.49999999999999989</v>
      </c>
      <c r="J327" s="389">
        <f t="shared" si="53"/>
        <v>0.42</v>
      </c>
      <c r="K327" s="389">
        <f t="shared" si="53"/>
        <v>0.36</v>
      </c>
      <c r="L327" s="720">
        <v>0.06</v>
      </c>
      <c r="M327" s="63" t="s">
        <v>660</v>
      </c>
      <c r="N327" s="440">
        <v>4.4999999999999998E-2</v>
      </c>
      <c r="O327" s="390">
        <v>6.0000000000000001E-3</v>
      </c>
      <c r="P327" s="390">
        <v>0</v>
      </c>
      <c r="Q327" s="390">
        <v>0</v>
      </c>
      <c r="R327" s="390">
        <v>0</v>
      </c>
      <c r="S327" s="63" t="s">
        <v>476</v>
      </c>
      <c r="T327" s="63"/>
      <c r="U327" s="1039"/>
      <c r="V327" s="1039"/>
      <c r="W327" s="1039"/>
      <c r="X327" s="64" t="s">
        <v>2364</v>
      </c>
      <c r="Y327" s="439"/>
      <c r="Z327" s="439"/>
      <c r="AA327" s="439"/>
    </row>
    <row r="328" spans="1:27" ht="15" customHeight="1">
      <c r="A328" s="63">
        <f t="shared" si="54"/>
        <v>325</v>
      </c>
      <c r="B328" s="63" t="s">
        <v>1308</v>
      </c>
      <c r="C328" s="63" t="s">
        <v>622</v>
      </c>
      <c r="D328" s="63" t="s">
        <v>1962</v>
      </c>
      <c r="E328" s="64">
        <v>1968</v>
      </c>
      <c r="F328" s="65" t="s">
        <v>189</v>
      </c>
      <c r="G328" s="389">
        <f t="shared" si="53"/>
        <v>0.66999999999999993</v>
      </c>
      <c r="H328" s="389">
        <f t="shared" si="53"/>
        <v>0.59</v>
      </c>
      <c r="I328" s="389">
        <f t="shared" si="53"/>
        <v>0.49999999999999989</v>
      </c>
      <c r="J328" s="389">
        <f t="shared" si="53"/>
        <v>0.42</v>
      </c>
      <c r="K328" s="389">
        <f t="shared" si="53"/>
        <v>0.36</v>
      </c>
      <c r="L328" s="720">
        <v>0.06</v>
      </c>
      <c r="M328" s="63" t="s">
        <v>660</v>
      </c>
      <c r="N328" s="440">
        <v>4.4999999999999998E-2</v>
      </c>
      <c r="O328" s="390">
        <v>6.0000000000000001E-3</v>
      </c>
      <c r="P328" s="390">
        <v>0</v>
      </c>
      <c r="Q328" s="390">
        <v>0</v>
      </c>
      <c r="R328" s="390">
        <v>0</v>
      </c>
      <c r="S328" s="63" t="s">
        <v>476</v>
      </c>
      <c r="T328" s="63"/>
      <c r="U328" s="1039"/>
      <c r="V328" s="1039"/>
      <c r="W328" s="1039"/>
      <c r="X328" s="64" t="s">
        <v>2364</v>
      </c>
      <c r="Y328" s="439"/>
      <c r="Z328" s="439"/>
      <c r="AA328" s="439"/>
    </row>
    <row r="329" spans="1:27" ht="15" customHeight="1">
      <c r="A329" s="63">
        <f t="shared" si="54"/>
        <v>326</v>
      </c>
      <c r="B329" s="63" t="s">
        <v>1308</v>
      </c>
      <c r="C329" s="63" t="s">
        <v>622</v>
      </c>
      <c r="D329" s="63" t="s">
        <v>2219</v>
      </c>
      <c r="E329" s="64">
        <v>1968</v>
      </c>
      <c r="F329" s="65" t="s">
        <v>189</v>
      </c>
      <c r="G329" s="389">
        <f t="shared" si="53"/>
        <v>0.66999999999999993</v>
      </c>
      <c r="H329" s="389">
        <f t="shared" si="53"/>
        <v>0.59</v>
      </c>
      <c r="I329" s="389">
        <f t="shared" si="53"/>
        <v>0.49999999999999989</v>
      </c>
      <c r="J329" s="389">
        <f t="shared" si="53"/>
        <v>0.42</v>
      </c>
      <c r="K329" s="389">
        <f t="shared" si="53"/>
        <v>0.36</v>
      </c>
      <c r="L329" s="720">
        <v>0.06</v>
      </c>
      <c r="M329" s="63" t="s">
        <v>660</v>
      </c>
      <c r="N329" s="440">
        <v>4.4999999999999998E-2</v>
      </c>
      <c r="O329" s="390">
        <v>6.0000000000000001E-3</v>
      </c>
      <c r="P329" s="390">
        <v>0</v>
      </c>
      <c r="Q329" s="390">
        <v>0</v>
      </c>
      <c r="R329" s="390">
        <v>0</v>
      </c>
      <c r="S329" s="63" t="s">
        <v>476</v>
      </c>
      <c r="T329" s="63"/>
      <c r="U329" s="1039"/>
      <c r="V329" s="1039"/>
      <c r="W329" s="1039"/>
      <c r="X329" s="64" t="s">
        <v>2364</v>
      </c>
      <c r="Y329" s="439"/>
      <c r="Z329" s="439"/>
      <c r="AA329" s="439"/>
    </row>
    <row r="330" spans="1:27" ht="15" customHeight="1">
      <c r="A330" s="63">
        <f t="shared" si="54"/>
        <v>327</v>
      </c>
      <c r="B330" s="63" t="s">
        <v>1308</v>
      </c>
      <c r="C330" s="63" t="s">
        <v>622</v>
      </c>
      <c r="D330" s="63" t="s">
        <v>2220</v>
      </c>
      <c r="E330" s="64">
        <v>1968</v>
      </c>
      <c r="F330" s="65" t="s">
        <v>189</v>
      </c>
      <c r="G330" s="389">
        <f t="shared" si="53"/>
        <v>0.66999999999999993</v>
      </c>
      <c r="H330" s="389">
        <f t="shared" si="53"/>
        <v>0.59</v>
      </c>
      <c r="I330" s="389">
        <f t="shared" si="53"/>
        <v>0.49999999999999989</v>
      </c>
      <c r="J330" s="389">
        <f t="shared" si="53"/>
        <v>0.42</v>
      </c>
      <c r="K330" s="389">
        <f t="shared" si="53"/>
        <v>0.36</v>
      </c>
      <c r="L330" s="720">
        <v>0.06</v>
      </c>
      <c r="M330" s="63" t="s">
        <v>660</v>
      </c>
      <c r="N330" s="440">
        <v>4.4999999999999998E-2</v>
      </c>
      <c r="O330" s="390">
        <v>6.0000000000000001E-3</v>
      </c>
      <c r="P330" s="390">
        <v>0</v>
      </c>
      <c r="Q330" s="390">
        <v>0</v>
      </c>
      <c r="R330" s="390">
        <v>0</v>
      </c>
      <c r="S330" s="63" t="s">
        <v>476</v>
      </c>
      <c r="T330" s="63"/>
      <c r="U330" s="1039"/>
      <c r="V330" s="1039"/>
      <c r="W330" s="1039"/>
      <c r="X330" s="64" t="s">
        <v>2364</v>
      </c>
      <c r="Y330" s="439"/>
      <c r="Z330" s="439"/>
      <c r="AA330" s="439"/>
    </row>
    <row r="331" spans="1:27" ht="15" customHeight="1">
      <c r="A331" s="63">
        <f t="shared" si="54"/>
        <v>328</v>
      </c>
      <c r="B331" s="63" t="s">
        <v>1308</v>
      </c>
      <c r="C331" s="63" t="s">
        <v>622</v>
      </c>
      <c r="D331" s="63" t="s">
        <v>1963</v>
      </c>
      <c r="E331" s="64">
        <v>1968</v>
      </c>
      <c r="F331" s="65" t="s">
        <v>189</v>
      </c>
      <c r="G331" s="389">
        <f t="shared" si="53"/>
        <v>0.66999999999999993</v>
      </c>
      <c r="H331" s="389">
        <f t="shared" si="53"/>
        <v>0.59</v>
      </c>
      <c r="I331" s="389">
        <f t="shared" si="53"/>
        <v>0.49999999999999989</v>
      </c>
      <c r="J331" s="389">
        <f t="shared" si="53"/>
        <v>0.42</v>
      </c>
      <c r="K331" s="389">
        <f t="shared" si="53"/>
        <v>0.36</v>
      </c>
      <c r="L331" s="720">
        <v>0.06</v>
      </c>
      <c r="M331" s="63" t="s">
        <v>660</v>
      </c>
      <c r="N331" s="440">
        <v>4.4999999999999998E-2</v>
      </c>
      <c r="O331" s="390">
        <v>6.0000000000000001E-3</v>
      </c>
      <c r="P331" s="390">
        <v>0</v>
      </c>
      <c r="Q331" s="390">
        <v>0</v>
      </c>
      <c r="R331" s="390">
        <v>0</v>
      </c>
      <c r="S331" s="63" t="s">
        <v>476</v>
      </c>
      <c r="T331" s="63"/>
      <c r="U331" s="1039"/>
      <c r="V331" s="1039"/>
      <c r="W331" s="1039"/>
      <c r="X331" s="64" t="s">
        <v>2364</v>
      </c>
      <c r="Y331" s="439"/>
      <c r="Z331" s="439"/>
      <c r="AA331" s="439"/>
    </row>
    <row r="332" spans="1:27" ht="15" customHeight="1">
      <c r="A332" s="63">
        <f t="shared" si="54"/>
        <v>329</v>
      </c>
      <c r="B332" s="63" t="s">
        <v>1308</v>
      </c>
      <c r="C332" s="63" t="s">
        <v>622</v>
      </c>
      <c r="D332" s="63" t="s">
        <v>1989</v>
      </c>
      <c r="E332" s="64">
        <v>1984</v>
      </c>
      <c r="F332" s="65" t="s">
        <v>189</v>
      </c>
      <c r="G332" s="389">
        <f t="shared" si="53"/>
        <v>0.66999999999999993</v>
      </c>
      <c r="H332" s="389">
        <f t="shared" si="53"/>
        <v>0.59</v>
      </c>
      <c r="I332" s="389">
        <f t="shared" si="53"/>
        <v>0.49999999999999989</v>
      </c>
      <c r="J332" s="389">
        <f t="shared" si="53"/>
        <v>0.42</v>
      </c>
      <c r="K332" s="389">
        <f t="shared" si="53"/>
        <v>0.36</v>
      </c>
      <c r="L332" s="720">
        <v>0.06</v>
      </c>
      <c r="M332" s="63" t="s">
        <v>660</v>
      </c>
      <c r="N332" s="440">
        <v>4.4999999999999998E-2</v>
      </c>
      <c r="O332" s="390">
        <v>6.0000000000000001E-3</v>
      </c>
      <c r="P332" s="390">
        <v>0</v>
      </c>
      <c r="Q332" s="390">
        <v>0</v>
      </c>
      <c r="R332" s="390">
        <v>0</v>
      </c>
      <c r="S332" s="63" t="s">
        <v>476</v>
      </c>
      <c r="T332" s="63"/>
      <c r="U332" s="1039"/>
      <c r="V332" s="1039"/>
      <c r="W332" s="1039"/>
      <c r="X332" s="64" t="s">
        <v>2364</v>
      </c>
      <c r="Y332" s="439"/>
      <c r="Z332" s="439"/>
      <c r="AA332" s="439"/>
    </row>
    <row r="333" spans="1:27" ht="15" customHeight="1">
      <c r="A333" s="63">
        <f t="shared" si="54"/>
        <v>330</v>
      </c>
      <c r="B333" s="63" t="s">
        <v>1308</v>
      </c>
      <c r="C333" s="63" t="s">
        <v>622</v>
      </c>
      <c r="D333" s="63" t="s">
        <v>1964</v>
      </c>
      <c r="E333" s="64">
        <v>1984</v>
      </c>
      <c r="F333" s="65" t="s">
        <v>189</v>
      </c>
      <c r="G333" s="389">
        <f t="shared" si="53"/>
        <v>0.66999999999999993</v>
      </c>
      <c r="H333" s="389">
        <f t="shared" si="53"/>
        <v>0.59</v>
      </c>
      <c r="I333" s="389">
        <f t="shared" si="53"/>
        <v>0.49999999999999989</v>
      </c>
      <c r="J333" s="389">
        <f t="shared" si="53"/>
        <v>0.42</v>
      </c>
      <c r="K333" s="389">
        <f t="shared" si="53"/>
        <v>0.36</v>
      </c>
      <c r="L333" s="720">
        <v>0.06</v>
      </c>
      <c r="M333" s="63" t="s">
        <v>660</v>
      </c>
      <c r="N333" s="440">
        <v>4.4999999999999998E-2</v>
      </c>
      <c r="O333" s="390">
        <v>6.0000000000000001E-3</v>
      </c>
      <c r="P333" s="390">
        <v>0</v>
      </c>
      <c r="Q333" s="390">
        <v>0</v>
      </c>
      <c r="R333" s="390">
        <v>0</v>
      </c>
      <c r="S333" s="63" t="s">
        <v>476</v>
      </c>
      <c r="T333" s="63"/>
      <c r="U333" s="1039"/>
      <c r="V333" s="1039"/>
      <c r="W333" s="1039"/>
      <c r="X333" s="64" t="s">
        <v>2364</v>
      </c>
      <c r="Y333" s="439"/>
      <c r="Z333" s="439"/>
      <c r="AA333" s="439"/>
    </row>
    <row r="334" spans="1:27" ht="15" customHeight="1">
      <c r="A334" s="63">
        <f t="shared" si="54"/>
        <v>331</v>
      </c>
      <c r="B334" s="63" t="s">
        <v>1308</v>
      </c>
      <c r="C334" s="63" t="s">
        <v>622</v>
      </c>
      <c r="D334" s="63" t="s">
        <v>2373</v>
      </c>
      <c r="E334" s="64">
        <v>1984</v>
      </c>
      <c r="F334" s="65" t="s">
        <v>189</v>
      </c>
      <c r="G334" s="389">
        <f t="shared" si="53"/>
        <v>0.66999999999999993</v>
      </c>
      <c r="H334" s="389">
        <f t="shared" si="53"/>
        <v>0.59</v>
      </c>
      <c r="I334" s="389">
        <f t="shared" si="53"/>
        <v>0.49999999999999989</v>
      </c>
      <c r="J334" s="389">
        <f t="shared" si="53"/>
        <v>0.42</v>
      </c>
      <c r="K334" s="389">
        <f t="shared" si="53"/>
        <v>0.36</v>
      </c>
      <c r="L334" s="720">
        <v>0.06</v>
      </c>
      <c r="M334" s="63" t="s">
        <v>660</v>
      </c>
      <c r="N334" s="440">
        <v>4.4999999999999998E-2</v>
      </c>
      <c r="O334" s="390">
        <v>6.0000000000000001E-3</v>
      </c>
      <c r="P334" s="390">
        <v>0</v>
      </c>
      <c r="Q334" s="390">
        <v>0</v>
      </c>
      <c r="R334" s="390">
        <v>0</v>
      </c>
      <c r="S334" s="63" t="s">
        <v>476</v>
      </c>
      <c r="T334" s="63"/>
      <c r="U334" s="1039"/>
      <c r="V334" s="1039"/>
      <c r="W334" s="1039"/>
      <c r="X334" s="64" t="s">
        <v>2364</v>
      </c>
      <c r="Y334" s="439"/>
      <c r="Z334" s="439"/>
      <c r="AA334" s="439"/>
    </row>
    <row r="335" spans="1:27" ht="15" customHeight="1">
      <c r="A335" s="63">
        <f t="shared" si="54"/>
        <v>332</v>
      </c>
      <c r="B335" s="63" t="s">
        <v>1308</v>
      </c>
      <c r="C335" s="63" t="s">
        <v>622</v>
      </c>
      <c r="D335" s="63" t="s">
        <v>1990</v>
      </c>
      <c r="E335" s="64">
        <v>1984</v>
      </c>
      <c r="F335" s="65" t="s">
        <v>189</v>
      </c>
      <c r="G335" s="389">
        <f t="shared" si="53"/>
        <v>0.66999999999999993</v>
      </c>
      <c r="H335" s="389">
        <f t="shared" si="53"/>
        <v>0.59</v>
      </c>
      <c r="I335" s="389">
        <f t="shared" si="53"/>
        <v>0.49999999999999989</v>
      </c>
      <c r="J335" s="389">
        <f t="shared" si="53"/>
        <v>0.42</v>
      </c>
      <c r="K335" s="389">
        <f t="shared" si="53"/>
        <v>0.36</v>
      </c>
      <c r="L335" s="720">
        <v>0.06</v>
      </c>
      <c r="M335" s="63" t="s">
        <v>660</v>
      </c>
      <c r="N335" s="440">
        <v>4.4999999999999998E-2</v>
      </c>
      <c r="O335" s="390">
        <v>6.0000000000000001E-3</v>
      </c>
      <c r="P335" s="390">
        <v>0</v>
      </c>
      <c r="Q335" s="390">
        <v>0</v>
      </c>
      <c r="R335" s="390">
        <v>0</v>
      </c>
      <c r="S335" s="63" t="s">
        <v>476</v>
      </c>
      <c r="T335" s="63"/>
      <c r="U335" s="1039"/>
      <c r="V335" s="1039"/>
      <c r="W335" s="1039"/>
      <c r="X335" s="64" t="s">
        <v>2364</v>
      </c>
      <c r="Y335" s="439"/>
      <c r="Z335" s="439"/>
      <c r="AA335" s="439"/>
    </row>
    <row r="336" spans="1:27" ht="15" customHeight="1">
      <c r="A336" s="63">
        <f t="shared" si="54"/>
        <v>333</v>
      </c>
      <c r="B336" s="63" t="s">
        <v>1308</v>
      </c>
      <c r="C336" s="63" t="s">
        <v>622</v>
      </c>
      <c r="D336" s="63" t="s">
        <v>2374</v>
      </c>
      <c r="E336" s="64">
        <v>2995</v>
      </c>
      <c r="F336" s="65" t="s">
        <v>189</v>
      </c>
      <c r="G336" s="389">
        <f t="shared" si="53"/>
        <v>0.65999999999999992</v>
      </c>
      <c r="H336" s="389">
        <f t="shared" si="53"/>
        <v>0.57999999999999996</v>
      </c>
      <c r="I336" s="389">
        <f t="shared" si="53"/>
        <v>0.48999999999999988</v>
      </c>
      <c r="J336" s="389">
        <f t="shared" si="53"/>
        <v>0.41</v>
      </c>
      <c r="K336" s="389">
        <f t="shared" si="53"/>
        <v>0.35</v>
      </c>
      <c r="L336" s="720">
        <v>0.06</v>
      </c>
      <c r="M336" s="63" t="s">
        <v>3161</v>
      </c>
      <c r="N336" s="440">
        <v>4.4999999999999998E-2</v>
      </c>
      <c r="O336" s="390">
        <v>6.0000000000000001E-3</v>
      </c>
      <c r="P336" s="390">
        <v>0</v>
      </c>
      <c r="Q336" s="390">
        <v>0</v>
      </c>
      <c r="R336" s="390">
        <v>0</v>
      </c>
      <c r="S336" s="63" t="s">
        <v>476</v>
      </c>
      <c r="T336" s="63"/>
      <c r="U336" s="1039"/>
      <c r="V336" s="1039"/>
      <c r="W336" s="1039"/>
      <c r="X336" s="64" t="s">
        <v>2364</v>
      </c>
      <c r="Y336" s="439"/>
      <c r="Z336" s="439"/>
      <c r="AA336" s="439"/>
    </row>
    <row r="337" spans="1:27" ht="15" customHeight="1">
      <c r="A337" s="63">
        <f t="shared" si="54"/>
        <v>334</v>
      </c>
      <c r="B337" s="63" t="s">
        <v>1308</v>
      </c>
      <c r="C337" s="63" t="s">
        <v>622</v>
      </c>
      <c r="D337" s="63" t="s">
        <v>1991</v>
      </c>
      <c r="E337" s="64">
        <v>2995</v>
      </c>
      <c r="F337" s="65" t="s">
        <v>189</v>
      </c>
      <c r="G337" s="389">
        <f t="shared" si="53"/>
        <v>0.65999999999999992</v>
      </c>
      <c r="H337" s="389">
        <f t="shared" si="53"/>
        <v>0.57999999999999996</v>
      </c>
      <c r="I337" s="389">
        <f t="shared" si="53"/>
        <v>0.48999999999999988</v>
      </c>
      <c r="J337" s="389">
        <f t="shared" si="53"/>
        <v>0.41</v>
      </c>
      <c r="K337" s="389">
        <f t="shared" si="53"/>
        <v>0.35</v>
      </c>
      <c r="L337" s="720">
        <v>0.06</v>
      </c>
      <c r="M337" s="63" t="s">
        <v>3176</v>
      </c>
      <c r="N337" s="440">
        <v>4.4999999999999998E-2</v>
      </c>
      <c r="O337" s="390">
        <v>6.0000000000000001E-3</v>
      </c>
      <c r="P337" s="390">
        <v>0</v>
      </c>
      <c r="Q337" s="390">
        <v>0</v>
      </c>
      <c r="R337" s="390">
        <v>0</v>
      </c>
      <c r="S337" s="63" t="s">
        <v>476</v>
      </c>
      <c r="T337" s="63"/>
      <c r="U337" s="1039"/>
      <c r="V337" s="1039"/>
      <c r="W337" s="1039"/>
      <c r="X337" s="64" t="s">
        <v>2364</v>
      </c>
      <c r="Y337" s="439"/>
      <c r="Z337" s="439"/>
      <c r="AA337" s="439"/>
    </row>
    <row r="338" spans="1:27" ht="15" customHeight="1">
      <c r="A338" s="63">
        <f t="shared" si="54"/>
        <v>335</v>
      </c>
      <c r="B338" s="63" t="s">
        <v>1308</v>
      </c>
      <c r="C338" s="63" t="s">
        <v>622</v>
      </c>
      <c r="D338" s="1234" t="s">
        <v>1992</v>
      </c>
      <c r="E338" s="64">
        <v>2967</v>
      </c>
      <c r="F338" s="65" t="s">
        <v>189</v>
      </c>
      <c r="G338" s="389">
        <f t="shared" si="53"/>
        <v>0.69</v>
      </c>
      <c r="H338" s="389">
        <f t="shared" si="53"/>
        <v>0.61</v>
      </c>
      <c r="I338" s="389">
        <f t="shared" si="53"/>
        <v>0.51999999999999991</v>
      </c>
      <c r="J338" s="389">
        <f t="shared" si="53"/>
        <v>0.44</v>
      </c>
      <c r="K338" s="389">
        <f t="shared" si="53"/>
        <v>0.38</v>
      </c>
      <c r="L338" s="720">
        <v>0.06</v>
      </c>
      <c r="M338" s="63" t="s">
        <v>323</v>
      </c>
      <c r="N338" s="440">
        <v>4.4999999999999998E-2</v>
      </c>
      <c r="O338" s="390">
        <v>6.0000000000000001E-3</v>
      </c>
      <c r="P338" s="390">
        <v>0</v>
      </c>
      <c r="Q338" s="390">
        <v>0</v>
      </c>
      <c r="R338" s="390">
        <v>0</v>
      </c>
      <c r="S338" s="63" t="s">
        <v>476</v>
      </c>
      <c r="T338" s="63"/>
      <c r="U338" s="1039"/>
      <c r="V338" s="1039"/>
      <c r="W338" s="1039"/>
      <c r="X338" s="64" t="s">
        <v>2364</v>
      </c>
      <c r="Y338" s="439"/>
      <c r="Z338" s="439"/>
      <c r="AA338" s="439"/>
    </row>
    <row r="339" spans="1:27" ht="15" customHeight="1">
      <c r="A339" s="63">
        <f t="shared" si="54"/>
        <v>336</v>
      </c>
      <c r="B339" s="63" t="s">
        <v>1308</v>
      </c>
      <c r="C339" s="63" t="s">
        <v>622</v>
      </c>
      <c r="D339" s="1234" t="s">
        <v>1993</v>
      </c>
      <c r="E339" s="64">
        <v>2967</v>
      </c>
      <c r="F339" s="65" t="s">
        <v>189</v>
      </c>
      <c r="G339" s="389">
        <f t="shared" si="53"/>
        <v>0.69</v>
      </c>
      <c r="H339" s="389">
        <f t="shared" si="53"/>
        <v>0.61</v>
      </c>
      <c r="I339" s="389">
        <f t="shared" si="53"/>
        <v>0.51999999999999991</v>
      </c>
      <c r="J339" s="389">
        <f t="shared" si="53"/>
        <v>0.44</v>
      </c>
      <c r="K339" s="389">
        <f t="shared" si="53"/>
        <v>0.38</v>
      </c>
      <c r="L339" s="720">
        <v>0.06</v>
      </c>
      <c r="M339" s="63" t="s">
        <v>323</v>
      </c>
      <c r="N339" s="440">
        <v>4.4999999999999998E-2</v>
      </c>
      <c r="O339" s="390">
        <v>6.0000000000000001E-3</v>
      </c>
      <c r="P339" s="390">
        <v>0</v>
      </c>
      <c r="Q339" s="390">
        <v>0</v>
      </c>
      <c r="R339" s="390">
        <v>0</v>
      </c>
      <c r="S339" s="63" t="s">
        <v>476</v>
      </c>
      <c r="T339" s="63"/>
      <c r="U339" s="1039"/>
      <c r="V339" s="1039"/>
      <c r="W339" s="1039"/>
      <c r="X339" s="64" t="s">
        <v>2364</v>
      </c>
      <c r="Y339" s="439"/>
      <c r="Z339" s="439"/>
      <c r="AA339" s="439"/>
    </row>
    <row r="340" spans="1:27" ht="15" customHeight="1">
      <c r="A340" s="63">
        <f t="shared" si="54"/>
        <v>337</v>
      </c>
      <c r="B340" s="63" t="s">
        <v>1308</v>
      </c>
      <c r="C340" s="63" t="s">
        <v>622</v>
      </c>
      <c r="D340" s="1234" t="s">
        <v>1994</v>
      </c>
      <c r="E340" s="64">
        <v>2967</v>
      </c>
      <c r="F340" s="65" t="s">
        <v>620</v>
      </c>
      <c r="G340" s="389">
        <f t="shared" si="53"/>
        <v>0.69</v>
      </c>
      <c r="H340" s="389">
        <f t="shared" si="53"/>
        <v>0.61</v>
      </c>
      <c r="I340" s="389">
        <f t="shared" si="53"/>
        <v>0.51999999999999991</v>
      </c>
      <c r="J340" s="389">
        <f t="shared" si="53"/>
        <v>0.44</v>
      </c>
      <c r="K340" s="389">
        <f t="shared" si="53"/>
        <v>0.38</v>
      </c>
      <c r="L340" s="720">
        <v>0.06</v>
      </c>
      <c r="M340" s="63" t="s">
        <v>323</v>
      </c>
      <c r="N340" s="440">
        <v>4.4999999999999998E-2</v>
      </c>
      <c r="O340" s="390">
        <v>6.0000000000000001E-3</v>
      </c>
      <c r="P340" s="390">
        <v>0</v>
      </c>
      <c r="Q340" s="390">
        <v>0</v>
      </c>
      <c r="R340" s="390">
        <v>0</v>
      </c>
      <c r="S340" s="63" t="s">
        <v>476</v>
      </c>
      <c r="T340" s="63"/>
      <c r="U340" s="1039"/>
      <c r="V340" s="1039"/>
      <c r="W340" s="1039"/>
      <c r="X340" s="64" t="s">
        <v>2364</v>
      </c>
      <c r="Y340" s="439"/>
      <c r="Z340" s="439"/>
      <c r="AA340" s="439"/>
    </row>
    <row r="341" spans="1:27" ht="15" customHeight="1">
      <c r="A341" s="63">
        <f t="shared" si="54"/>
        <v>338</v>
      </c>
      <c r="B341" s="63" t="s">
        <v>1308</v>
      </c>
      <c r="C341" s="63" t="s">
        <v>622</v>
      </c>
      <c r="D341" s="1234" t="s">
        <v>1995</v>
      </c>
      <c r="E341" s="64">
        <v>2995</v>
      </c>
      <c r="F341" s="65" t="s">
        <v>189</v>
      </c>
      <c r="G341" s="389">
        <f t="shared" si="53"/>
        <v>0.69</v>
      </c>
      <c r="H341" s="389">
        <f t="shared" si="53"/>
        <v>0.61</v>
      </c>
      <c r="I341" s="389">
        <f t="shared" si="53"/>
        <v>0.51999999999999991</v>
      </c>
      <c r="J341" s="389">
        <f t="shared" si="53"/>
        <v>0.44</v>
      </c>
      <c r="K341" s="389">
        <f t="shared" si="53"/>
        <v>0.38</v>
      </c>
      <c r="L341" s="720">
        <v>0.06</v>
      </c>
      <c r="M341" s="63" t="s">
        <v>323</v>
      </c>
      <c r="N341" s="440">
        <v>4.4999999999999998E-2</v>
      </c>
      <c r="O341" s="390">
        <v>6.0000000000000001E-3</v>
      </c>
      <c r="P341" s="390">
        <v>0</v>
      </c>
      <c r="Q341" s="390">
        <v>0</v>
      </c>
      <c r="R341" s="390">
        <v>0</v>
      </c>
      <c r="S341" s="63" t="s">
        <v>476</v>
      </c>
      <c r="T341" s="63"/>
      <c r="U341" s="1039"/>
      <c r="V341" s="1039"/>
      <c r="W341" s="1039"/>
      <c r="X341" s="64" t="s">
        <v>2364</v>
      </c>
      <c r="Y341" s="439"/>
      <c r="Z341" s="439"/>
      <c r="AA341" s="439"/>
    </row>
    <row r="342" spans="1:27" ht="15" customHeight="1">
      <c r="A342" s="63">
        <f t="shared" si="54"/>
        <v>339</v>
      </c>
      <c r="B342" s="63" t="s">
        <v>1308</v>
      </c>
      <c r="C342" s="63" t="s">
        <v>622</v>
      </c>
      <c r="D342" s="1234" t="s">
        <v>2593</v>
      </c>
      <c r="E342" s="64">
        <v>3996</v>
      </c>
      <c r="F342" s="65" t="s">
        <v>189</v>
      </c>
      <c r="G342" s="389">
        <f t="shared" si="53"/>
        <v>0.65999999999999992</v>
      </c>
      <c r="H342" s="389">
        <f t="shared" si="53"/>
        <v>0.57999999999999996</v>
      </c>
      <c r="I342" s="389">
        <f t="shared" si="53"/>
        <v>0.48999999999999988</v>
      </c>
      <c r="J342" s="389">
        <f t="shared" si="53"/>
        <v>0.41</v>
      </c>
      <c r="K342" s="389">
        <f t="shared" si="53"/>
        <v>0.35</v>
      </c>
      <c r="L342" s="720">
        <v>0.06</v>
      </c>
      <c r="M342" s="63" t="s">
        <v>3161</v>
      </c>
      <c r="N342" s="440">
        <v>4.4999999999999998E-2</v>
      </c>
      <c r="O342" s="390">
        <v>6.0000000000000001E-3</v>
      </c>
      <c r="P342" s="390">
        <v>0</v>
      </c>
      <c r="Q342" s="390">
        <v>0</v>
      </c>
      <c r="R342" s="390">
        <v>0</v>
      </c>
      <c r="S342" s="63" t="s">
        <v>476</v>
      </c>
      <c r="T342" s="63"/>
      <c r="U342" s="1039"/>
      <c r="V342" s="1039"/>
      <c r="W342" s="1039"/>
      <c r="X342" s="64" t="s">
        <v>2364</v>
      </c>
      <c r="Y342" s="439"/>
      <c r="Z342" s="439"/>
      <c r="AA342" s="439"/>
    </row>
    <row r="343" spans="1:27" ht="15" customHeight="1">
      <c r="A343" s="63">
        <f t="shared" si="54"/>
        <v>340</v>
      </c>
      <c r="B343" s="63" t="s">
        <v>1308</v>
      </c>
      <c r="C343" s="63" t="s">
        <v>622</v>
      </c>
      <c r="D343" s="1234" t="s">
        <v>1996</v>
      </c>
      <c r="E343" s="64">
        <v>2967</v>
      </c>
      <c r="F343" s="65" t="s">
        <v>189</v>
      </c>
      <c r="G343" s="389">
        <f t="shared" si="53"/>
        <v>0.69</v>
      </c>
      <c r="H343" s="389">
        <f t="shared" si="53"/>
        <v>0.61</v>
      </c>
      <c r="I343" s="389">
        <f t="shared" si="53"/>
        <v>0.51999999999999991</v>
      </c>
      <c r="J343" s="389">
        <f t="shared" si="53"/>
        <v>0.44</v>
      </c>
      <c r="K343" s="389">
        <f t="shared" si="53"/>
        <v>0.38</v>
      </c>
      <c r="L343" s="720">
        <v>0.06</v>
      </c>
      <c r="M343" s="63" t="s">
        <v>323</v>
      </c>
      <c r="N343" s="440">
        <v>4.4999999999999998E-2</v>
      </c>
      <c r="O343" s="390">
        <v>6.0000000000000001E-3</v>
      </c>
      <c r="P343" s="390">
        <v>0</v>
      </c>
      <c r="Q343" s="390">
        <v>0</v>
      </c>
      <c r="R343" s="390">
        <v>0</v>
      </c>
      <c r="S343" s="63" t="s">
        <v>476</v>
      </c>
      <c r="T343" s="63"/>
      <c r="U343" s="1039"/>
      <c r="V343" s="1039"/>
      <c r="W343" s="1039"/>
      <c r="X343" s="64" t="s">
        <v>2364</v>
      </c>
      <c r="Y343" s="439"/>
      <c r="Z343" s="439"/>
      <c r="AA343" s="439"/>
    </row>
    <row r="344" spans="1:27" ht="15" customHeight="1">
      <c r="A344" s="63">
        <f t="shared" si="54"/>
        <v>341</v>
      </c>
      <c r="B344" s="63" t="s">
        <v>1308</v>
      </c>
      <c r="C344" s="63" t="s">
        <v>622</v>
      </c>
      <c r="D344" s="1234" t="s">
        <v>1390</v>
      </c>
      <c r="E344" s="64">
        <v>2967</v>
      </c>
      <c r="F344" s="65" t="s">
        <v>189</v>
      </c>
      <c r="G344" s="389">
        <f t="shared" si="53"/>
        <v>0.69</v>
      </c>
      <c r="H344" s="389">
        <f t="shared" si="53"/>
        <v>0.61</v>
      </c>
      <c r="I344" s="389">
        <f t="shared" si="53"/>
        <v>0.51999999999999991</v>
      </c>
      <c r="J344" s="389">
        <f t="shared" si="53"/>
        <v>0.44</v>
      </c>
      <c r="K344" s="389">
        <f t="shared" si="53"/>
        <v>0.38</v>
      </c>
      <c r="L344" s="720">
        <v>0.06</v>
      </c>
      <c r="M344" s="63" t="s">
        <v>323</v>
      </c>
      <c r="N344" s="440">
        <v>4.4999999999999998E-2</v>
      </c>
      <c r="O344" s="390">
        <v>6.0000000000000001E-3</v>
      </c>
      <c r="P344" s="390">
        <v>0</v>
      </c>
      <c r="Q344" s="390">
        <v>0</v>
      </c>
      <c r="R344" s="390">
        <v>0</v>
      </c>
      <c r="S344" s="63" t="s">
        <v>476</v>
      </c>
      <c r="T344" s="63"/>
      <c r="U344" s="1039"/>
      <c r="V344" s="1039"/>
      <c r="W344" s="1039"/>
      <c r="X344" s="64" t="s">
        <v>2364</v>
      </c>
      <c r="Y344" s="439"/>
      <c r="Z344" s="439"/>
      <c r="AA344" s="439"/>
    </row>
    <row r="345" spans="1:27" ht="15" customHeight="1">
      <c r="A345" s="63">
        <f t="shared" si="54"/>
        <v>342</v>
      </c>
      <c r="B345" s="63" t="s">
        <v>1308</v>
      </c>
      <c r="C345" s="63" t="s">
        <v>622</v>
      </c>
      <c r="D345" s="1234" t="s">
        <v>1965</v>
      </c>
      <c r="E345" s="64">
        <v>2967</v>
      </c>
      <c r="F345" s="65" t="s">
        <v>189</v>
      </c>
      <c r="G345" s="389">
        <f t="shared" si="53"/>
        <v>0.69</v>
      </c>
      <c r="H345" s="389">
        <f t="shared" si="53"/>
        <v>0.61</v>
      </c>
      <c r="I345" s="389">
        <f t="shared" si="53"/>
        <v>0.51999999999999991</v>
      </c>
      <c r="J345" s="389">
        <f t="shared" si="53"/>
        <v>0.44</v>
      </c>
      <c r="K345" s="389">
        <f t="shared" si="53"/>
        <v>0.38</v>
      </c>
      <c r="L345" s="720">
        <v>0.06</v>
      </c>
      <c r="M345" s="63" t="s">
        <v>323</v>
      </c>
      <c r="N345" s="440">
        <v>4.4999999999999998E-2</v>
      </c>
      <c r="O345" s="390">
        <v>6.0000000000000001E-3</v>
      </c>
      <c r="P345" s="390">
        <v>0</v>
      </c>
      <c r="Q345" s="390">
        <v>0</v>
      </c>
      <c r="R345" s="390">
        <v>0</v>
      </c>
      <c r="S345" s="63" t="s">
        <v>476</v>
      </c>
      <c r="T345" s="63"/>
      <c r="U345" s="1039"/>
      <c r="V345" s="1039"/>
      <c r="W345" s="1039"/>
      <c r="X345" s="64" t="s">
        <v>2364</v>
      </c>
      <c r="Y345" s="439"/>
      <c r="Z345" s="439"/>
      <c r="AA345" s="439"/>
    </row>
    <row r="346" spans="1:27" ht="15" customHeight="1">
      <c r="A346" s="63">
        <f t="shared" si="54"/>
        <v>343</v>
      </c>
      <c r="B346" s="63" t="s">
        <v>1308</v>
      </c>
      <c r="C346" s="63" t="s">
        <v>622</v>
      </c>
      <c r="D346" s="1234" t="s">
        <v>694</v>
      </c>
      <c r="E346" s="64">
        <v>2995</v>
      </c>
      <c r="F346" s="65" t="s">
        <v>189</v>
      </c>
      <c r="G346" s="389">
        <f t="shared" si="53"/>
        <v>0.69</v>
      </c>
      <c r="H346" s="389">
        <f t="shared" si="53"/>
        <v>0.61</v>
      </c>
      <c r="I346" s="389">
        <f t="shared" si="53"/>
        <v>0.51999999999999991</v>
      </c>
      <c r="J346" s="389">
        <f t="shared" si="53"/>
        <v>0.44</v>
      </c>
      <c r="K346" s="389">
        <f t="shared" si="53"/>
        <v>0.38</v>
      </c>
      <c r="L346" s="720">
        <v>0.06</v>
      </c>
      <c r="M346" s="63" t="s">
        <v>323</v>
      </c>
      <c r="N346" s="440">
        <v>4.4999999999999998E-2</v>
      </c>
      <c r="O346" s="390">
        <v>6.0000000000000001E-3</v>
      </c>
      <c r="P346" s="390">
        <v>0</v>
      </c>
      <c r="Q346" s="390">
        <v>0</v>
      </c>
      <c r="R346" s="390">
        <v>0</v>
      </c>
      <c r="S346" s="63" t="s">
        <v>476</v>
      </c>
      <c r="T346" s="63"/>
      <c r="U346" s="1039"/>
      <c r="V346" s="1039"/>
      <c r="W346" s="1039"/>
      <c r="X346" s="64" t="s">
        <v>2364</v>
      </c>
      <c r="Y346" s="439"/>
      <c r="Z346" s="439"/>
      <c r="AA346" s="439"/>
    </row>
    <row r="347" spans="1:27" ht="15" customHeight="1">
      <c r="A347" s="63">
        <f t="shared" si="54"/>
        <v>344</v>
      </c>
      <c r="B347" s="63" t="s">
        <v>1308</v>
      </c>
      <c r="C347" s="63" t="s">
        <v>622</v>
      </c>
      <c r="D347" s="1234" t="s">
        <v>1966</v>
      </c>
      <c r="E347" s="64">
        <v>3996</v>
      </c>
      <c r="F347" s="65" t="s">
        <v>189</v>
      </c>
      <c r="G347" s="389">
        <f t="shared" si="53"/>
        <v>0.59</v>
      </c>
      <c r="H347" s="389">
        <f t="shared" si="53"/>
        <v>0.51</v>
      </c>
      <c r="I347" s="389">
        <f t="shared" si="53"/>
        <v>0.42</v>
      </c>
      <c r="J347" s="389">
        <f t="shared" si="53"/>
        <v>0.34</v>
      </c>
      <c r="K347" s="389">
        <f t="shared" si="53"/>
        <v>0.28000000000000003</v>
      </c>
      <c r="L347" s="720">
        <v>0.06</v>
      </c>
      <c r="M347" s="63" t="s">
        <v>3177</v>
      </c>
      <c r="N347" s="440">
        <v>4.4999999999999998E-2</v>
      </c>
      <c r="O347" s="390">
        <v>6.0000000000000001E-3</v>
      </c>
      <c r="P347" s="390">
        <v>0</v>
      </c>
      <c r="Q347" s="390">
        <v>0</v>
      </c>
      <c r="R347" s="390">
        <v>0</v>
      </c>
      <c r="S347" s="63" t="s">
        <v>476</v>
      </c>
      <c r="T347" s="63"/>
      <c r="U347" s="1039"/>
      <c r="V347" s="1039"/>
      <c r="W347" s="1039"/>
      <c r="X347" s="64" t="s">
        <v>2364</v>
      </c>
      <c r="Y347" s="439"/>
      <c r="Z347" s="439"/>
      <c r="AA347" s="439"/>
    </row>
    <row r="348" spans="1:27" ht="15" customHeight="1">
      <c r="A348" s="63">
        <f t="shared" si="54"/>
        <v>345</v>
      </c>
      <c r="B348" s="63" t="s">
        <v>1308</v>
      </c>
      <c r="C348" s="63" t="s">
        <v>622</v>
      </c>
      <c r="D348" s="63" t="s">
        <v>1967</v>
      </c>
      <c r="E348" s="64">
        <v>5204</v>
      </c>
      <c r="F348" s="65" t="s">
        <v>144</v>
      </c>
      <c r="G348" s="389">
        <f t="shared" si="53"/>
        <v>0.54</v>
      </c>
      <c r="H348" s="389">
        <f t="shared" si="53"/>
        <v>0.45999999999999996</v>
      </c>
      <c r="I348" s="389">
        <f t="shared" si="53"/>
        <v>0.37</v>
      </c>
      <c r="J348" s="389">
        <f t="shared" si="53"/>
        <v>0.28999999999999998</v>
      </c>
      <c r="K348" s="389">
        <f t="shared" si="53"/>
        <v>0.23</v>
      </c>
      <c r="L348" s="720">
        <v>0.06</v>
      </c>
      <c r="M348" s="63" t="s">
        <v>3178</v>
      </c>
      <c r="N348" s="440">
        <v>4.4999999999999998E-2</v>
      </c>
      <c r="O348" s="390">
        <v>6.0000000000000001E-3</v>
      </c>
      <c r="P348" s="390">
        <v>0</v>
      </c>
      <c r="Q348" s="390">
        <v>0</v>
      </c>
      <c r="R348" s="390">
        <v>0</v>
      </c>
      <c r="S348" s="63" t="s">
        <v>476</v>
      </c>
      <c r="T348" s="63"/>
      <c r="U348" s="1039"/>
      <c r="V348" s="1039"/>
      <c r="W348" s="1039"/>
      <c r="X348" s="64" t="s">
        <v>2364</v>
      </c>
      <c r="Y348" s="439"/>
      <c r="Z348" s="439"/>
      <c r="AA348" s="439"/>
    </row>
    <row r="349" spans="1:27" ht="15" customHeight="1">
      <c r="A349" s="63">
        <f t="shared" si="54"/>
        <v>346</v>
      </c>
      <c r="B349" s="63" t="s">
        <v>1308</v>
      </c>
      <c r="C349" s="63" t="s">
        <v>2368</v>
      </c>
      <c r="D349" s="63" t="s">
        <v>1997</v>
      </c>
      <c r="E349" s="64">
        <v>0</v>
      </c>
      <c r="F349" s="65" t="s">
        <v>190</v>
      </c>
      <c r="G349" s="389">
        <f t="shared" si="53"/>
        <v>0.69</v>
      </c>
      <c r="H349" s="389">
        <f t="shared" si="53"/>
        <v>0.61</v>
      </c>
      <c r="I349" s="389">
        <f t="shared" si="53"/>
        <v>0.51999999999999991</v>
      </c>
      <c r="J349" s="389">
        <f t="shared" si="53"/>
        <v>0.44</v>
      </c>
      <c r="K349" s="389">
        <f t="shared" si="53"/>
        <v>0.38</v>
      </c>
      <c r="L349" s="720">
        <v>0.06</v>
      </c>
      <c r="M349" s="63" t="s">
        <v>323</v>
      </c>
      <c r="N349" s="440">
        <v>4.4999999999999998E-2</v>
      </c>
      <c r="O349" s="390">
        <v>6.0000000000000001E-3</v>
      </c>
      <c r="P349" s="390">
        <v>0</v>
      </c>
      <c r="Q349" s="390">
        <v>0</v>
      </c>
      <c r="R349" s="390">
        <v>0</v>
      </c>
      <c r="S349" s="63" t="s">
        <v>476</v>
      </c>
      <c r="T349" s="63"/>
      <c r="U349" s="1039"/>
      <c r="V349" s="1039"/>
      <c r="W349" s="1039"/>
      <c r="X349" s="64" t="s">
        <v>2364</v>
      </c>
      <c r="Y349" s="439"/>
      <c r="Z349" s="439"/>
      <c r="AA349" s="439"/>
    </row>
    <row r="350" spans="1:27" ht="15" customHeight="1">
      <c r="A350" s="63">
        <f t="shared" si="54"/>
        <v>347</v>
      </c>
      <c r="B350" s="63" t="s">
        <v>1308</v>
      </c>
      <c r="C350" s="63" t="s">
        <v>622</v>
      </c>
      <c r="D350" s="63" t="s">
        <v>2221</v>
      </c>
      <c r="E350" s="64">
        <v>0</v>
      </c>
      <c r="F350" s="65" t="s">
        <v>190</v>
      </c>
      <c r="G350" s="389">
        <f t="shared" si="53"/>
        <v>0.69</v>
      </c>
      <c r="H350" s="389">
        <f t="shared" si="53"/>
        <v>0.61</v>
      </c>
      <c r="I350" s="389">
        <f t="shared" si="53"/>
        <v>0.51999999999999991</v>
      </c>
      <c r="J350" s="389">
        <f t="shared" si="53"/>
        <v>0.44</v>
      </c>
      <c r="K350" s="389">
        <f t="shared" si="53"/>
        <v>0.38</v>
      </c>
      <c r="L350" s="720">
        <v>0.06</v>
      </c>
      <c r="M350" s="63" t="s">
        <v>323</v>
      </c>
      <c r="N350" s="440">
        <v>4.4999999999999998E-2</v>
      </c>
      <c r="O350" s="390">
        <v>6.0000000000000001E-3</v>
      </c>
      <c r="P350" s="390">
        <v>0</v>
      </c>
      <c r="Q350" s="390">
        <v>0</v>
      </c>
      <c r="R350" s="390">
        <v>0</v>
      </c>
      <c r="S350" s="63" t="s">
        <v>476</v>
      </c>
      <c r="T350" s="63"/>
      <c r="U350" s="1039"/>
      <c r="V350" s="1039"/>
      <c r="W350" s="1039"/>
      <c r="X350" s="64" t="s">
        <v>2364</v>
      </c>
      <c r="Y350" s="439"/>
      <c r="Z350" s="439"/>
      <c r="AA350" s="439"/>
    </row>
    <row r="351" spans="1:27" ht="15" customHeight="1">
      <c r="A351" s="63">
        <f t="shared" si="54"/>
        <v>348</v>
      </c>
      <c r="B351" s="63" t="s">
        <v>1306</v>
      </c>
      <c r="C351" s="63" t="s">
        <v>622</v>
      </c>
      <c r="D351" s="63" t="s">
        <v>2486</v>
      </c>
      <c r="E351" s="64">
        <v>0</v>
      </c>
      <c r="F351" s="65" t="s">
        <v>190</v>
      </c>
      <c r="G351" s="389">
        <f t="shared" si="53"/>
        <v>0.69</v>
      </c>
      <c r="H351" s="389">
        <f t="shared" si="53"/>
        <v>0.61</v>
      </c>
      <c r="I351" s="389">
        <f t="shared" si="53"/>
        <v>0.51999999999999991</v>
      </c>
      <c r="J351" s="389">
        <f t="shared" si="53"/>
        <v>0.44</v>
      </c>
      <c r="K351" s="389">
        <f t="shared" si="53"/>
        <v>0.38</v>
      </c>
      <c r="L351" s="720">
        <v>0.06</v>
      </c>
      <c r="M351" s="63" t="s">
        <v>323</v>
      </c>
      <c r="N351" s="440">
        <v>4.4999999999999998E-2</v>
      </c>
      <c r="O351" s="390">
        <v>6.0000000000000001E-3</v>
      </c>
      <c r="P351" s="390">
        <v>0</v>
      </c>
      <c r="Q351" s="390">
        <v>0</v>
      </c>
      <c r="R351" s="390">
        <v>0</v>
      </c>
      <c r="S351" s="63" t="s">
        <v>476</v>
      </c>
      <c r="T351" s="63"/>
      <c r="U351" s="1039"/>
      <c r="V351" s="1039"/>
      <c r="W351" s="1039"/>
      <c r="X351" s="64" t="s">
        <v>2364</v>
      </c>
      <c r="Y351" s="439"/>
      <c r="Z351" s="439"/>
      <c r="AA351" s="439"/>
    </row>
    <row r="352" spans="1:27" ht="15" customHeight="1">
      <c r="A352" s="63">
        <f t="shared" si="54"/>
        <v>349</v>
      </c>
      <c r="B352" s="63" t="s">
        <v>1306</v>
      </c>
      <c r="C352" s="63" t="s">
        <v>622</v>
      </c>
      <c r="D352" s="63" t="s">
        <v>2487</v>
      </c>
      <c r="E352" s="64">
        <v>0</v>
      </c>
      <c r="F352" s="65" t="s">
        <v>190</v>
      </c>
      <c r="G352" s="389">
        <f t="shared" si="53"/>
        <v>0.69</v>
      </c>
      <c r="H352" s="389">
        <f t="shared" si="53"/>
        <v>0.61</v>
      </c>
      <c r="I352" s="389">
        <f t="shared" si="53"/>
        <v>0.51999999999999991</v>
      </c>
      <c r="J352" s="389">
        <f t="shared" si="53"/>
        <v>0.44</v>
      </c>
      <c r="K352" s="389">
        <f t="shared" si="53"/>
        <v>0.38</v>
      </c>
      <c r="L352" s="720">
        <v>0.06</v>
      </c>
      <c r="M352" s="63" t="s">
        <v>323</v>
      </c>
      <c r="N352" s="440">
        <v>4.4999999999999998E-2</v>
      </c>
      <c r="O352" s="390">
        <v>6.0000000000000001E-3</v>
      </c>
      <c r="P352" s="390">
        <v>0</v>
      </c>
      <c r="Q352" s="390">
        <v>0</v>
      </c>
      <c r="R352" s="390">
        <v>0</v>
      </c>
      <c r="S352" s="63" t="s">
        <v>476</v>
      </c>
      <c r="T352" s="63"/>
      <c r="U352" s="1039"/>
      <c r="V352" s="1039"/>
      <c r="W352" s="1039"/>
      <c r="X352" s="64" t="s">
        <v>2364</v>
      </c>
      <c r="Y352" s="439"/>
      <c r="Z352" s="439"/>
      <c r="AA352" s="439"/>
    </row>
    <row r="353" spans="1:53" ht="15" customHeight="1">
      <c r="A353" s="63">
        <f t="shared" si="54"/>
        <v>350</v>
      </c>
      <c r="B353" s="63" t="s">
        <v>1308</v>
      </c>
      <c r="C353" s="63" t="s">
        <v>622</v>
      </c>
      <c r="D353" s="63" t="s">
        <v>2376</v>
      </c>
      <c r="E353" s="64">
        <v>0</v>
      </c>
      <c r="F353" s="65" t="s">
        <v>190</v>
      </c>
      <c r="G353" s="389">
        <f t="shared" si="53"/>
        <v>0.54</v>
      </c>
      <c r="H353" s="389">
        <f t="shared" si="53"/>
        <v>0.45999999999999996</v>
      </c>
      <c r="I353" s="389">
        <f t="shared" si="53"/>
        <v>0.37</v>
      </c>
      <c r="J353" s="389">
        <f t="shared" si="53"/>
        <v>0.28999999999999998</v>
      </c>
      <c r="K353" s="389">
        <f t="shared" si="53"/>
        <v>0.23</v>
      </c>
      <c r="L353" s="720">
        <v>0.06</v>
      </c>
      <c r="M353" s="63" t="s">
        <v>3175</v>
      </c>
      <c r="N353" s="440">
        <v>4.4999999999999998E-2</v>
      </c>
      <c r="O353" s="390">
        <v>6.0000000000000001E-3</v>
      </c>
      <c r="P353" s="390">
        <v>0</v>
      </c>
      <c r="Q353" s="390">
        <v>0</v>
      </c>
      <c r="R353" s="390">
        <v>0</v>
      </c>
      <c r="S353" s="63" t="s">
        <v>476</v>
      </c>
      <c r="T353" s="63"/>
      <c r="U353" s="1039"/>
      <c r="V353" s="1039"/>
      <c r="W353" s="1039"/>
      <c r="X353" s="64" t="s">
        <v>2364</v>
      </c>
      <c r="Y353" s="439"/>
      <c r="Z353" s="439"/>
      <c r="AA353" s="439"/>
    </row>
    <row r="354" spans="1:53" ht="15" customHeight="1">
      <c r="A354" s="63">
        <f t="shared" si="54"/>
        <v>351</v>
      </c>
      <c r="B354" s="63" t="s">
        <v>1308</v>
      </c>
      <c r="C354" s="63" t="s">
        <v>622</v>
      </c>
      <c r="D354" s="63" t="s">
        <v>1998</v>
      </c>
      <c r="E354" s="64">
        <v>0</v>
      </c>
      <c r="F354" s="65" t="s">
        <v>190</v>
      </c>
      <c r="G354" s="389">
        <f t="shared" si="53"/>
        <v>0.54</v>
      </c>
      <c r="H354" s="389">
        <f t="shared" si="53"/>
        <v>0.45999999999999996</v>
      </c>
      <c r="I354" s="389">
        <f t="shared" si="53"/>
        <v>0.37</v>
      </c>
      <c r="J354" s="389">
        <f t="shared" si="53"/>
        <v>0.28999999999999998</v>
      </c>
      <c r="K354" s="389">
        <f t="shared" si="53"/>
        <v>0.23</v>
      </c>
      <c r="L354" s="720">
        <v>0.06</v>
      </c>
      <c r="M354" s="63" t="s">
        <v>3179</v>
      </c>
      <c r="N354" s="440">
        <v>4.4999999999999998E-2</v>
      </c>
      <c r="O354" s="390">
        <v>6.0000000000000001E-3</v>
      </c>
      <c r="P354" s="390">
        <v>0</v>
      </c>
      <c r="Q354" s="390">
        <v>0</v>
      </c>
      <c r="R354" s="390">
        <v>0</v>
      </c>
      <c r="S354" s="63" t="s">
        <v>476</v>
      </c>
      <c r="T354" s="63"/>
      <c r="U354" s="1039"/>
      <c r="V354" s="1039"/>
      <c r="W354" s="1039"/>
      <c r="X354" s="64" t="s">
        <v>2364</v>
      </c>
      <c r="Y354" s="439"/>
      <c r="Z354" s="439"/>
      <c r="AA354" s="439"/>
      <c r="AY354" s="1061"/>
      <c r="AZ354" s="1061"/>
      <c r="BA354" s="1061"/>
    </row>
    <row r="355" spans="1:53" ht="15" customHeight="1">
      <c r="A355" s="63">
        <f t="shared" si="54"/>
        <v>352</v>
      </c>
      <c r="B355" s="63" t="s">
        <v>1308</v>
      </c>
      <c r="C355" s="63" t="s">
        <v>622</v>
      </c>
      <c r="D355" s="63" t="s">
        <v>2375</v>
      </c>
      <c r="E355" s="64">
        <v>0</v>
      </c>
      <c r="F355" s="65" t="s">
        <v>190</v>
      </c>
      <c r="G355" s="389">
        <f t="shared" si="53"/>
        <v>0.54</v>
      </c>
      <c r="H355" s="389">
        <f t="shared" si="53"/>
        <v>0.45999999999999996</v>
      </c>
      <c r="I355" s="389">
        <f t="shared" si="53"/>
        <v>0.37</v>
      </c>
      <c r="J355" s="389">
        <f t="shared" si="53"/>
        <v>0.28999999999999998</v>
      </c>
      <c r="K355" s="389">
        <f t="shared" si="53"/>
        <v>0.23</v>
      </c>
      <c r="L355" s="720">
        <v>0.06</v>
      </c>
      <c r="M355" s="63" t="s">
        <v>3175</v>
      </c>
      <c r="N355" s="440">
        <v>4.4999999999999998E-2</v>
      </c>
      <c r="O355" s="390">
        <v>6.0000000000000001E-3</v>
      </c>
      <c r="P355" s="390">
        <v>0</v>
      </c>
      <c r="Q355" s="390">
        <v>0</v>
      </c>
      <c r="R355" s="390">
        <v>0</v>
      </c>
      <c r="S355" s="63" t="s">
        <v>476</v>
      </c>
      <c r="T355" s="63"/>
      <c r="U355" s="1039"/>
      <c r="V355" s="1039"/>
      <c r="W355" s="1039"/>
      <c r="X355" s="64" t="s">
        <v>2364</v>
      </c>
      <c r="Y355" s="439"/>
      <c r="Z355" s="439"/>
      <c r="AA355" s="439"/>
      <c r="AT355" s="1061"/>
      <c r="AU355" s="1061"/>
      <c r="AV355" s="1061"/>
      <c r="AW355" s="1061"/>
      <c r="AY355" s="1061"/>
      <c r="AZ355" s="1061"/>
      <c r="BA355" s="1061"/>
    </row>
    <row r="356" spans="1:53" ht="15" customHeight="1">
      <c r="A356" s="63">
        <f t="shared" si="54"/>
        <v>353</v>
      </c>
      <c r="B356" s="63" t="s">
        <v>1308</v>
      </c>
      <c r="C356" s="63" t="s">
        <v>622</v>
      </c>
      <c r="D356" s="63" t="s">
        <v>2222</v>
      </c>
      <c r="E356" s="64">
        <v>0</v>
      </c>
      <c r="F356" s="65" t="s">
        <v>2139</v>
      </c>
      <c r="G356" s="389">
        <f t="shared" si="53"/>
        <v>0.54</v>
      </c>
      <c r="H356" s="389">
        <f t="shared" si="53"/>
        <v>0.45999999999999996</v>
      </c>
      <c r="I356" s="389">
        <f t="shared" si="53"/>
        <v>0.37</v>
      </c>
      <c r="J356" s="389">
        <f t="shared" si="53"/>
        <v>0.28999999999999998</v>
      </c>
      <c r="K356" s="389">
        <f t="shared" si="53"/>
        <v>0.23</v>
      </c>
      <c r="L356" s="720">
        <v>0.06</v>
      </c>
      <c r="M356" s="63" t="s">
        <v>3175</v>
      </c>
      <c r="N356" s="440">
        <v>4.4999999999999998E-2</v>
      </c>
      <c r="O356" s="390">
        <v>6.0000000000000001E-3</v>
      </c>
      <c r="P356" s="390">
        <v>0</v>
      </c>
      <c r="Q356" s="390">
        <v>0</v>
      </c>
      <c r="R356" s="390">
        <v>0</v>
      </c>
      <c r="S356" s="63" t="s">
        <v>476</v>
      </c>
      <c r="T356" s="63"/>
      <c r="U356" s="1039"/>
      <c r="V356" s="1039"/>
      <c r="W356" s="1039"/>
      <c r="X356" s="64" t="s">
        <v>2364</v>
      </c>
      <c r="Y356" s="439"/>
      <c r="Z356" s="439"/>
      <c r="AA356" s="439"/>
      <c r="AT356" s="1061"/>
      <c r="AU356" s="1061"/>
      <c r="AV356" s="1061"/>
      <c r="AW356" s="1061"/>
      <c r="AY356" s="1061"/>
      <c r="AZ356" s="1061"/>
      <c r="BA356" s="1061"/>
    </row>
    <row r="357" spans="1:53" ht="15" customHeight="1">
      <c r="A357" s="63">
        <f t="shared" si="54"/>
        <v>354</v>
      </c>
      <c r="B357" s="63" t="s">
        <v>1308</v>
      </c>
      <c r="C357" s="63" t="s">
        <v>622</v>
      </c>
      <c r="D357" s="63" t="s">
        <v>1999</v>
      </c>
      <c r="E357" s="64">
        <v>0</v>
      </c>
      <c r="F357" s="65" t="s">
        <v>2139</v>
      </c>
      <c r="G357" s="389">
        <f t="shared" si="53"/>
        <v>0.54</v>
      </c>
      <c r="H357" s="389">
        <f t="shared" si="53"/>
        <v>0.45999999999999996</v>
      </c>
      <c r="I357" s="389">
        <f t="shared" si="53"/>
        <v>0.37</v>
      </c>
      <c r="J357" s="389">
        <f t="shared" si="53"/>
        <v>0.28999999999999998</v>
      </c>
      <c r="K357" s="389">
        <f t="shared" si="53"/>
        <v>0.23</v>
      </c>
      <c r="L357" s="720">
        <v>0.06</v>
      </c>
      <c r="M357" s="63" t="s">
        <v>3180</v>
      </c>
      <c r="N357" s="440">
        <v>4.4999999999999998E-2</v>
      </c>
      <c r="O357" s="390">
        <v>6.0000000000000001E-3</v>
      </c>
      <c r="P357" s="390">
        <v>0</v>
      </c>
      <c r="Q357" s="390">
        <v>0</v>
      </c>
      <c r="R357" s="390">
        <v>0</v>
      </c>
      <c r="S357" s="63" t="s">
        <v>476</v>
      </c>
      <c r="T357" s="63"/>
      <c r="U357" s="1039"/>
      <c r="V357" s="1039"/>
      <c r="W357" s="1039"/>
      <c r="X357" s="64" t="s">
        <v>2364</v>
      </c>
      <c r="Y357" s="439"/>
      <c r="Z357" s="439"/>
      <c r="AA357" s="439"/>
      <c r="AT357" s="1061"/>
      <c r="AU357" s="1061"/>
      <c r="AV357" s="1061"/>
      <c r="AW357" s="1061"/>
    </row>
    <row r="358" spans="1:53" ht="15" customHeight="1">
      <c r="A358" s="63">
        <f t="shared" si="54"/>
        <v>355</v>
      </c>
      <c r="B358" s="63" t="s">
        <v>2332</v>
      </c>
      <c r="C358" s="63" t="s">
        <v>622</v>
      </c>
      <c r="D358" s="63" t="s">
        <v>2376</v>
      </c>
      <c r="E358" s="64">
        <v>0</v>
      </c>
      <c r="F358" s="65" t="s">
        <v>190</v>
      </c>
      <c r="G358" s="389">
        <f t="shared" si="53"/>
        <v>0.54</v>
      </c>
      <c r="H358" s="389">
        <f t="shared" si="53"/>
        <v>0.45999999999999996</v>
      </c>
      <c r="I358" s="389">
        <f t="shared" si="53"/>
        <v>0.37</v>
      </c>
      <c r="J358" s="389">
        <f t="shared" si="53"/>
        <v>0.28999999999999998</v>
      </c>
      <c r="K358" s="389">
        <f t="shared" si="53"/>
        <v>0.23</v>
      </c>
      <c r="L358" s="720">
        <v>0.06</v>
      </c>
      <c r="M358" s="63" t="s">
        <v>3178</v>
      </c>
      <c r="N358" s="440">
        <v>4.4999999999999998E-2</v>
      </c>
      <c r="O358" s="390">
        <v>6.0000000000000001E-3</v>
      </c>
      <c r="P358" s="390">
        <v>0</v>
      </c>
      <c r="Q358" s="390">
        <v>0</v>
      </c>
      <c r="R358" s="390">
        <v>0</v>
      </c>
      <c r="S358" s="63" t="s">
        <v>476</v>
      </c>
      <c r="T358" s="63"/>
      <c r="U358" s="1039"/>
      <c r="V358" s="1039"/>
      <c r="W358" s="1039"/>
      <c r="X358" s="64" t="s">
        <v>2364</v>
      </c>
      <c r="Y358" s="439"/>
      <c r="Z358" s="439"/>
      <c r="AA358" s="439"/>
      <c r="AY358" s="1061"/>
      <c r="AZ358" s="1061"/>
      <c r="BA358" s="1061"/>
    </row>
    <row r="359" spans="1:53" ht="15" customHeight="1">
      <c r="A359" s="63">
        <f t="shared" si="54"/>
        <v>356</v>
      </c>
      <c r="B359" s="63" t="s">
        <v>1308</v>
      </c>
      <c r="C359" s="63" t="s">
        <v>622</v>
      </c>
      <c r="D359" s="63" t="s">
        <v>2377</v>
      </c>
      <c r="E359" s="64">
        <v>0</v>
      </c>
      <c r="F359" s="65" t="s">
        <v>190</v>
      </c>
      <c r="G359" s="389">
        <f t="shared" si="53"/>
        <v>0.59</v>
      </c>
      <c r="H359" s="389">
        <f t="shared" si="53"/>
        <v>0.51</v>
      </c>
      <c r="I359" s="389">
        <f t="shared" si="53"/>
        <v>0.42</v>
      </c>
      <c r="J359" s="389">
        <f t="shared" si="53"/>
        <v>0.34</v>
      </c>
      <c r="K359" s="389">
        <f t="shared" si="53"/>
        <v>0.28000000000000003</v>
      </c>
      <c r="L359" s="720">
        <v>0.06</v>
      </c>
      <c r="M359" s="63" t="s">
        <v>3182</v>
      </c>
      <c r="N359" s="440">
        <v>4.4999999999999998E-2</v>
      </c>
      <c r="O359" s="390">
        <v>6.0000000000000001E-3</v>
      </c>
      <c r="P359" s="390">
        <v>0</v>
      </c>
      <c r="Q359" s="390">
        <v>0</v>
      </c>
      <c r="R359" s="390">
        <v>0</v>
      </c>
      <c r="S359" s="63" t="s">
        <v>476</v>
      </c>
      <c r="T359" s="63"/>
      <c r="U359" s="1039"/>
      <c r="V359" s="1039"/>
      <c r="W359" s="1039"/>
      <c r="X359" s="64" t="s">
        <v>2364</v>
      </c>
      <c r="Y359" s="439"/>
      <c r="Z359" s="439"/>
      <c r="AA359" s="439"/>
      <c r="AT359" s="1061"/>
      <c r="AU359" s="1061"/>
      <c r="AV359" s="1061"/>
      <c r="AW359" s="1061"/>
    </row>
    <row r="360" spans="1:53" ht="15" customHeight="1">
      <c r="A360" s="63">
        <f t="shared" si="54"/>
        <v>357</v>
      </c>
      <c r="B360" s="63" t="s">
        <v>1308</v>
      </c>
      <c r="C360" s="63" t="s">
        <v>622</v>
      </c>
      <c r="D360" s="63" t="s">
        <v>2000</v>
      </c>
      <c r="E360" s="64">
        <v>0</v>
      </c>
      <c r="F360" s="65" t="s">
        <v>190</v>
      </c>
      <c r="G360" s="389">
        <f t="shared" si="53"/>
        <v>0.59</v>
      </c>
      <c r="H360" s="389">
        <f t="shared" si="53"/>
        <v>0.51</v>
      </c>
      <c r="I360" s="389">
        <f t="shared" si="53"/>
        <v>0.42</v>
      </c>
      <c r="J360" s="389">
        <f t="shared" si="53"/>
        <v>0.34</v>
      </c>
      <c r="K360" s="389">
        <f t="shared" si="53"/>
        <v>0.28000000000000003</v>
      </c>
      <c r="L360" s="720">
        <v>0.06</v>
      </c>
      <c r="M360" s="63" t="s">
        <v>3162</v>
      </c>
      <c r="N360" s="440">
        <v>4.4999999999999998E-2</v>
      </c>
      <c r="O360" s="390">
        <v>6.0000000000000001E-3</v>
      </c>
      <c r="P360" s="390">
        <v>0</v>
      </c>
      <c r="Q360" s="390">
        <v>0</v>
      </c>
      <c r="R360" s="390">
        <v>0</v>
      </c>
      <c r="S360" s="63" t="s">
        <v>476</v>
      </c>
      <c r="T360" s="63"/>
      <c r="U360" s="1039"/>
      <c r="V360" s="1039"/>
      <c r="W360" s="1039"/>
      <c r="X360" s="64" t="s">
        <v>2364</v>
      </c>
      <c r="Y360" s="439"/>
      <c r="Z360" s="439"/>
      <c r="AA360" s="439"/>
    </row>
    <row r="361" spans="1:53" ht="15" customHeight="1">
      <c r="A361" s="63">
        <f t="shared" si="54"/>
        <v>358</v>
      </c>
      <c r="B361" s="63" t="s">
        <v>1308</v>
      </c>
      <c r="C361" s="63" t="s">
        <v>2368</v>
      </c>
      <c r="D361" s="63" t="s">
        <v>2378</v>
      </c>
      <c r="E361" s="64">
        <v>0</v>
      </c>
      <c r="F361" s="65" t="s">
        <v>190</v>
      </c>
      <c r="G361" s="389">
        <f t="shared" si="53"/>
        <v>0.57999999999999996</v>
      </c>
      <c r="H361" s="389">
        <f t="shared" si="53"/>
        <v>0.5</v>
      </c>
      <c r="I361" s="389">
        <f t="shared" si="53"/>
        <v>0.41</v>
      </c>
      <c r="J361" s="389">
        <f t="shared" si="53"/>
        <v>0.32999999999999996</v>
      </c>
      <c r="K361" s="389">
        <f t="shared" si="53"/>
        <v>0.26999999999999996</v>
      </c>
      <c r="L361" s="720">
        <v>0.06</v>
      </c>
      <c r="M361" s="63" t="s">
        <v>3167</v>
      </c>
      <c r="N361" s="440">
        <v>4.4999999999999998E-2</v>
      </c>
      <c r="O361" s="390">
        <v>6.0000000000000001E-3</v>
      </c>
      <c r="P361" s="390">
        <v>0</v>
      </c>
      <c r="Q361" s="390">
        <v>0</v>
      </c>
      <c r="R361" s="390">
        <v>0</v>
      </c>
      <c r="S361" s="63" t="s">
        <v>476</v>
      </c>
      <c r="T361" s="63"/>
      <c r="U361" s="1039"/>
      <c r="V361" s="1039"/>
      <c r="W361" s="1039"/>
      <c r="X361" s="64" t="s">
        <v>2364</v>
      </c>
      <c r="Y361" s="439"/>
      <c r="Z361" s="439"/>
      <c r="AA361" s="439"/>
    </row>
    <row r="362" spans="1:53" ht="15" customHeight="1">
      <c r="A362" s="63">
        <f t="shared" si="54"/>
        <v>359</v>
      </c>
      <c r="B362" s="63" t="s">
        <v>1308</v>
      </c>
      <c r="C362" s="63"/>
      <c r="D362" s="63"/>
      <c r="E362" s="64"/>
      <c r="F362" s="65"/>
      <c r="G362" s="389" t="e">
        <f t="shared" ref="G362:K412" si="55">+INDEX($AW$4:$AW$138,MATCH(G$3&amp;$M362,$AT$4:$AT$138,0))</f>
        <v>#N/A</v>
      </c>
      <c r="H362" s="389" t="e">
        <f t="shared" si="55"/>
        <v>#N/A</v>
      </c>
      <c r="I362" s="389" t="e">
        <f t="shared" si="55"/>
        <v>#N/A</v>
      </c>
      <c r="J362" s="389" t="e">
        <f t="shared" si="55"/>
        <v>#N/A</v>
      </c>
      <c r="K362" s="389" t="e">
        <f t="shared" si="55"/>
        <v>#N/A</v>
      </c>
      <c r="L362" s="720"/>
      <c r="M362" s="63"/>
      <c r="N362" s="440"/>
      <c r="O362" s="390"/>
      <c r="P362" s="390">
        <v>0</v>
      </c>
      <c r="Q362" s="390">
        <v>0</v>
      </c>
      <c r="R362" s="390">
        <v>0</v>
      </c>
      <c r="S362" s="63" t="s">
        <v>476</v>
      </c>
      <c r="T362" s="63"/>
      <c r="U362" s="1039"/>
      <c r="V362" s="1039"/>
      <c r="W362" s="1039"/>
      <c r="X362" s="64" t="s">
        <v>2364</v>
      </c>
      <c r="Y362" s="439"/>
      <c r="Z362" s="439"/>
      <c r="AA362" s="439"/>
    </row>
    <row r="363" spans="1:53" ht="15" customHeight="1">
      <c r="A363" s="63">
        <f t="shared" si="54"/>
        <v>360</v>
      </c>
      <c r="B363" s="63" t="s">
        <v>1308</v>
      </c>
      <c r="C363" s="63"/>
      <c r="D363" s="63"/>
      <c r="E363" s="64"/>
      <c r="F363" s="65"/>
      <c r="G363" s="389" t="e">
        <f t="shared" si="55"/>
        <v>#N/A</v>
      </c>
      <c r="H363" s="389" t="e">
        <f t="shared" si="55"/>
        <v>#N/A</v>
      </c>
      <c r="I363" s="389" t="e">
        <f t="shared" si="55"/>
        <v>#N/A</v>
      </c>
      <c r="J363" s="389" t="e">
        <f t="shared" si="55"/>
        <v>#N/A</v>
      </c>
      <c r="K363" s="389" t="e">
        <f t="shared" si="55"/>
        <v>#N/A</v>
      </c>
      <c r="L363" s="720"/>
      <c r="M363" s="63"/>
      <c r="N363" s="440"/>
      <c r="O363" s="390"/>
      <c r="P363" s="390">
        <v>0</v>
      </c>
      <c r="Q363" s="390">
        <v>0</v>
      </c>
      <c r="R363" s="390">
        <v>0</v>
      </c>
      <c r="S363" s="63" t="s">
        <v>476</v>
      </c>
      <c r="T363" s="63"/>
      <c r="U363" s="1039"/>
      <c r="V363" s="1039"/>
      <c r="W363" s="1039"/>
      <c r="X363" s="64" t="s">
        <v>2364</v>
      </c>
      <c r="Y363" s="439"/>
      <c r="Z363" s="439"/>
      <c r="AA363" s="439"/>
    </row>
    <row r="364" spans="1:53" ht="15" customHeight="1">
      <c r="A364" s="63">
        <f t="shared" si="54"/>
        <v>361</v>
      </c>
      <c r="B364" s="63" t="s">
        <v>1308</v>
      </c>
      <c r="C364" s="63"/>
      <c r="D364" s="63"/>
      <c r="E364" s="64"/>
      <c r="F364" s="65"/>
      <c r="G364" s="389" t="e">
        <f t="shared" si="55"/>
        <v>#N/A</v>
      </c>
      <c r="H364" s="389" t="e">
        <f t="shared" si="55"/>
        <v>#N/A</v>
      </c>
      <c r="I364" s="389" t="e">
        <f t="shared" si="55"/>
        <v>#N/A</v>
      </c>
      <c r="J364" s="389" t="e">
        <f t="shared" si="55"/>
        <v>#N/A</v>
      </c>
      <c r="K364" s="389" t="e">
        <f t="shared" si="55"/>
        <v>#N/A</v>
      </c>
      <c r="L364" s="720"/>
      <c r="M364" s="63"/>
      <c r="N364" s="440"/>
      <c r="O364" s="390"/>
      <c r="P364" s="390">
        <v>0</v>
      </c>
      <c r="Q364" s="390">
        <v>0</v>
      </c>
      <c r="R364" s="390">
        <v>0</v>
      </c>
      <c r="S364" s="63" t="s">
        <v>476</v>
      </c>
      <c r="T364" s="63"/>
      <c r="U364" s="1039"/>
      <c r="V364" s="1039"/>
      <c r="W364" s="1039"/>
      <c r="X364" s="64" t="s">
        <v>2364</v>
      </c>
      <c r="Y364" s="439"/>
      <c r="Z364" s="439"/>
      <c r="AA364" s="439"/>
      <c r="AX364" s="1061"/>
    </row>
    <row r="365" spans="1:53" ht="15" customHeight="1">
      <c r="A365" s="63">
        <f t="shared" si="54"/>
        <v>362</v>
      </c>
      <c r="B365" s="63" t="s">
        <v>1308</v>
      </c>
      <c r="C365" s="63"/>
      <c r="D365" s="63"/>
      <c r="E365" s="64"/>
      <c r="F365" s="65"/>
      <c r="G365" s="389" t="e">
        <f t="shared" si="55"/>
        <v>#N/A</v>
      </c>
      <c r="H365" s="389" t="e">
        <f t="shared" si="55"/>
        <v>#N/A</v>
      </c>
      <c r="I365" s="389" t="e">
        <f t="shared" si="55"/>
        <v>#N/A</v>
      </c>
      <c r="J365" s="389" t="e">
        <f t="shared" si="55"/>
        <v>#N/A</v>
      </c>
      <c r="K365" s="389" t="e">
        <f t="shared" si="55"/>
        <v>#N/A</v>
      </c>
      <c r="L365" s="720"/>
      <c r="M365" s="63"/>
      <c r="N365" s="440"/>
      <c r="O365" s="390"/>
      <c r="P365" s="390">
        <v>0</v>
      </c>
      <c r="Q365" s="390">
        <v>0</v>
      </c>
      <c r="R365" s="390">
        <v>0</v>
      </c>
      <c r="S365" s="63" t="s">
        <v>476</v>
      </c>
      <c r="T365" s="63"/>
      <c r="U365" s="1039"/>
      <c r="V365" s="1039"/>
      <c r="W365" s="1039"/>
      <c r="X365" s="64" t="s">
        <v>2364</v>
      </c>
      <c r="Y365" s="439"/>
      <c r="Z365" s="439"/>
      <c r="AA365" s="439"/>
      <c r="AX365" s="1061"/>
      <c r="AY365" s="1061"/>
      <c r="AZ365" s="1061"/>
      <c r="BA365" s="1061"/>
    </row>
    <row r="366" spans="1:53" ht="15" customHeight="1">
      <c r="A366" s="63">
        <f t="shared" si="54"/>
        <v>363</v>
      </c>
      <c r="B366" s="63" t="s">
        <v>2332</v>
      </c>
      <c r="C366" s="63"/>
      <c r="D366" s="63"/>
      <c r="E366" s="64"/>
      <c r="F366" s="65"/>
      <c r="G366" s="389" t="e">
        <f t="shared" si="55"/>
        <v>#N/A</v>
      </c>
      <c r="H366" s="389" t="e">
        <f t="shared" si="55"/>
        <v>#N/A</v>
      </c>
      <c r="I366" s="389" t="e">
        <f t="shared" si="55"/>
        <v>#N/A</v>
      </c>
      <c r="J366" s="389" t="e">
        <f t="shared" si="55"/>
        <v>#N/A</v>
      </c>
      <c r="K366" s="389" t="e">
        <f t="shared" si="55"/>
        <v>#N/A</v>
      </c>
      <c r="L366" s="720"/>
      <c r="M366" s="63"/>
      <c r="N366" s="440"/>
      <c r="O366" s="390"/>
      <c r="P366" s="390">
        <v>0</v>
      </c>
      <c r="Q366" s="390">
        <v>0</v>
      </c>
      <c r="R366" s="390">
        <v>0</v>
      </c>
      <c r="S366" s="63" t="s">
        <v>476</v>
      </c>
      <c r="T366" s="63"/>
      <c r="U366" s="1039"/>
      <c r="V366" s="1039"/>
      <c r="W366" s="1039"/>
      <c r="X366" s="64" t="s">
        <v>2364</v>
      </c>
      <c r="Y366" s="439"/>
      <c r="Z366" s="439"/>
      <c r="AA366" s="439"/>
      <c r="AT366" s="1061"/>
      <c r="AU366" s="1061"/>
      <c r="AV366" s="1061"/>
      <c r="AW366" s="1061"/>
      <c r="AX366" s="1061"/>
      <c r="AY366" s="1061"/>
      <c r="AZ366" s="1061"/>
      <c r="BA366" s="1061"/>
    </row>
    <row r="367" spans="1:53" ht="15" customHeight="1">
      <c r="A367" s="63">
        <f t="shared" si="54"/>
        <v>364</v>
      </c>
      <c r="B367" s="63" t="s">
        <v>1308</v>
      </c>
      <c r="C367" s="63"/>
      <c r="D367" s="63"/>
      <c r="E367" s="64"/>
      <c r="F367" s="65"/>
      <c r="G367" s="389" t="e">
        <f t="shared" si="55"/>
        <v>#N/A</v>
      </c>
      <c r="H367" s="389" t="e">
        <f t="shared" si="55"/>
        <v>#N/A</v>
      </c>
      <c r="I367" s="389" t="e">
        <f t="shared" si="55"/>
        <v>#N/A</v>
      </c>
      <c r="J367" s="389" t="e">
        <f t="shared" si="55"/>
        <v>#N/A</v>
      </c>
      <c r="K367" s="389" t="e">
        <f t="shared" si="55"/>
        <v>#N/A</v>
      </c>
      <c r="L367" s="720"/>
      <c r="M367" s="63"/>
      <c r="N367" s="440"/>
      <c r="O367" s="390"/>
      <c r="P367" s="390">
        <v>0</v>
      </c>
      <c r="Q367" s="390">
        <v>0</v>
      </c>
      <c r="R367" s="390">
        <v>0</v>
      </c>
      <c r="S367" s="63" t="s">
        <v>476</v>
      </c>
      <c r="T367" s="63"/>
      <c r="U367" s="1039"/>
      <c r="V367" s="1039"/>
      <c r="W367" s="1039"/>
      <c r="X367" s="64" t="s">
        <v>2364</v>
      </c>
      <c r="Y367" s="439"/>
      <c r="Z367" s="439"/>
      <c r="AA367" s="439"/>
      <c r="AT367" s="1061"/>
      <c r="AU367" s="1061"/>
      <c r="AV367" s="1061"/>
      <c r="AW367" s="1061"/>
    </row>
    <row r="368" spans="1:53" ht="15" customHeight="1">
      <c r="A368" s="63">
        <f t="shared" si="54"/>
        <v>365</v>
      </c>
      <c r="B368" s="63" t="s">
        <v>1308</v>
      </c>
      <c r="C368" s="63"/>
      <c r="D368" s="63"/>
      <c r="E368" s="64"/>
      <c r="F368" s="65"/>
      <c r="G368" s="389" t="e">
        <f t="shared" si="55"/>
        <v>#N/A</v>
      </c>
      <c r="H368" s="389" t="e">
        <f t="shared" si="55"/>
        <v>#N/A</v>
      </c>
      <c r="I368" s="389" t="e">
        <f t="shared" si="55"/>
        <v>#N/A</v>
      </c>
      <c r="J368" s="389" t="e">
        <f t="shared" si="55"/>
        <v>#N/A</v>
      </c>
      <c r="K368" s="389" t="e">
        <f t="shared" si="55"/>
        <v>#N/A</v>
      </c>
      <c r="L368" s="720"/>
      <c r="M368" s="63"/>
      <c r="N368" s="440"/>
      <c r="O368" s="390"/>
      <c r="P368" s="390">
        <v>0</v>
      </c>
      <c r="Q368" s="390">
        <v>0</v>
      </c>
      <c r="R368" s="390">
        <v>0</v>
      </c>
      <c r="S368" s="63" t="s">
        <v>476</v>
      </c>
      <c r="T368" s="63"/>
      <c r="U368" s="1039"/>
      <c r="V368" s="1039"/>
      <c r="W368" s="1039"/>
      <c r="X368" s="64" t="s">
        <v>2364</v>
      </c>
      <c r="Y368" s="439"/>
      <c r="Z368" s="439"/>
      <c r="AA368" s="439"/>
      <c r="AX368" s="1061"/>
    </row>
    <row r="369" spans="1:49" ht="15" customHeight="1">
      <c r="A369" s="63">
        <f t="shared" si="54"/>
        <v>366</v>
      </c>
      <c r="B369" s="63" t="s">
        <v>1308</v>
      </c>
      <c r="C369" s="63" t="s">
        <v>623</v>
      </c>
      <c r="D369" s="63" t="s">
        <v>2223</v>
      </c>
      <c r="E369" s="64">
        <v>2981</v>
      </c>
      <c r="F369" s="65" t="s">
        <v>144</v>
      </c>
      <c r="G369" s="389">
        <f t="shared" si="55"/>
        <v>0.72</v>
      </c>
      <c r="H369" s="389">
        <f t="shared" si="55"/>
        <v>0.64</v>
      </c>
      <c r="I369" s="389">
        <f t="shared" si="55"/>
        <v>0.54999999999999993</v>
      </c>
      <c r="J369" s="389">
        <f t="shared" si="55"/>
        <v>0.47000000000000003</v>
      </c>
      <c r="K369" s="389">
        <f t="shared" si="55"/>
        <v>0.41000000000000003</v>
      </c>
      <c r="L369" s="720">
        <v>0.06</v>
      </c>
      <c r="M369" s="63" t="s">
        <v>3183</v>
      </c>
      <c r="N369" s="440">
        <v>4.3999999999999997E-2</v>
      </c>
      <c r="O369" s="390">
        <v>6.0000000000000001E-3</v>
      </c>
      <c r="P369" s="390">
        <v>0</v>
      </c>
      <c r="Q369" s="390">
        <v>0</v>
      </c>
      <c r="R369" s="390">
        <v>0</v>
      </c>
      <c r="S369" s="63" t="s">
        <v>476</v>
      </c>
      <c r="T369" s="63"/>
      <c r="U369" s="1039"/>
      <c r="V369" s="1039"/>
      <c r="W369" s="1039"/>
      <c r="X369" s="64" t="s">
        <v>2364</v>
      </c>
      <c r="Y369" s="439"/>
      <c r="Z369" s="439"/>
      <c r="AA369" s="439"/>
      <c r="AT369" s="400"/>
      <c r="AU369" s="435"/>
      <c r="AV369" s="435"/>
      <c r="AW369" s="436"/>
    </row>
    <row r="370" spans="1:49" ht="15" customHeight="1">
      <c r="A370" s="63">
        <f t="shared" si="54"/>
        <v>367</v>
      </c>
      <c r="B370" s="63" t="s">
        <v>2332</v>
      </c>
      <c r="C370" s="63" t="s">
        <v>623</v>
      </c>
      <c r="D370" s="63" t="s">
        <v>2379</v>
      </c>
      <c r="E370" s="64">
        <v>2981</v>
      </c>
      <c r="F370" s="65" t="s">
        <v>144</v>
      </c>
      <c r="G370" s="389">
        <f t="shared" si="55"/>
        <v>0.72</v>
      </c>
      <c r="H370" s="389">
        <f t="shared" si="55"/>
        <v>0.64</v>
      </c>
      <c r="I370" s="389">
        <f t="shared" si="55"/>
        <v>0.54999999999999993</v>
      </c>
      <c r="J370" s="389">
        <f t="shared" si="55"/>
        <v>0.47000000000000003</v>
      </c>
      <c r="K370" s="389">
        <f t="shared" si="55"/>
        <v>0.41000000000000003</v>
      </c>
      <c r="L370" s="720">
        <v>0.06</v>
      </c>
      <c r="M370" s="63" t="s">
        <v>3183</v>
      </c>
      <c r="N370" s="440">
        <v>4.3999999999999997E-2</v>
      </c>
      <c r="O370" s="390">
        <v>6.0000000000000001E-3</v>
      </c>
      <c r="P370" s="390">
        <v>0</v>
      </c>
      <c r="Q370" s="390">
        <v>0</v>
      </c>
      <c r="R370" s="390">
        <v>0</v>
      </c>
      <c r="S370" s="63" t="s">
        <v>476</v>
      </c>
      <c r="T370" s="63"/>
      <c r="U370" s="1039"/>
      <c r="V370" s="1039"/>
      <c r="W370" s="1039"/>
      <c r="X370" s="64" t="s">
        <v>2364</v>
      </c>
      <c r="Y370" s="439"/>
      <c r="Z370" s="439"/>
      <c r="AA370" s="439"/>
      <c r="AT370" s="400"/>
      <c r="AU370" s="435"/>
      <c r="AV370" s="435"/>
      <c r="AW370" s="436"/>
    </row>
    <row r="371" spans="1:49" ht="15" customHeight="1">
      <c r="A371" s="63">
        <f t="shared" si="54"/>
        <v>368</v>
      </c>
      <c r="B371" s="63" t="s">
        <v>1308</v>
      </c>
      <c r="C371" s="63" t="s">
        <v>623</v>
      </c>
      <c r="D371" s="63" t="s">
        <v>2224</v>
      </c>
      <c r="E371" s="64">
        <v>2981</v>
      </c>
      <c r="F371" s="65" t="s">
        <v>144</v>
      </c>
      <c r="G371" s="389">
        <f t="shared" si="55"/>
        <v>0.72</v>
      </c>
      <c r="H371" s="389">
        <f t="shared" si="55"/>
        <v>0.64</v>
      </c>
      <c r="I371" s="389">
        <f t="shared" si="55"/>
        <v>0.54999999999999993</v>
      </c>
      <c r="J371" s="389">
        <f t="shared" si="55"/>
        <v>0.47000000000000003</v>
      </c>
      <c r="K371" s="389">
        <f t="shared" si="55"/>
        <v>0.41000000000000003</v>
      </c>
      <c r="L371" s="720">
        <v>0.06</v>
      </c>
      <c r="M371" s="63" t="s">
        <v>3183</v>
      </c>
      <c r="N371" s="440">
        <v>4.3999999999999997E-2</v>
      </c>
      <c r="O371" s="390">
        <v>6.0000000000000001E-3</v>
      </c>
      <c r="P371" s="390">
        <v>0</v>
      </c>
      <c r="Q371" s="390">
        <v>0</v>
      </c>
      <c r="R371" s="390">
        <v>0</v>
      </c>
      <c r="S371" s="63" t="s">
        <v>476</v>
      </c>
      <c r="T371" s="63"/>
      <c r="U371" s="1039"/>
      <c r="V371" s="1039"/>
      <c r="W371" s="1039"/>
      <c r="X371" s="64" t="s">
        <v>2364</v>
      </c>
      <c r="Y371" s="439"/>
      <c r="Z371" s="439"/>
      <c r="AA371" s="439"/>
      <c r="AT371" s="400"/>
      <c r="AU371" s="435"/>
      <c r="AV371" s="435"/>
      <c r="AW371" s="436"/>
    </row>
    <row r="372" spans="1:49" ht="15" customHeight="1">
      <c r="A372" s="63">
        <f t="shared" si="54"/>
        <v>369</v>
      </c>
      <c r="B372" s="63" t="s">
        <v>1308</v>
      </c>
      <c r="C372" s="63" t="s">
        <v>623</v>
      </c>
      <c r="D372" s="63" t="s">
        <v>2225</v>
      </c>
      <c r="E372" s="64">
        <v>2981</v>
      </c>
      <c r="F372" s="65" t="s">
        <v>144</v>
      </c>
      <c r="G372" s="389">
        <f t="shared" si="55"/>
        <v>0.72</v>
      </c>
      <c r="H372" s="389">
        <f t="shared" si="55"/>
        <v>0.64</v>
      </c>
      <c r="I372" s="389">
        <f t="shared" si="55"/>
        <v>0.54999999999999993</v>
      </c>
      <c r="J372" s="389">
        <f t="shared" si="55"/>
        <v>0.47000000000000003</v>
      </c>
      <c r="K372" s="389">
        <f t="shared" si="55"/>
        <v>0.41000000000000003</v>
      </c>
      <c r="L372" s="720">
        <v>0.06</v>
      </c>
      <c r="M372" s="63" t="s">
        <v>3183</v>
      </c>
      <c r="N372" s="440">
        <v>4.3999999999999997E-2</v>
      </c>
      <c r="O372" s="390">
        <v>6.0000000000000001E-3</v>
      </c>
      <c r="P372" s="390">
        <v>0</v>
      </c>
      <c r="Q372" s="390">
        <v>0</v>
      </c>
      <c r="R372" s="390">
        <v>0</v>
      </c>
      <c r="S372" s="63" t="s">
        <v>476</v>
      </c>
      <c r="T372" s="63"/>
      <c r="U372" s="1039"/>
      <c r="V372" s="1039"/>
      <c r="W372" s="1039"/>
      <c r="X372" s="64" t="s">
        <v>2364</v>
      </c>
      <c r="AT372" s="400"/>
      <c r="AU372" s="435"/>
      <c r="AV372" s="435"/>
      <c r="AW372" s="436"/>
    </row>
    <row r="373" spans="1:49" ht="15" customHeight="1">
      <c r="A373" s="63">
        <f t="shared" si="54"/>
        <v>370</v>
      </c>
      <c r="B373" s="63" t="s">
        <v>1308</v>
      </c>
      <c r="C373" s="63" t="s">
        <v>2380</v>
      </c>
      <c r="D373" s="63" t="s">
        <v>2226</v>
      </c>
      <c r="E373" s="64">
        <v>2981</v>
      </c>
      <c r="F373" s="65" t="s">
        <v>144</v>
      </c>
      <c r="G373" s="389">
        <f t="shared" si="55"/>
        <v>0.72</v>
      </c>
      <c r="H373" s="389">
        <f t="shared" si="55"/>
        <v>0.64</v>
      </c>
      <c r="I373" s="389">
        <f t="shared" si="55"/>
        <v>0.54999999999999993</v>
      </c>
      <c r="J373" s="389">
        <f t="shared" si="55"/>
        <v>0.47000000000000003</v>
      </c>
      <c r="K373" s="389">
        <f t="shared" si="55"/>
        <v>0.41000000000000003</v>
      </c>
      <c r="L373" s="720">
        <v>0.06</v>
      </c>
      <c r="M373" s="63" t="s">
        <v>3183</v>
      </c>
      <c r="N373" s="440">
        <v>4.3999999999999997E-2</v>
      </c>
      <c r="O373" s="390">
        <v>6.0000000000000001E-3</v>
      </c>
      <c r="P373" s="390">
        <v>0</v>
      </c>
      <c r="Q373" s="390">
        <v>0</v>
      </c>
      <c r="R373" s="390">
        <v>0</v>
      </c>
      <c r="S373" s="63" t="s">
        <v>476</v>
      </c>
      <c r="T373" s="63"/>
      <c r="U373" s="1039"/>
      <c r="V373" s="1039"/>
      <c r="W373" s="1039"/>
      <c r="X373" s="64" t="s">
        <v>2364</v>
      </c>
      <c r="AT373" s="400"/>
      <c r="AU373" s="435"/>
      <c r="AV373" s="435"/>
      <c r="AW373" s="436"/>
    </row>
    <row r="374" spans="1:49" ht="15" customHeight="1">
      <c r="A374" s="63">
        <f t="shared" si="54"/>
        <v>371</v>
      </c>
      <c r="B374" s="63" t="s">
        <v>1308</v>
      </c>
      <c r="C374" s="63" t="s">
        <v>623</v>
      </c>
      <c r="D374" s="63" t="s">
        <v>2129</v>
      </c>
      <c r="E374" s="64">
        <v>2981</v>
      </c>
      <c r="F374" s="65" t="s">
        <v>144</v>
      </c>
      <c r="G374" s="389">
        <f t="shared" si="55"/>
        <v>0.72</v>
      </c>
      <c r="H374" s="389">
        <f t="shared" si="55"/>
        <v>0.64</v>
      </c>
      <c r="I374" s="389">
        <f t="shared" si="55"/>
        <v>0.54999999999999993</v>
      </c>
      <c r="J374" s="389">
        <f t="shared" si="55"/>
        <v>0.47000000000000003</v>
      </c>
      <c r="K374" s="389">
        <f t="shared" si="55"/>
        <v>0.41000000000000003</v>
      </c>
      <c r="L374" s="720">
        <v>0.06</v>
      </c>
      <c r="M374" s="63" t="s">
        <v>3183</v>
      </c>
      <c r="N374" s="440">
        <v>4.3999999999999997E-2</v>
      </c>
      <c r="O374" s="390">
        <v>6.0000000000000001E-3</v>
      </c>
      <c r="P374" s="390">
        <v>0</v>
      </c>
      <c r="Q374" s="390">
        <v>0</v>
      </c>
      <c r="R374" s="390">
        <v>0</v>
      </c>
      <c r="S374" s="63" t="s">
        <v>476</v>
      </c>
      <c r="T374" s="63"/>
      <c r="U374" s="1039"/>
      <c r="V374" s="1039"/>
      <c r="W374" s="1039"/>
      <c r="X374" s="64" t="s">
        <v>2364</v>
      </c>
      <c r="AT374" s="400"/>
      <c r="AU374" s="435"/>
      <c r="AV374" s="435"/>
      <c r="AW374" s="436"/>
    </row>
    <row r="375" spans="1:49" ht="15" customHeight="1">
      <c r="A375" s="63">
        <f t="shared" si="54"/>
        <v>372</v>
      </c>
      <c r="B375" s="63" t="s">
        <v>1308</v>
      </c>
      <c r="C375" s="63" t="s">
        <v>623</v>
      </c>
      <c r="D375" s="63" t="s">
        <v>2130</v>
      </c>
      <c r="E375" s="64">
        <v>2981</v>
      </c>
      <c r="F375" s="65" t="s">
        <v>144</v>
      </c>
      <c r="G375" s="389">
        <f t="shared" si="55"/>
        <v>0.72</v>
      </c>
      <c r="H375" s="389">
        <f t="shared" si="55"/>
        <v>0.64</v>
      </c>
      <c r="I375" s="389">
        <f t="shared" si="55"/>
        <v>0.54999999999999993</v>
      </c>
      <c r="J375" s="389">
        <f t="shared" si="55"/>
        <v>0.47000000000000003</v>
      </c>
      <c r="K375" s="389">
        <f t="shared" si="55"/>
        <v>0.41000000000000003</v>
      </c>
      <c r="L375" s="720">
        <v>0.06</v>
      </c>
      <c r="M375" s="63" t="s">
        <v>3183</v>
      </c>
      <c r="N375" s="440">
        <v>4.3999999999999997E-2</v>
      </c>
      <c r="O375" s="390">
        <v>6.0000000000000001E-3</v>
      </c>
      <c r="P375" s="390">
        <v>0</v>
      </c>
      <c r="Q375" s="390">
        <v>0</v>
      </c>
      <c r="R375" s="390">
        <v>0</v>
      </c>
      <c r="S375" s="63" t="s">
        <v>476</v>
      </c>
      <c r="T375" s="63"/>
      <c r="U375" s="1039"/>
      <c r="V375" s="1039"/>
      <c r="W375" s="1039"/>
      <c r="X375" s="64" t="s">
        <v>2364</v>
      </c>
      <c r="AT375" s="400"/>
      <c r="AU375" s="435"/>
      <c r="AV375" s="435"/>
      <c r="AW375" s="436"/>
    </row>
    <row r="376" spans="1:49" ht="15" customHeight="1">
      <c r="A376" s="63">
        <f t="shared" si="54"/>
        <v>373</v>
      </c>
      <c r="B376" s="63" t="s">
        <v>1308</v>
      </c>
      <c r="C376" s="63" t="s">
        <v>623</v>
      </c>
      <c r="D376" s="63" t="s">
        <v>2131</v>
      </c>
      <c r="E376" s="64">
        <v>2981</v>
      </c>
      <c r="F376" s="65" t="s">
        <v>144</v>
      </c>
      <c r="G376" s="389">
        <f t="shared" si="55"/>
        <v>0.72</v>
      </c>
      <c r="H376" s="389">
        <f t="shared" si="55"/>
        <v>0.64</v>
      </c>
      <c r="I376" s="389">
        <f t="shared" si="55"/>
        <v>0.54999999999999993</v>
      </c>
      <c r="J376" s="389">
        <f t="shared" si="55"/>
        <v>0.47000000000000003</v>
      </c>
      <c r="K376" s="389">
        <f t="shared" si="55"/>
        <v>0.41000000000000003</v>
      </c>
      <c r="L376" s="720">
        <v>0.06</v>
      </c>
      <c r="M376" s="63" t="s">
        <v>3183</v>
      </c>
      <c r="N376" s="440">
        <v>4.3999999999999997E-2</v>
      </c>
      <c r="O376" s="390">
        <v>6.0000000000000001E-3</v>
      </c>
      <c r="P376" s="390">
        <v>0</v>
      </c>
      <c r="Q376" s="390">
        <v>0</v>
      </c>
      <c r="R376" s="390">
        <v>0</v>
      </c>
      <c r="S376" s="63" t="s">
        <v>476</v>
      </c>
      <c r="T376" s="63"/>
      <c r="U376" s="1039"/>
      <c r="V376" s="1039"/>
      <c r="W376" s="1039"/>
      <c r="X376" s="64" t="s">
        <v>2364</v>
      </c>
      <c r="AT376" s="400"/>
      <c r="AU376" s="435"/>
      <c r="AV376" s="435"/>
      <c r="AW376" s="436"/>
    </row>
    <row r="377" spans="1:49" ht="15" customHeight="1">
      <c r="A377" s="63">
        <f t="shared" si="54"/>
        <v>374</v>
      </c>
      <c r="B377" s="63" t="s">
        <v>1308</v>
      </c>
      <c r="C377" s="63" t="s">
        <v>623</v>
      </c>
      <c r="D377" s="63" t="s">
        <v>1391</v>
      </c>
      <c r="E377" s="64">
        <v>2981</v>
      </c>
      <c r="F377" s="65" t="s">
        <v>144</v>
      </c>
      <c r="G377" s="389">
        <f t="shared" si="55"/>
        <v>0.69</v>
      </c>
      <c r="H377" s="389">
        <f t="shared" si="55"/>
        <v>0.61</v>
      </c>
      <c r="I377" s="389">
        <f t="shared" si="55"/>
        <v>0.51999999999999991</v>
      </c>
      <c r="J377" s="389">
        <f t="shared" si="55"/>
        <v>0.44</v>
      </c>
      <c r="K377" s="389">
        <f t="shared" si="55"/>
        <v>0.38</v>
      </c>
      <c r="L377" s="720">
        <v>0.06</v>
      </c>
      <c r="M377" s="63" t="s">
        <v>3184</v>
      </c>
      <c r="N377" s="440">
        <v>4.3999999999999997E-2</v>
      </c>
      <c r="O377" s="390">
        <v>6.0000000000000001E-3</v>
      </c>
      <c r="P377" s="390">
        <v>0</v>
      </c>
      <c r="Q377" s="390">
        <v>0</v>
      </c>
      <c r="R377" s="390">
        <v>0</v>
      </c>
      <c r="S377" s="63" t="s">
        <v>476</v>
      </c>
      <c r="T377" s="63"/>
      <c r="U377" s="1039"/>
      <c r="V377" s="1039"/>
      <c r="W377" s="1039"/>
      <c r="X377" s="64" t="s">
        <v>2364</v>
      </c>
      <c r="AT377" s="400"/>
      <c r="AU377" s="435"/>
      <c r="AV377" s="435"/>
      <c r="AW377" s="436"/>
    </row>
    <row r="378" spans="1:49" ht="15" customHeight="1">
      <c r="A378" s="63">
        <f t="shared" si="54"/>
        <v>375</v>
      </c>
      <c r="B378" s="63" t="s">
        <v>1308</v>
      </c>
      <c r="C378" s="63" t="s">
        <v>623</v>
      </c>
      <c r="D378" s="63" t="s">
        <v>2227</v>
      </c>
      <c r="E378" s="64">
        <v>2981</v>
      </c>
      <c r="F378" s="65" t="s">
        <v>144</v>
      </c>
      <c r="G378" s="389">
        <f t="shared" si="55"/>
        <v>0.69</v>
      </c>
      <c r="H378" s="389">
        <f t="shared" si="55"/>
        <v>0.61</v>
      </c>
      <c r="I378" s="389">
        <f t="shared" si="55"/>
        <v>0.51999999999999991</v>
      </c>
      <c r="J378" s="389">
        <f t="shared" si="55"/>
        <v>0.44</v>
      </c>
      <c r="K378" s="389">
        <f t="shared" si="55"/>
        <v>0.38</v>
      </c>
      <c r="L378" s="720">
        <v>0.06</v>
      </c>
      <c r="M378" s="63" t="s">
        <v>3184</v>
      </c>
      <c r="N378" s="440">
        <v>4.3999999999999997E-2</v>
      </c>
      <c r="O378" s="390">
        <v>6.0000000000000001E-3</v>
      </c>
      <c r="P378" s="390">
        <v>0</v>
      </c>
      <c r="Q378" s="390">
        <v>0</v>
      </c>
      <c r="R378" s="390">
        <v>0</v>
      </c>
      <c r="S378" s="63" t="s">
        <v>476</v>
      </c>
      <c r="T378" s="63"/>
      <c r="U378" s="1039"/>
      <c r="V378" s="1039"/>
      <c r="W378" s="1039"/>
      <c r="X378" s="64" t="s">
        <v>2364</v>
      </c>
      <c r="AT378" s="400"/>
      <c r="AU378" s="435"/>
      <c r="AV378" s="435"/>
      <c r="AW378" s="436"/>
    </row>
    <row r="379" spans="1:49" ht="15" customHeight="1">
      <c r="A379" s="63">
        <f t="shared" si="54"/>
        <v>376</v>
      </c>
      <c r="B379" s="63" t="s">
        <v>1308</v>
      </c>
      <c r="C379" s="63" t="s">
        <v>623</v>
      </c>
      <c r="D379" s="63" t="s">
        <v>2228</v>
      </c>
      <c r="E379" s="64">
        <v>2981</v>
      </c>
      <c r="F379" s="65" t="s">
        <v>144</v>
      </c>
      <c r="G379" s="389">
        <f t="shared" si="55"/>
        <v>0.69</v>
      </c>
      <c r="H379" s="389">
        <f t="shared" si="55"/>
        <v>0.61</v>
      </c>
      <c r="I379" s="389">
        <f t="shared" si="55"/>
        <v>0.51999999999999991</v>
      </c>
      <c r="J379" s="389">
        <f t="shared" si="55"/>
        <v>0.44</v>
      </c>
      <c r="K379" s="389">
        <f t="shared" si="55"/>
        <v>0.38</v>
      </c>
      <c r="L379" s="720">
        <v>0.06</v>
      </c>
      <c r="M379" s="63" t="s">
        <v>3184</v>
      </c>
      <c r="N379" s="440">
        <v>4.3999999999999997E-2</v>
      </c>
      <c r="O379" s="390">
        <v>6.0000000000000001E-3</v>
      </c>
      <c r="P379" s="390">
        <v>0</v>
      </c>
      <c r="Q379" s="390">
        <v>0</v>
      </c>
      <c r="R379" s="390">
        <v>0</v>
      </c>
      <c r="S379" s="63" t="s">
        <v>476</v>
      </c>
      <c r="T379" s="63"/>
      <c r="U379" s="1039"/>
      <c r="V379" s="1039"/>
      <c r="W379" s="1039"/>
      <c r="X379" s="64" t="s">
        <v>2364</v>
      </c>
      <c r="AT379" s="400"/>
      <c r="AU379" s="435"/>
      <c r="AV379" s="435"/>
      <c r="AW379" s="436"/>
    </row>
    <row r="380" spans="1:49" ht="15" customHeight="1">
      <c r="A380" s="63">
        <f t="shared" si="54"/>
        <v>377</v>
      </c>
      <c r="B380" s="63" t="s">
        <v>1308</v>
      </c>
      <c r="C380" s="63" t="s">
        <v>623</v>
      </c>
      <c r="D380" s="63" t="s">
        <v>1392</v>
      </c>
      <c r="E380" s="64">
        <v>2981</v>
      </c>
      <c r="F380" s="65" t="s">
        <v>144</v>
      </c>
      <c r="G380" s="389">
        <f t="shared" si="55"/>
        <v>0.69</v>
      </c>
      <c r="H380" s="389">
        <f t="shared" si="55"/>
        <v>0.61</v>
      </c>
      <c r="I380" s="389">
        <f t="shared" si="55"/>
        <v>0.51999999999999991</v>
      </c>
      <c r="J380" s="389">
        <f t="shared" si="55"/>
        <v>0.44</v>
      </c>
      <c r="K380" s="389">
        <f t="shared" si="55"/>
        <v>0.38</v>
      </c>
      <c r="L380" s="720">
        <v>0.06</v>
      </c>
      <c r="M380" s="63" t="s">
        <v>3184</v>
      </c>
      <c r="N380" s="440">
        <v>4.3999999999999997E-2</v>
      </c>
      <c r="O380" s="390">
        <v>6.0000000000000001E-3</v>
      </c>
      <c r="P380" s="390">
        <v>0</v>
      </c>
      <c r="Q380" s="390">
        <v>0</v>
      </c>
      <c r="R380" s="390">
        <v>0</v>
      </c>
      <c r="S380" s="63" t="s">
        <v>476</v>
      </c>
      <c r="T380" s="63"/>
      <c r="U380" s="1039"/>
      <c r="V380" s="1039"/>
      <c r="W380" s="1039"/>
      <c r="X380" s="64" t="s">
        <v>2364</v>
      </c>
      <c r="AT380" s="400"/>
      <c r="AU380" s="435"/>
      <c r="AV380" s="435"/>
      <c r="AW380" s="436"/>
    </row>
    <row r="381" spans="1:49" ht="15" customHeight="1">
      <c r="A381" s="1236">
        <f t="shared" si="54"/>
        <v>378</v>
      </c>
      <c r="B381" s="1236" t="s">
        <v>1306</v>
      </c>
      <c r="C381" s="1236" t="s">
        <v>623</v>
      </c>
      <c r="D381" s="1236" t="s">
        <v>3137</v>
      </c>
      <c r="E381" s="1235">
        <v>3591</v>
      </c>
      <c r="F381" s="1237" t="s">
        <v>144</v>
      </c>
      <c r="G381" s="389">
        <f t="shared" si="55"/>
        <v>0.69</v>
      </c>
      <c r="H381" s="389">
        <f t="shared" si="55"/>
        <v>0.61</v>
      </c>
      <c r="I381" s="389">
        <f t="shared" si="55"/>
        <v>0.51999999999999991</v>
      </c>
      <c r="J381" s="389">
        <f t="shared" si="55"/>
        <v>0.44</v>
      </c>
      <c r="K381" s="389">
        <f t="shared" si="55"/>
        <v>0.38</v>
      </c>
      <c r="L381" s="720">
        <v>0.06</v>
      </c>
      <c r="M381" s="63" t="s">
        <v>3184</v>
      </c>
      <c r="N381" s="1238">
        <v>4.3999999999999997E-2</v>
      </c>
      <c r="O381" s="1239">
        <v>6.0000000000000001E-3</v>
      </c>
      <c r="P381" s="1239">
        <v>0</v>
      </c>
      <c r="Q381" s="1239">
        <v>0</v>
      </c>
      <c r="R381" s="1239">
        <v>0</v>
      </c>
      <c r="S381" s="1236" t="s">
        <v>476</v>
      </c>
      <c r="T381" s="1236"/>
      <c r="U381" s="1240"/>
      <c r="V381" s="1240"/>
      <c r="W381" s="1240"/>
      <c r="X381" s="64" t="s">
        <v>2364</v>
      </c>
      <c r="AT381" s="400"/>
      <c r="AU381" s="435"/>
      <c r="AV381" s="435"/>
      <c r="AW381" s="436"/>
    </row>
    <row r="382" spans="1:49" ht="15" customHeight="1">
      <c r="A382" s="1236">
        <f t="shared" si="54"/>
        <v>379</v>
      </c>
      <c r="B382" s="1236" t="s">
        <v>1306</v>
      </c>
      <c r="C382" s="1236" t="s">
        <v>623</v>
      </c>
      <c r="D382" s="1236" t="s">
        <v>3138</v>
      </c>
      <c r="E382" s="1235">
        <v>3591</v>
      </c>
      <c r="F382" s="1237" t="s">
        <v>144</v>
      </c>
      <c r="G382" s="389">
        <f t="shared" si="55"/>
        <v>0.69</v>
      </c>
      <c r="H382" s="389">
        <f t="shared" si="55"/>
        <v>0.61</v>
      </c>
      <c r="I382" s="389">
        <f t="shared" si="55"/>
        <v>0.51999999999999991</v>
      </c>
      <c r="J382" s="389">
        <f t="shared" si="55"/>
        <v>0.44</v>
      </c>
      <c r="K382" s="389">
        <f t="shared" si="55"/>
        <v>0.38</v>
      </c>
      <c r="L382" s="720">
        <v>0.06</v>
      </c>
      <c r="M382" s="63" t="s">
        <v>3184</v>
      </c>
      <c r="N382" s="1238">
        <v>4.3999999999999997E-2</v>
      </c>
      <c r="O382" s="1239">
        <v>6.0000000000000001E-3</v>
      </c>
      <c r="P382" s="1239">
        <v>0</v>
      </c>
      <c r="Q382" s="1239">
        <v>0</v>
      </c>
      <c r="R382" s="1239">
        <v>0</v>
      </c>
      <c r="S382" s="1236" t="s">
        <v>476</v>
      </c>
      <c r="T382" s="1236"/>
      <c r="U382" s="1240"/>
      <c r="V382" s="1240"/>
      <c r="W382" s="1240"/>
      <c r="X382" s="64" t="s">
        <v>2364</v>
      </c>
      <c r="AT382" s="400"/>
      <c r="AU382" s="435"/>
      <c r="AV382" s="435"/>
      <c r="AW382" s="436"/>
    </row>
    <row r="383" spans="1:49" ht="15" customHeight="1">
      <c r="A383" s="1236">
        <f t="shared" si="54"/>
        <v>380</v>
      </c>
      <c r="B383" s="1236" t="s">
        <v>1306</v>
      </c>
      <c r="C383" s="1236" t="s">
        <v>623</v>
      </c>
      <c r="D383" s="1236" t="s">
        <v>3139</v>
      </c>
      <c r="E383" s="1235">
        <v>3591</v>
      </c>
      <c r="F383" s="1237" t="s">
        <v>144</v>
      </c>
      <c r="G383" s="389">
        <f t="shared" si="55"/>
        <v>0.69</v>
      </c>
      <c r="H383" s="389">
        <f t="shared" si="55"/>
        <v>0.61</v>
      </c>
      <c r="I383" s="389">
        <f t="shared" si="55"/>
        <v>0.51999999999999991</v>
      </c>
      <c r="J383" s="389">
        <f t="shared" si="55"/>
        <v>0.44</v>
      </c>
      <c r="K383" s="389">
        <f t="shared" si="55"/>
        <v>0.38</v>
      </c>
      <c r="L383" s="720">
        <v>0.06</v>
      </c>
      <c r="M383" s="63" t="s">
        <v>3184</v>
      </c>
      <c r="N383" s="1238">
        <v>4.3999999999999997E-2</v>
      </c>
      <c r="O383" s="1239">
        <v>6.0000000000000001E-3</v>
      </c>
      <c r="P383" s="1239">
        <v>0</v>
      </c>
      <c r="Q383" s="1239">
        <v>0</v>
      </c>
      <c r="R383" s="1239">
        <v>0</v>
      </c>
      <c r="S383" s="1236" t="s">
        <v>476</v>
      </c>
      <c r="T383" s="1236"/>
      <c r="U383" s="1240"/>
      <c r="V383" s="1240"/>
      <c r="W383" s="1240"/>
      <c r="X383" s="64" t="s">
        <v>2364</v>
      </c>
      <c r="AT383" s="400"/>
      <c r="AU383" s="435"/>
      <c r="AV383" s="435"/>
      <c r="AW383" s="436"/>
    </row>
    <row r="384" spans="1:49" ht="15" customHeight="1">
      <c r="A384" s="1236">
        <f t="shared" si="54"/>
        <v>381</v>
      </c>
      <c r="B384" s="1236" t="s">
        <v>1306</v>
      </c>
      <c r="C384" s="1236" t="s">
        <v>623</v>
      </c>
      <c r="D384" s="1236" t="s">
        <v>3140</v>
      </c>
      <c r="E384" s="1235">
        <v>3591</v>
      </c>
      <c r="F384" s="1237" t="s">
        <v>144</v>
      </c>
      <c r="G384" s="389">
        <f t="shared" si="55"/>
        <v>0.69</v>
      </c>
      <c r="H384" s="389">
        <f t="shared" si="55"/>
        <v>0.61</v>
      </c>
      <c r="I384" s="389">
        <f t="shared" si="55"/>
        <v>0.51999999999999991</v>
      </c>
      <c r="J384" s="389">
        <f t="shared" si="55"/>
        <v>0.44</v>
      </c>
      <c r="K384" s="389">
        <f t="shared" si="55"/>
        <v>0.38</v>
      </c>
      <c r="L384" s="720">
        <v>0.06</v>
      </c>
      <c r="M384" s="63" t="s">
        <v>3184</v>
      </c>
      <c r="N384" s="1238">
        <v>4.3999999999999997E-2</v>
      </c>
      <c r="O384" s="1239">
        <v>6.0000000000000001E-3</v>
      </c>
      <c r="P384" s="1239">
        <v>0</v>
      </c>
      <c r="Q384" s="1239">
        <v>0</v>
      </c>
      <c r="R384" s="1239">
        <v>0</v>
      </c>
      <c r="S384" s="1236" t="s">
        <v>476</v>
      </c>
      <c r="T384" s="1236"/>
      <c r="U384" s="1240"/>
      <c r="V384" s="1240"/>
      <c r="W384" s="1240"/>
      <c r="X384" s="64" t="s">
        <v>2364</v>
      </c>
    </row>
    <row r="385" spans="1:27" ht="15" customHeight="1">
      <c r="A385" s="63">
        <f t="shared" si="54"/>
        <v>382</v>
      </c>
      <c r="B385" s="63" t="s">
        <v>1306</v>
      </c>
      <c r="C385" s="63" t="s">
        <v>623</v>
      </c>
      <c r="D385" s="1234" t="s">
        <v>1393</v>
      </c>
      <c r="E385" s="64">
        <v>3996</v>
      </c>
      <c r="F385" s="65" t="s">
        <v>144</v>
      </c>
      <c r="G385" s="389">
        <f t="shared" si="55"/>
        <v>0.69</v>
      </c>
      <c r="H385" s="389">
        <f t="shared" si="55"/>
        <v>0.61</v>
      </c>
      <c r="I385" s="389">
        <f t="shared" si="55"/>
        <v>0.51999999999999991</v>
      </c>
      <c r="J385" s="389">
        <f t="shared" si="55"/>
        <v>0.44</v>
      </c>
      <c r="K385" s="389">
        <f t="shared" si="55"/>
        <v>0.38</v>
      </c>
      <c r="L385" s="720">
        <v>0.06</v>
      </c>
      <c r="M385" s="63" t="s">
        <v>3184</v>
      </c>
      <c r="N385" s="440">
        <v>4.3999999999999997E-2</v>
      </c>
      <c r="O385" s="390">
        <v>6.0000000000000001E-3</v>
      </c>
      <c r="P385" s="390">
        <v>0</v>
      </c>
      <c r="Q385" s="390">
        <v>0</v>
      </c>
      <c r="R385" s="390">
        <v>0</v>
      </c>
      <c r="S385" s="63" t="s">
        <v>476</v>
      </c>
      <c r="T385" s="63"/>
      <c r="U385" s="1039"/>
      <c r="V385" s="1039"/>
      <c r="W385" s="1039"/>
      <c r="X385" s="64" t="s">
        <v>2364</v>
      </c>
    </row>
    <row r="386" spans="1:27" ht="15" customHeight="1">
      <c r="A386" s="63">
        <f t="shared" si="54"/>
        <v>383</v>
      </c>
      <c r="B386" s="63" t="s">
        <v>1308</v>
      </c>
      <c r="C386" s="63" t="s">
        <v>623</v>
      </c>
      <c r="D386" s="63" t="s">
        <v>2132</v>
      </c>
      <c r="E386" s="64">
        <v>2981</v>
      </c>
      <c r="F386" s="65" t="s">
        <v>144</v>
      </c>
      <c r="G386" s="389">
        <f t="shared" si="55"/>
        <v>0.72</v>
      </c>
      <c r="H386" s="389">
        <f t="shared" si="55"/>
        <v>0.64</v>
      </c>
      <c r="I386" s="389">
        <f t="shared" si="55"/>
        <v>0.54999999999999993</v>
      </c>
      <c r="J386" s="389">
        <f t="shared" si="55"/>
        <v>0.47000000000000003</v>
      </c>
      <c r="K386" s="389">
        <f t="shared" si="55"/>
        <v>0.41000000000000003</v>
      </c>
      <c r="L386" s="720">
        <v>0.06</v>
      </c>
      <c r="M386" s="63" t="s">
        <v>3185</v>
      </c>
      <c r="N386" s="440">
        <v>4.3999999999999997E-2</v>
      </c>
      <c r="O386" s="390">
        <v>6.0000000000000001E-3</v>
      </c>
      <c r="P386" s="390">
        <v>0</v>
      </c>
      <c r="Q386" s="390">
        <v>0</v>
      </c>
      <c r="R386" s="390">
        <v>0</v>
      </c>
      <c r="S386" s="63" t="s">
        <v>476</v>
      </c>
      <c r="T386" s="63"/>
      <c r="U386" s="1039"/>
      <c r="V386" s="1039"/>
      <c r="W386" s="1039"/>
      <c r="X386" s="64" t="s">
        <v>2364</v>
      </c>
    </row>
    <row r="387" spans="1:27" ht="15" customHeight="1">
      <c r="A387" s="63">
        <f t="shared" ref="A387:A453" si="56">ROW()-3</f>
        <v>384</v>
      </c>
      <c r="B387" s="63" t="s">
        <v>1308</v>
      </c>
      <c r="C387" s="63" t="s">
        <v>623</v>
      </c>
      <c r="D387" s="63" t="s">
        <v>2229</v>
      </c>
      <c r="E387" s="64">
        <v>2981</v>
      </c>
      <c r="F387" s="65" t="s">
        <v>144</v>
      </c>
      <c r="G387" s="389">
        <f t="shared" si="55"/>
        <v>0.72</v>
      </c>
      <c r="H387" s="389">
        <f t="shared" si="55"/>
        <v>0.64</v>
      </c>
      <c r="I387" s="389">
        <f t="shared" si="55"/>
        <v>0.54999999999999993</v>
      </c>
      <c r="J387" s="389">
        <f t="shared" si="55"/>
        <v>0.47000000000000003</v>
      </c>
      <c r="K387" s="389">
        <f t="shared" si="55"/>
        <v>0.41000000000000003</v>
      </c>
      <c r="L387" s="720">
        <v>0.06</v>
      </c>
      <c r="M387" s="63" t="s">
        <v>3185</v>
      </c>
      <c r="N387" s="440">
        <v>4.3999999999999997E-2</v>
      </c>
      <c r="O387" s="390">
        <v>6.0000000000000001E-3</v>
      </c>
      <c r="P387" s="390">
        <v>0</v>
      </c>
      <c r="Q387" s="390">
        <v>0</v>
      </c>
      <c r="R387" s="390">
        <v>0</v>
      </c>
      <c r="S387" s="63" t="s">
        <v>476</v>
      </c>
      <c r="T387" s="63"/>
      <c r="U387" s="1039"/>
      <c r="V387" s="1039"/>
      <c r="W387" s="1039"/>
      <c r="X387" s="64" t="s">
        <v>2364</v>
      </c>
      <c r="Y387" s="439"/>
      <c r="Z387" s="439"/>
      <c r="AA387" s="439"/>
    </row>
    <row r="388" spans="1:27" ht="15" customHeight="1">
      <c r="A388" s="63">
        <f t="shared" si="56"/>
        <v>385</v>
      </c>
      <c r="B388" s="63" t="s">
        <v>1308</v>
      </c>
      <c r="C388" s="63" t="s">
        <v>2380</v>
      </c>
      <c r="D388" s="63" t="s">
        <v>2230</v>
      </c>
      <c r="E388" s="64">
        <v>2981</v>
      </c>
      <c r="F388" s="65" t="s">
        <v>144</v>
      </c>
      <c r="G388" s="389">
        <f t="shared" si="55"/>
        <v>0.69</v>
      </c>
      <c r="H388" s="389">
        <f t="shared" si="55"/>
        <v>0.61</v>
      </c>
      <c r="I388" s="389">
        <f t="shared" si="55"/>
        <v>0.51999999999999991</v>
      </c>
      <c r="J388" s="389">
        <f t="shared" si="55"/>
        <v>0.44</v>
      </c>
      <c r="K388" s="389">
        <f t="shared" si="55"/>
        <v>0.38</v>
      </c>
      <c r="L388" s="720">
        <v>0.06</v>
      </c>
      <c r="M388" s="63" t="s">
        <v>3184</v>
      </c>
      <c r="N388" s="440">
        <v>4.3999999999999997E-2</v>
      </c>
      <c r="O388" s="390">
        <v>6.0000000000000001E-3</v>
      </c>
      <c r="P388" s="390">
        <v>0</v>
      </c>
      <c r="Q388" s="390">
        <v>0</v>
      </c>
      <c r="R388" s="390">
        <v>0</v>
      </c>
      <c r="S388" s="63" t="s">
        <v>476</v>
      </c>
      <c r="T388" s="63"/>
      <c r="U388" s="1039"/>
      <c r="V388" s="1039"/>
      <c r="W388" s="1039"/>
      <c r="X388" s="64" t="s">
        <v>2364</v>
      </c>
      <c r="Y388" s="439"/>
      <c r="Z388" s="439"/>
      <c r="AA388" s="439"/>
    </row>
    <row r="389" spans="1:27" ht="15" customHeight="1">
      <c r="A389" s="1236">
        <f t="shared" si="56"/>
        <v>386</v>
      </c>
      <c r="B389" s="1236" t="s">
        <v>1306</v>
      </c>
      <c r="C389" s="1236" t="s">
        <v>623</v>
      </c>
      <c r="D389" s="1236" t="s">
        <v>3136</v>
      </c>
      <c r="E389" s="1235">
        <v>3591</v>
      </c>
      <c r="F389" s="1237" t="s">
        <v>144</v>
      </c>
      <c r="G389" s="389">
        <f t="shared" si="55"/>
        <v>0.69</v>
      </c>
      <c r="H389" s="389">
        <f t="shared" si="55"/>
        <v>0.61</v>
      </c>
      <c r="I389" s="389">
        <f t="shared" si="55"/>
        <v>0.51999999999999991</v>
      </c>
      <c r="J389" s="389">
        <f t="shared" si="55"/>
        <v>0.44</v>
      </c>
      <c r="K389" s="389">
        <f t="shared" si="55"/>
        <v>0.38</v>
      </c>
      <c r="L389" s="720">
        <v>0.06</v>
      </c>
      <c r="M389" s="63" t="s">
        <v>3184</v>
      </c>
      <c r="N389" s="1238">
        <v>4.3999999999999997E-2</v>
      </c>
      <c r="O389" s="1239">
        <v>6.0000000000000001E-3</v>
      </c>
      <c r="P389" s="1239">
        <v>0</v>
      </c>
      <c r="Q389" s="1239">
        <v>0</v>
      </c>
      <c r="R389" s="1239">
        <v>0</v>
      </c>
      <c r="S389" s="1236" t="s">
        <v>476</v>
      </c>
      <c r="T389" s="1236"/>
      <c r="U389" s="1240"/>
      <c r="V389" s="1240"/>
      <c r="W389" s="1240"/>
      <c r="X389" s="64" t="s">
        <v>2364</v>
      </c>
      <c r="Y389" s="439"/>
      <c r="Z389" s="439"/>
      <c r="AA389" s="439"/>
    </row>
    <row r="390" spans="1:27" ht="15" customHeight="1">
      <c r="A390" s="63">
        <f t="shared" si="56"/>
        <v>387</v>
      </c>
      <c r="B390" s="63" t="s">
        <v>1306</v>
      </c>
      <c r="C390" s="63" t="s">
        <v>623</v>
      </c>
      <c r="D390" s="1234" t="s">
        <v>2381</v>
      </c>
      <c r="E390" s="64">
        <v>3745</v>
      </c>
      <c r="F390" s="65" t="s">
        <v>144</v>
      </c>
      <c r="G390" s="389">
        <f t="shared" si="55"/>
        <v>0.69</v>
      </c>
      <c r="H390" s="389">
        <f t="shared" si="55"/>
        <v>0.61</v>
      </c>
      <c r="I390" s="389">
        <f t="shared" si="55"/>
        <v>0.51999999999999991</v>
      </c>
      <c r="J390" s="389">
        <f t="shared" si="55"/>
        <v>0.44</v>
      </c>
      <c r="K390" s="389">
        <f t="shared" si="55"/>
        <v>0.38</v>
      </c>
      <c r="L390" s="720">
        <v>0.06</v>
      </c>
      <c r="M390" s="63" t="s">
        <v>3184</v>
      </c>
      <c r="N390" s="440">
        <v>4.3999999999999997E-2</v>
      </c>
      <c r="O390" s="390">
        <v>6.0000000000000001E-3</v>
      </c>
      <c r="P390" s="390">
        <v>0</v>
      </c>
      <c r="Q390" s="390">
        <v>0</v>
      </c>
      <c r="R390" s="390">
        <v>0</v>
      </c>
      <c r="S390" s="63" t="s">
        <v>476</v>
      </c>
      <c r="T390" s="63"/>
      <c r="U390" s="1039"/>
      <c r="V390" s="1039"/>
      <c r="W390" s="1039"/>
      <c r="X390" s="64" t="s">
        <v>2364</v>
      </c>
      <c r="Y390" s="439"/>
      <c r="Z390" s="439"/>
      <c r="AA390" s="439"/>
    </row>
    <row r="391" spans="1:27" ht="15" customHeight="1">
      <c r="A391" s="63">
        <f t="shared" si="56"/>
        <v>388</v>
      </c>
      <c r="B391" s="63" t="s">
        <v>1306</v>
      </c>
      <c r="C391" s="63" t="s">
        <v>623</v>
      </c>
      <c r="D391" s="1234" t="s">
        <v>2382</v>
      </c>
      <c r="E391" s="64">
        <v>3745</v>
      </c>
      <c r="F391" s="65" t="s">
        <v>144</v>
      </c>
      <c r="G391" s="389">
        <f t="shared" si="55"/>
        <v>0.69</v>
      </c>
      <c r="H391" s="389">
        <f t="shared" si="55"/>
        <v>0.61</v>
      </c>
      <c r="I391" s="389">
        <f t="shared" si="55"/>
        <v>0.51999999999999991</v>
      </c>
      <c r="J391" s="389">
        <f t="shared" si="55"/>
        <v>0.44</v>
      </c>
      <c r="K391" s="389">
        <f t="shared" si="55"/>
        <v>0.38</v>
      </c>
      <c r="L391" s="720">
        <v>0.06</v>
      </c>
      <c r="M391" s="63" t="s">
        <v>3184</v>
      </c>
      <c r="N391" s="440">
        <v>4.3999999999999997E-2</v>
      </c>
      <c r="O391" s="390">
        <v>6.0000000000000001E-3</v>
      </c>
      <c r="P391" s="390">
        <v>0</v>
      </c>
      <c r="Q391" s="390">
        <v>0</v>
      </c>
      <c r="R391" s="390">
        <v>0</v>
      </c>
      <c r="S391" s="63" t="s">
        <v>476</v>
      </c>
      <c r="T391" s="63"/>
      <c r="U391" s="1039"/>
      <c r="V391" s="1039"/>
      <c r="W391" s="1039"/>
      <c r="X391" s="64" t="s">
        <v>2364</v>
      </c>
      <c r="Y391" s="439"/>
      <c r="Z391" s="439"/>
      <c r="AA391" s="439"/>
    </row>
    <row r="392" spans="1:27" ht="15" customHeight="1">
      <c r="A392" s="63">
        <f t="shared" si="56"/>
        <v>389</v>
      </c>
      <c r="B392" s="63" t="s">
        <v>1308</v>
      </c>
      <c r="C392" s="63" t="s">
        <v>623</v>
      </c>
      <c r="D392" s="1234" t="s">
        <v>1448</v>
      </c>
      <c r="E392" s="64">
        <v>3995</v>
      </c>
      <c r="F392" s="65" t="s">
        <v>144</v>
      </c>
      <c r="G392" s="389">
        <f t="shared" si="55"/>
        <v>0.72</v>
      </c>
      <c r="H392" s="389">
        <f t="shared" si="55"/>
        <v>0.64</v>
      </c>
      <c r="I392" s="389">
        <f t="shared" si="55"/>
        <v>0.54999999999999993</v>
      </c>
      <c r="J392" s="389">
        <f t="shared" si="55"/>
        <v>0.47000000000000003</v>
      </c>
      <c r="K392" s="389">
        <f t="shared" si="55"/>
        <v>0.41000000000000003</v>
      </c>
      <c r="L392" s="720">
        <v>0.06</v>
      </c>
      <c r="M392" s="63" t="s">
        <v>3183</v>
      </c>
      <c r="N392" s="440">
        <v>4.3999999999999997E-2</v>
      </c>
      <c r="O392" s="390">
        <v>6.0000000000000001E-3</v>
      </c>
      <c r="P392" s="390">
        <v>0</v>
      </c>
      <c r="Q392" s="390">
        <v>0</v>
      </c>
      <c r="R392" s="390">
        <v>0</v>
      </c>
      <c r="S392" s="63" t="s">
        <v>476</v>
      </c>
      <c r="T392" s="63"/>
      <c r="U392" s="1039"/>
      <c r="V392" s="1039"/>
      <c r="W392" s="1039"/>
      <c r="X392" s="64" t="s">
        <v>2364</v>
      </c>
      <c r="Y392" s="439"/>
      <c r="Z392" s="439"/>
      <c r="AA392" s="439"/>
    </row>
    <row r="393" spans="1:27" ht="15" customHeight="1">
      <c r="A393" s="63">
        <f t="shared" si="56"/>
        <v>390</v>
      </c>
      <c r="B393" s="63" t="s">
        <v>1308</v>
      </c>
      <c r="C393" s="63" t="s">
        <v>623</v>
      </c>
      <c r="D393" s="1234" t="s">
        <v>1394</v>
      </c>
      <c r="E393" s="64">
        <v>2995</v>
      </c>
      <c r="F393" s="65" t="s">
        <v>189</v>
      </c>
      <c r="G393" s="389">
        <f t="shared" si="55"/>
        <v>0.76</v>
      </c>
      <c r="H393" s="389">
        <f t="shared" si="55"/>
        <v>0.67999999999999994</v>
      </c>
      <c r="I393" s="389">
        <f t="shared" si="55"/>
        <v>0.59</v>
      </c>
      <c r="J393" s="389">
        <f t="shared" si="55"/>
        <v>0.51</v>
      </c>
      <c r="K393" s="389">
        <f t="shared" si="55"/>
        <v>0.44999999999999996</v>
      </c>
      <c r="L393" s="720">
        <v>0.06</v>
      </c>
      <c r="M393" s="63" t="s">
        <v>3186</v>
      </c>
      <c r="N393" s="440">
        <v>4.3999999999999997E-2</v>
      </c>
      <c r="O393" s="390">
        <v>6.0000000000000001E-3</v>
      </c>
      <c r="P393" s="390">
        <v>0</v>
      </c>
      <c r="Q393" s="390">
        <v>0</v>
      </c>
      <c r="R393" s="390">
        <v>0</v>
      </c>
      <c r="S393" s="63" t="s">
        <v>476</v>
      </c>
      <c r="T393" s="63"/>
      <c r="U393" s="1039"/>
      <c r="V393" s="1039"/>
      <c r="W393" s="1039"/>
      <c r="X393" s="64" t="s">
        <v>2364</v>
      </c>
      <c r="Y393" s="439"/>
      <c r="Z393" s="439"/>
      <c r="AA393" s="439"/>
    </row>
    <row r="394" spans="1:27" ht="15" customHeight="1">
      <c r="A394" s="63">
        <f t="shared" si="56"/>
        <v>391</v>
      </c>
      <c r="B394" s="63" t="s">
        <v>1308</v>
      </c>
      <c r="C394" s="63" t="s">
        <v>623</v>
      </c>
      <c r="D394" s="1234" t="s">
        <v>2133</v>
      </c>
      <c r="E394" s="64">
        <v>2995</v>
      </c>
      <c r="F394" s="65" t="s">
        <v>189</v>
      </c>
      <c r="G394" s="389">
        <f t="shared" si="55"/>
        <v>0.76</v>
      </c>
      <c r="H394" s="389">
        <f t="shared" si="55"/>
        <v>0.67999999999999994</v>
      </c>
      <c r="I394" s="389">
        <f t="shared" si="55"/>
        <v>0.59</v>
      </c>
      <c r="J394" s="389">
        <f t="shared" si="55"/>
        <v>0.51</v>
      </c>
      <c r="K394" s="389">
        <f t="shared" si="55"/>
        <v>0.44999999999999996</v>
      </c>
      <c r="L394" s="720">
        <v>0.06</v>
      </c>
      <c r="M394" s="63" t="s">
        <v>3186</v>
      </c>
      <c r="N394" s="440">
        <v>4.3999999999999997E-2</v>
      </c>
      <c r="O394" s="390">
        <v>6.0000000000000001E-3</v>
      </c>
      <c r="P394" s="390">
        <v>0</v>
      </c>
      <c r="Q394" s="390">
        <v>0</v>
      </c>
      <c r="R394" s="390">
        <v>0</v>
      </c>
      <c r="S394" s="63" t="s">
        <v>476</v>
      </c>
      <c r="T394" s="63"/>
      <c r="U394" s="1039"/>
      <c r="V394" s="1039"/>
      <c r="W394" s="1039"/>
      <c r="X394" s="64" t="s">
        <v>2364</v>
      </c>
      <c r="Y394" s="439"/>
      <c r="Z394" s="439"/>
      <c r="AA394" s="439"/>
    </row>
    <row r="395" spans="1:27" ht="15" customHeight="1">
      <c r="A395" s="63">
        <f t="shared" si="56"/>
        <v>392</v>
      </c>
      <c r="B395" s="63" t="s">
        <v>1308</v>
      </c>
      <c r="C395" s="63" t="s">
        <v>623</v>
      </c>
      <c r="D395" s="1234" t="s">
        <v>624</v>
      </c>
      <c r="E395" s="64">
        <v>2995</v>
      </c>
      <c r="F395" s="65" t="s">
        <v>189</v>
      </c>
      <c r="G395" s="389">
        <f t="shared" si="55"/>
        <v>0.73</v>
      </c>
      <c r="H395" s="389">
        <f t="shared" si="55"/>
        <v>0.65</v>
      </c>
      <c r="I395" s="389">
        <f t="shared" si="55"/>
        <v>0.55999999999999994</v>
      </c>
      <c r="J395" s="389">
        <f t="shared" si="55"/>
        <v>0.48</v>
      </c>
      <c r="K395" s="389">
        <f t="shared" si="55"/>
        <v>0.42000000000000004</v>
      </c>
      <c r="L395" s="720">
        <v>0.06</v>
      </c>
      <c r="M395" s="63" t="s">
        <v>3157</v>
      </c>
      <c r="N395" s="440">
        <v>4.3999999999999997E-2</v>
      </c>
      <c r="O395" s="390">
        <v>6.0000000000000001E-3</v>
      </c>
      <c r="P395" s="390">
        <v>0</v>
      </c>
      <c r="Q395" s="390">
        <v>0</v>
      </c>
      <c r="R395" s="390">
        <v>0</v>
      </c>
      <c r="S395" s="63" t="s">
        <v>476</v>
      </c>
      <c r="T395" s="63"/>
      <c r="U395" s="1039"/>
      <c r="V395" s="1039"/>
      <c r="W395" s="1039"/>
      <c r="X395" s="64" t="s">
        <v>2364</v>
      </c>
      <c r="Y395" s="439"/>
      <c r="Z395" s="439"/>
      <c r="AA395" s="439"/>
    </row>
    <row r="396" spans="1:27" ht="15" customHeight="1">
      <c r="A396" s="63">
        <f t="shared" si="56"/>
        <v>393</v>
      </c>
      <c r="B396" s="63" t="s">
        <v>1306</v>
      </c>
      <c r="C396" s="63" t="s">
        <v>623</v>
      </c>
      <c r="D396" s="1234" t="s">
        <v>2560</v>
      </c>
      <c r="E396" s="64">
        <v>2995</v>
      </c>
      <c r="F396" s="65" t="s">
        <v>189</v>
      </c>
      <c r="G396" s="389">
        <f t="shared" si="55"/>
        <v>0.73</v>
      </c>
      <c r="H396" s="389">
        <f t="shared" si="55"/>
        <v>0.65</v>
      </c>
      <c r="I396" s="389">
        <f t="shared" si="55"/>
        <v>0.55999999999999994</v>
      </c>
      <c r="J396" s="389">
        <f t="shared" si="55"/>
        <v>0.48</v>
      </c>
      <c r="K396" s="389">
        <f t="shared" si="55"/>
        <v>0.42000000000000004</v>
      </c>
      <c r="L396" s="720">
        <v>0.06</v>
      </c>
      <c r="M396" s="63" t="s">
        <v>3157</v>
      </c>
      <c r="N396" s="440">
        <v>4.3999999999999997E-2</v>
      </c>
      <c r="O396" s="390">
        <v>6.0000000000000001E-3</v>
      </c>
      <c r="P396" s="390">
        <v>0</v>
      </c>
      <c r="Q396" s="390">
        <v>0</v>
      </c>
      <c r="R396" s="390">
        <v>0</v>
      </c>
      <c r="S396" s="63" t="s">
        <v>476</v>
      </c>
      <c r="T396" s="63"/>
      <c r="U396" s="1039"/>
      <c r="V396" s="1039"/>
      <c r="W396" s="1039"/>
      <c r="X396" s="64" t="s">
        <v>2364</v>
      </c>
      <c r="Y396" s="439"/>
      <c r="Z396" s="439"/>
      <c r="AA396" s="439"/>
    </row>
    <row r="397" spans="1:27" ht="15" customHeight="1">
      <c r="A397" s="63">
        <f t="shared" si="56"/>
        <v>394</v>
      </c>
      <c r="B397" s="63" t="s">
        <v>1308</v>
      </c>
      <c r="C397" s="63" t="s">
        <v>623</v>
      </c>
      <c r="D397" s="1234" t="s">
        <v>2537</v>
      </c>
      <c r="E397" s="64">
        <v>3996</v>
      </c>
      <c r="F397" s="65" t="s">
        <v>189</v>
      </c>
      <c r="G397" s="389">
        <f t="shared" si="55"/>
        <v>0.73</v>
      </c>
      <c r="H397" s="389">
        <f t="shared" si="55"/>
        <v>0.65</v>
      </c>
      <c r="I397" s="389">
        <f t="shared" si="55"/>
        <v>0.55999999999999994</v>
      </c>
      <c r="J397" s="389">
        <f t="shared" si="55"/>
        <v>0.48</v>
      </c>
      <c r="K397" s="389">
        <f t="shared" si="55"/>
        <v>0.42000000000000004</v>
      </c>
      <c r="L397" s="720">
        <v>0.06</v>
      </c>
      <c r="M397" s="63" t="s">
        <v>3157</v>
      </c>
      <c r="N397" s="440">
        <v>4.3999999999999997E-2</v>
      </c>
      <c r="O397" s="390">
        <v>6.0000000000000001E-3</v>
      </c>
      <c r="P397" s="390">
        <v>0</v>
      </c>
      <c r="Q397" s="390">
        <v>0</v>
      </c>
      <c r="R397" s="390">
        <v>0</v>
      </c>
      <c r="S397" s="63" t="s">
        <v>476</v>
      </c>
      <c r="T397" s="63"/>
      <c r="U397" s="1039"/>
      <c r="V397" s="1039"/>
      <c r="W397" s="1039"/>
      <c r="X397" s="64" t="s">
        <v>2364</v>
      </c>
      <c r="Y397" s="439"/>
      <c r="Z397" s="439"/>
      <c r="AA397" s="439"/>
    </row>
    <row r="398" spans="1:27" ht="15" customHeight="1">
      <c r="A398" s="63">
        <f t="shared" si="56"/>
        <v>395</v>
      </c>
      <c r="B398" s="63" t="s">
        <v>1308</v>
      </c>
      <c r="C398" s="63" t="s">
        <v>623</v>
      </c>
      <c r="D398" s="1234" t="s">
        <v>2134</v>
      </c>
      <c r="E398" s="64">
        <v>2995</v>
      </c>
      <c r="F398" s="65" t="s">
        <v>189</v>
      </c>
      <c r="G398" s="389">
        <f t="shared" si="55"/>
        <v>0.73</v>
      </c>
      <c r="H398" s="389">
        <f t="shared" si="55"/>
        <v>0.65</v>
      </c>
      <c r="I398" s="389">
        <f t="shared" si="55"/>
        <v>0.55999999999999994</v>
      </c>
      <c r="J398" s="389">
        <f t="shared" si="55"/>
        <v>0.48</v>
      </c>
      <c r="K398" s="389">
        <f t="shared" si="55"/>
        <v>0.42000000000000004</v>
      </c>
      <c r="L398" s="720">
        <v>0.06</v>
      </c>
      <c r="M398" s="63" t="s">
        <v>3157</v>
      </c>
      <c r="N398" s="440">
        <v>4.3999999999999997E-2</v>
      </c>
      <c r="O398" s="390">
        <v>6.0000000000000001E-3</v>
      </c>
      <c r="P398" s="390">
        <v>0</v>
      </c>
      <c r="Q398" s="390">
        <v>0</v>
      </c>
      <c r="R398" s="390">
        <v>0</v>
      </c>
      <c r="S398" s="63" t="s">
        <v>476</v>
      </c>
      <c r="T398" s="63"/>
      <c r="U398" s="1039"/>
      <c r="V398" s="1039"/>
      <c r="W398" s="1039"/>
      <c r="X398" s="64" t="s">
        <v>2364</v>
      </c>
      <c r="Y398" s="439"/>
      <c r="Z398" s="439"/>
      <c r="AA398" s="439"/>
    </row>
    <row r="399" spans="1:27" ht="15" customHeight="1">
      <c r="A399" s="63">
        <f t="shared" si="56"/>
        <v>396</v>
      </c>
      <c r="B399" s="63" t="s">
        <v>1306</v>
      </c>
      <c r="C399" s="63" t="s">
        <v>623</v>
      </c>
      <c r="D399" s="1234" t="s">
        <v>2682</v>
      </c>
      <c r="E399" s="64">
        <v>2995</v>
      </c>
      <c r="F399" s="65" t="s">
        <v>189</v>
      </c>
      <c r="G399" s="389">
        <f t="shared" si="55"/>
        <v>0.73</v>
      </c>
      <c r="H399" s="389">
        <f t="shared" si="55"/>
        <v>0.65</v>
      </c>
      <c r="I399" s="389">
        <f t="shared" si="55"/>
        <v>0.55999999999999994</v>
      </c>
      <c r="J399" s="389">
        <f t="shared" si="55"/>
        <v>0.48</v>
      </c>
      <c r="K399" s="389">
        <f t="shared" si="55"/>
        <v>0.42000000000000004</v>
      </c>
      <c r="L399" s="720">
        <v>0.06</v>
      </c>
      <c r="M399" s="63" t="s">
        <v>3157</v>
      </c>
      <c r="N399" s="440">
        <v>4.3999999999999997E-2</v>
      </c>
      <c r="O399" s="390">
        <v>6.0000000000000001E-3</v>
      </c>
      <c r="P399" s="390">
        <v>0</v>
      </c>
      <c r="Q399" s="390">
        <v>0</v>
      </c>
      <c r="R399" s="390">
        <v>0</v>
      </c>
      <c r="S399" s="63" t="s">
        <v>476</v>
      </c>
      <c r="T399" s="63"/>
      <c r="U399" s="1039"/>
      <c r="V399" s="1039"/>
      <c r="W399" s="1039"/>
      <c r="X399" s="64" t="s">
        <v>2364</v>
      </c>
      <c r="Y399" s="439"/>
      <c r="Z399" s="439"/>
      <c r="AA399" s="439"/>
    </row>
    <row r="400" spans="1:27" ht="15" customHeight="1">
      <c r="A400" s="63">
        <f t="shared" si="56"/>
        <v>397</v>
      </c>
      <c r="B400" s="63" t="s">
        <v>1308</v>
      </c>
      <c r="C400" s="63" t="s">
        <v>2538</v>
      </c>
      <c r="D400" s="1234" t="s">
        <v>2539</v>
      </c>
      <c r="E400" s="64">
        <v>3996</v>
      </c>
      <c r="F400" s="65" t="s">
        <v>189</v>
      </c>
      <c r="G400" s="389">
        <f t="shared" si="55"/>
        <v>0.73</v>
      </c>
      <c r="H400" s="389">
        <f t="shared" si="55"/>
        <v>0.65</v>
      </c>
      <c r="I400" s="389">
        <f t="shared" si="55"/>
        <v>0.55999999999999994</v>
      </c>
      <c r="J400" s="389">
        <f t="shared" si="55"/>
        <v>0.48</v>
      </c>
      <c r="K400" s="389">
        <f t="shared" si="55"/>
        <v>0.42000000000000004</v>
      </c>
      <c r="L400" s="720">
        <v>0.06</v>
      </c>
      <c r="M400" s="63" t="s">
        <v>3157</v>
      </c>
      <c r="N400" s="440">
        <v>4.3999999999999997E-2</v>
      </c>
      <c r="O400" s="390">
        <v>6.0000000000000001E-3</v>
      </c>
      <c r="P400" s="390">
        <v>0</v>
      </c>
      <c r="Q400" s="390">
        <v>0</v>
      </c>
      <c r="R400" s="390">
        <v>0</v>
      </c>
      <c r="S400" s="63" t="s">
        <v>476</v>
      </c>
      <c r="T400" s="63"/>
      <c r="U400" s="1039"/>
      <c r="V400" s="1039"/>
      <c r="W400" s="1039"/>
      <c r="X400" s="64" t="s">
        <v>2364</v>
      </c>
      <c r="Y400" s="439"/>
      <c r="Z400" s="439"/>
      <c r="AA400" s="439"/>
    </row>
    <row r="401" spans="1:27" ht="15" customHeight="1">
      <c r="A401" s="63">
        <f t="shared" si="56"/>
        <v>398</v>
      </c>
      <c r="B401" s="63" t="s">
        <v>1308</v>
      </c>
      <c r="C401" s="63" t="s">
        <v>623</v>
      </c>
      <c r="D401" s="1236" t="s">
        <v>3134</v>
      </c>
      <c r="E401" s="64">
        <v>3996</v>
      </c>
      <c r="F401" s="65" t="s">
        <v>189</v>
      </c>
      <c r="G401" s="389">
        <f t="shared" si="55"/>
        <v>0.54</v>
      </c>
      <c r="H401" s="389">
        <f t="shared" si="55"/>
        <v>0.45999999999999996</v>
      </c>
      <c r="I401" s="389">
        <f t="shared" si="55"/>
        <v>0.37</v>
      </c>
      <c r="J401" s="389">
        <f t="shared" si="55"/>
        <v>0.28999999999999998</v>
      </c>
      <c r="K401" s="389">
        <f t="shared" si="55"/>
        <v>0.23</v>
      </c>
      <c r="L401" s="720">
        <v>0.06</v>
      </c>
      <c r="M401" s="63" t="s">
        <v>3175</v>
      </c>
      <c r="N401" s="440">
        <v>4.3999999999999997E-2</v>
      </c>
      <c r="O401" s="390">
        <v>6.0000000000000001E-3</v>
      </c>
      <c r="P401" s="390">
        <v>0</v>
      </c>
      <c r="Q401" s="390">
        <v>0</v>
      </c>
      <c r="R401" s="390">
        <v>0</v>
      </c>
      <c r="S401" s="63" t="s">
        <v>476</v>
      </c>
      <c r="T401" s="63"/>
      <c r="U401" s="1039"/>
      <c r="V401" s="1039"/>
      <c r="W401" s="1039"/>
      <c r="X401" s="64" t="s">
        <v>2364</v>
      </c>
      <c r="Y401" s="439"/>
      <c r="Z401" s="439"/>
      <c r="AA401" s="439"/>
    </row>
    <row r="402" spans="1:27" ht="15" customHeight="1">
      <c r="A402" s="63">
        <f t="shared" si="56"/>
        <v>399</v>
      </c>
      <c r="B402" s="63" t="s">
        <v>1306</v>
      </c>
      <c r="C402" s="63" t="s">
        <v>623</v>
      </c>
      <c r="D402" s="1234" t="s">
        <v>2561</v>
      </c>
      <c r="E402" s="64">
        <v>3996</v>
      </c>
      <c r="F402" s="65" t="s">
        <v>189</v>
      </c>
      <c r="G402" s="389">
        <f t="shared" si="55"/>
        <v>0.69</v>
      </c>
      <c r="H402" s="389">
        <f t="shared" si="55"/>
        <v>0.61</v>
      </c>
      <c r="I402" s="389">
        <f t="shared" si="55"/>
        <v>0.51999999999999991</v>
      </c>
      <c r="J402" s="389">
        <f t="shared" si="55"/>
        <v>0.44</v>
      </c>
      <c r="K402" s="389">
        <f t="shared" si="55"/>
        <v>0.38</v>
      </c>
      <c r="L402" s="720">
        <v>0.06</v>
      </c>
      <c r="M402" s="63" t="s">
        <v>3184</v>
      </c>
      <c r="N402" s="440">
        <v>4.3999999999999997E-2</v>
      </c>
      <c r="O402" s="390">
        <v>6.0000000000000001E-3</v>
      </c>
      <c r="P402" s="390">
        <v>0</v>
      </c>
      <c r="Q402" s="390">
        <v>0</v>
      </c>
      <c r="R402" s="390">
        <v>0</v>
      </c>
      <c r="S402" s="63" t="s">
        <v>476</v>
      </c>
      <c r="T402" s="63"/>
      <c r="U402" s="1039"/>
      <c r="V402" s="1039"/>
      <c r="W402" s="1039"/>
      <c r="X402" s="64" t="s">
        <v>2364</v>
      </c>
      <c r="Y402" s="439"/>
      <c r="Z402" s="439"/>
      <c r="AA402" s="439"/>
    </row>
    <row r="403" spans="1:27" ht="15" customHeight="1">
      <c r="A403" s="63">
        <f t="shared" si="56"/>
        <v>400</v>
      </c>
      <c r="B403" s="63" t="s">
        <v>2495</v>
      </c>
      <c r="C403" s="63" t="s">
        <v>623</v>
      </c>
      <c r="D403" s="1234" t="s">
        <v>2540</v>
      </c>
      <c r="E403" s="64">
        <v>3995</v>
      </c>
      <c r="F403" s="65" t="s">
        <v>144</v>
      </c>
      <c r="G403" s="389">
        <f t="shared" si="55"/>
        <v>0.54</v>
      </c>
      <c r="H403" s="389">
        <f t="shared" si="55"/>
        <v>0.45999999999999996</v>
      </c>
      <c r="I403" s="389">
        <f t="shared" si="55"/>
        <v>0.37</v>
      </c>
      <c r="J403" s="389">
        <f t="shared" si="55"/>
        <v>0.28999999999999998</v>
      </c>
      <c r="K403" s="389">
        <f t="shared" si="55"/>
        <v>0.23</v>
      </c>
      <c r="L403" s="720">
        <v>0.06</v>
      </c>
      <c r="M403" s="63" t="s">
        <v>3179</v>
      </c>
      <c r="N403" s="440">
        <v>4.3999999999999997E-2</v>
      </c>
      <c r="O403" s="390">
        <v>6.0000000000000001E-3</v>
      </c>
      <c r="P403" s="390">
        <v>0</v>
      </c>
      <c r="Q403" s="390">
        <v>0</v>
      </c>
      <c r="R403" s="390">
        <v>0</v>
      </c>
      <c r="S403" s="63" t="s">
        <v>476</v>
      </c>
      <c r="T403" s="63"/>
      <c r="U403" s="1039"/>
      <c r="V403" s="1039"/>
      <c r="W403" s="1039"/>
      <c r="X403" s="64" t="s">
        <v>2364</v>
      </c>
      <c r="Y403" s="439"/>
      <c r="Z403" s="439"/>
      <c r="AA403" s="439"/>
    </row>
    <row r="404" spans="1:27" ht="15" customHeight="1">
      <c r="A404" s="63">
        <f t="shared" si="56"/>
        <v>401</v>
      </c>
      <c r="B404" s="63" t="s">
        <v>1308</v>
      </c>
      <c r="C404" s="63" t="s">
        <v>623</v>
      </c>
      <c r="D404" s="1234" t="s">
        <v>1395</v>
      </c>
      <c r="E404" s="64">
        <v>2894</v>
      </c>
      <c r="F404" s="65" t="s">
        <v>189</v>
      </c>
      <c r="G404" s="389">
        <f t="shared" si="55"/>
        <v>0.69</v>
      </c>
      <c r="H404" s="389">
        <f t="shared" si="55"/>
        <v>0.61</v>
      </c>
      <c r="I404" s="389">
        <f t="shared" si="55"/>
        <v>0.51999999999999991</v>
      </c>
      <c r="J404" s="389">
        <f t="shared" si="55"/>
        <v>0.44</v>
      </c>
      <c r="K404" s="389">
        <f t="shared" si="55"/>
        <v>0.38</v>
      </c>
      <c r="L404" s="720">
        <v>0.06</v>
      </c>
      <c r="M404" s="63" t="s">
        <v>3184</v>
      </c>
      <c r="N404" s="440">
        <v>4.3999999999999997E-2</v>
      </c>
      <c r="O404" s="390">
        <v>6.0000000000000001E-3</v>
      </c>
      <c r="P404" s="390">
        <v>0</v>
      </c>
      <c r="Q404" s="390">
        <v>0</v>
      </c>
      <c r="R404" s="390">
        <v>0</v>
      </c>
      <c r="S404" s="63" t="s">
        <v>476</v>
      </c>
      <c r="T404" s="63"/>
      <c r="U404" s="1039"/>
      <c r="V404" s="1039"/>
      <c r="W404" s="1039"/>
      <c r="X404" s="64" t="s">
        <v>2364</v>
      </c>
      <c r="Y404" s="439"/>
      <c r="Z404" s="439"/>
      <c r="AA404" s="439"/>
    </row>
    <row r="405" spans="1:27" ht="15" customHeight="1">
      <c r="A405" s="63">
        <f t="shared" si="56"/>
        <v>402</v>
      </c>
      <c r="B405" s="63" t="s">
        <v>2495</v>
      </c>
      <c r="C405" s="63" t="s">
        <v>623</v>
      </c>
      <c r="D405" s="1234" t="s">
        <v>2383</v>
      </c>
      <c r="E405" s="64">
        <v>2894</v>
      </c>
      <c r="F405" s="65" t="s">
        <v>189</v>
      </c>
      <c r="G405" s="389">
        <f t="shared" si="55"/>
        <v>0.69</v>
      </c>
      <c r="H405" s="389">
        <f t="shared" si="55"/>
        <v>0.61</v>
      </c>
      <c r="I405" s="389">
        <f t="shared" si="55"/>
        <v>0.51999999999999991</v>
      </c>
      <c r="J405" s="389">
        <f t="shared" si="55"/>
        <v>0.44</v>
      </c>
      <c r="K405" s="389">
        <f t="shared" si="55"/>
        <v>0.38</v>
      </c>
      <c r="L405" s="720">
        <v>0.06</v>
      </c>
      <c r="M405" s="63" t="s">
        <v>3184</v>
      </c>
      <c r="N405" s="440">
        <v>4.3999999999999997E-2</v>
      </c>
      <c r="O405" s="390">
        <v>6.0000000000000001E-3</v>
      </c>
      <c r="P405" s="390">
        <v>0</v>
      </c>
      <c r="Q405" s="390">
        <v>0</v>
      </c>
      <c r="R405" s="390">
        <v>0</v>
      </c>
      <c r="S405" s="63" t="s">
        <v>476</v>
      </c>
      <c r="T405" s="63"/>
      <c r="U405" s="1039"/>
      <c r="V405" s="1039"/>
      <c r="W405" s="1039"/>
      <c r="X405" s="64" t="s">
        <v>2364</v>
      </c>
      <c r="Y405" s="439"/>
      <c r="Z405" s="439"/>
      <c r="AA405" s="439"/>
    </row>
    <row r="406" spans="1:27" ht="15" customHeight="1">
      <c r="A406" s="63">
        <f t="shared" si="56"/>
        <v>403</v>
      </c>
      <c r="B406" s="63" t="s">
        <v>1308</v>
      </c>
      <c r="C406" s="63" t="s">
        <v>623</v>
      </c>
      <c r="D406" s="1234" t="s">
        <v>1396</v>
      </c>
      <c r="E406" s="64">
        <v>2984</v>
      </c>
      <c r="F406" s="65" t="s">
        <v>144</v>
      </c>
      <c r="G406" s="389">
        <f t="shared" si="55"/>
        <v>0.76</v>
      </c>
      <c r="H406" s="389">
        <f t="shared" si="55"/>
        <v>0.67999999999999994</v>
      </c>
      <c r="I406" s="389">
        <f t="shared" si="55"/>
        <v>0.59</v>
      </c>
      <c r="J406" s="389">
        <f t="shared" si="55"/>
        <v>0.51</v>
      </c>
      <c r="K406" s="389">
        <f t="shared" si="55"/>
        <v>0.44999999999999996</v>
      </c>
      <c r="L406" s="720">
        <v>0.06</v>
      </c>
      <c r="M406" s="63" t="s">
        <v>3186</v>
      </c>
      <c r="N406" s="440">
        <v>4.3999999999999997E-2</v>
      </c>
      <c r="O406" s="390">
        <v>6.0000000000000001E-3</v>
      </c>
      <c r="P406" s="390">
        <v>0</v>
      </c>
      <c r="Q406" s="390">
        <v>0</v>
      </c>
      <c r="R406" s="390">
        <v>0</v>
      </c>
      <c r="S406" s="63" t="s">
        <v>476</v>
      </c>
      <c r="T406" s="63"/>
      <c r="U406" s="1039"/>
      <c r="V406" s="1039"/>
      <c r="W406" s="1039"/>
      <c r="X406" s="64" t="s">
        <v>2364</v>
      </c>
      <c r="Y406" s="439"/>
      <c r="Z406" s="439"/>
      <c r="AA406" s="439"/>
    </row>
    <row r="407" spans="1:27" ht="15" customHeight="1">
      <c r="A407" s="63">
        <f t="shared" si="56"/>
        <v>404</v>
      </c>
      <c r="B407" s="63" t="s">
        <v>1308</v>
      </c>
      <c r="C407" s="63" t="s">
        <v>2541</v>
      </c>
      <c r="D407" s="1234" t="s">
        <v>2231</v>
      </c>
      <c r="E407" s="64">
        <v>2894</v>
      </c>
      <c r="F407" s="65" t="s">
        <v>144</v>
      </c>
      <c r="G407" s="389">
        <f t="shared" si="55"/>
        <v>0.76</v>
      </c>
      <c r="H407" s="389">
        <f t="shared" si="55"/>
        <v>0.67999999999999994</v>
      </c>
      <c r="I407" s="389">
        <f t="shared" si="55"/>
        <v>0.59</v>
      </c>
      <c r="J407" s="389">
        <f t="shared" si="55"/>
        <v>0.51</v>
      </c>
      <c r="K407" s="389">
        <f t="shared" si="55"/>
        <v>0.44999999999999996</v>
      </c>
      <c r="L407" s="720">
        <v>0.06</v>
      </c>
      <c r="M407" s="63" t="s">
        <v>3186</v>
      </c>
      <c r="N407" s="440">
        <v>4.3999999999999997E-2</v>
      </c>
      <c r="O407" s="390">
        <v>6.0000000000000001E-3</v>
      </c>
      <c r="P407" s="390">
        <v>0</v>
      </c>
      <c r="Q407" s="390">
        <v>0</v>
      </c>
      <c r="R407" s="390">
        <v>0</v>
      </c>
      <c r="S407" s="63" t="s">
        <v>476</v>
      </c>
      <c r="T407" s="63"/>
      <c r="U407" s="1039"/>
      <c r="V407" s="1039"/>
      <c r="W407" s="1039"/>
      <c r="X407" s="64" t="s">
        <v>2364</v>
      </c>
      <c r="Y407" s="439"/>
      <c r="Z407" s="439"/>
      <c r="AA407" s="439"/>
    </row>
    <row r="408" spans="1:27" ht="15" customHeight="1">
      <c r="A408" s="63">
        <f t="shared" si="56"/>
        <v>405</v>
      </c>
      <c r="B408" s="63" t="s">
        <v>1308</v>
      </c>
      <c r="C408" s="63" t="s">
        <v>623</v>
      </c>
      <c r="D408" s="1234" t="s">
        <v>1397</v>
      </c>
      <c r="E408" s="64">
        <v>2894</v>
      </c>
      <c r="F408" s="65" t="s">
        <v>144</v>
      </c>
      <c r="G408" s="389">
        <f t="shared" si="55"/>
        <v>0.73</v>
      </c>
      <c r="H408" s="389">
        <f t="shared" si="55"/>
        <v>0.65</v>
      </c>
      <c r="I408" s="389">
        <f t="shared" si="55"/>
        <v>0.55999999999999994</v>
      </c>
      <c r="J408" s="389">
        <f t="shared" si="55"/>
        <v>0.48</v>
      </c>
      <c r="K408" s="389">
        <f t="shared" si="55"/>
        <v>0.42000000000000004</v>
      </c>
      <c r="L408" s="720">
        <v>0.06</v>
      </c>
      <c r="M408" s="63" t="s">
        <v>3157</v>
      </c>
      <c r="N408" s="440">
        <v>4.3999999999999997E-2</v>
      </c>
      <c r="O408" s="390">
        <v>6.0000000000000001E-3</v>
      </c>
      <c r="P408" s="390">
        <v>0</v>
      </c>
      <c r="Q408" s="390">
        <v>0</v>
      </c>
      <c r="R408" s="390">
        <v>0</v>
      </c>
      <c r="S408" s="63" t="s">
        <v>476</v>
      </c>
      <c r="T408" s="63"/>
      <c r="U408" s="1039"/>
      <c r="V408" s="1039"/>
      <c r="W408" s="1039"/>
      <c r="X408" s="64" t="s">
        <v>2364</v>
      </c>
      <c r="Y408" s="439"/>
      <c r="Z408" s="439"/>
      <c r="AA408" s="439"/>
    </row>
    <row r="409" spans="1:27" ht="15" customHeight="1">
      <c r="A409" s="63">
        <f t="shared" si="56"/>
        <v>406</v>
      </c>
      <c r="B409" s="63" t="s">
        <v>1308</v>
      </c>
      <c r="C409" s="63" t="s">
        <v>623</v>
      </c>
      <c r="D409" s="1234" t="s">
        <v>2594</v>
      </c>
      <c r="E409" s="64">
        <v>3996</v>
      </c>
      <c r="F409" s="65" t="s">
        <v>144</v>
      </c>
      <c r="G409" s="389">
        <f t="shared" si="55"/>
        <v>0.73</v>
      </c>
      <c r="H409" s="389">
        <f t="shared" si="55"/>
        <v>0.65</v>
      </c>
      <c r="I409" s="389">
        <f t="shared" si="55"/>
        <v>0.55999999999999994</v>
      </c>
      <c r="J409" s="389">
        <f t="shared" si="55"/>
        <v>0.48</v>
      </c>
      <c r="K409" s="389">
        <f t="shared" si="55"/>
        <v>0.42000000000000004</v>
      </c>
      <c r="L409" s="720">
        <v>0.06</v>
      </c>
      <c r="M409" s="63" t="s">
        <v>3187</v>
      </c>
      <c r="N409" s="440">
        <v>4.3999999999999997E-2</v>
      </c>
      <c r="O409" s="390">
        <v>6.0000000000000001E-3</v>
      </c>
      <c r="P409" s="390">
        <v>0</v>
      </c>
      <c r="Q409" s="390">
        <v>0</v>
      </c>
      <c r="R409" s="390">
        <v>0</v>
      </c>
      <c r="S409" s="63" t="s">
        <v>476</v>
      </c>
      <c r="T409" s="63"/>
      <c r="U409" s="1039"/>
      <c r="V409" s="1039"/>
      <c r="W409" s="1039"/>
      <c r="X409" s="64" t="s">
        <v>2364</v>
      </c>
      <c r="Y409" s="439"/>
      <c r="Z409" s="439"/>
      <c r="AA409" s="439"/>
    </row>
    <row r="410" spans="1:27" ht="15" customHeight="1">
      <c r="A410" s="63">
        <f t="shared" si="56"/>
        <v>407</v>
      </c>
      <c r="B410" s="63" t="s">
        <v>1308</v>
      </c>
      <c r="C410" s="63" t="s">
        <v>623</v>
      </c>
      <c r="D410" s="1234" t="s">
        <v>2232</v>
      </c>
      <c r="E410" s="64">
        <v>3996</v>
      </c>
      <c r="F410" s="65" t="s">
        <v>144</v>
      </c>
      <c r="G410" s="389">
        <f t="shared" si="55"/>
        <v>0.69</v>
      </c>
      <c r="H410" s="389">
        <f t="shared" si="55"/>
        <v>0.61</v>
      </c>
      <c r="I410" s="389">
        <f t="shared" si="55"/>
        <v>0.51999999999999991</v>
      </c>
      <c r="J410" s="389">
        <f t="shared" si="55"/>
        <v>0.44</v>
      </c>
      <c r="K410" s="389">
        <f t="shared" si="55"/>
        <v>0.38</v>
      </c>
      <c r="L410" s="720">
        <v>0.06</v>
      </c>
      <c r="M410" s="63" t="s">
        <v>3188</v>
      </c>
      <c r="N410" s="440">
        <v>4.3999999999999997E-2</v>
      </c>
      <c r="O410" s="390">
        <v>6.0000000000000001E-3</v>
      </c>
      <c r="P410" s="390">
        <v>0</v>
      </c>
      <c r="Q410" s="390">
        <v>0</v>
      </c>
      <c r="R410" s="390">
        <v>0</v>
      </c>
      <c r="S410" s="63" t="s">
        <v>476</v>
      </c>
      <c r="T410" s="63"/>
      <c r="U410" s="1039"/>
      <c r="V410" s="1039"/>
      <c r="W410" s="1039"/>
      <c r="X410" s="64" t="s">
        <v>2364</v>
      </c>
      <c r="Y410" s="439"/>
      <c r="Z410" s="439"/>
      <c r="AA410" s="439"/>
    </row>
    <row r="411" spans="1:27" ht="15" customHeight="1">
      <c r="A411" s="63">
        <f t="shared" si="56"/>
        <v>408</v>
      </c>
      <c r="B411" s="63" t="s">
        <v>1308</v>
      </c>
      <c r="C411" s="63" t="s">
        <v>623</v>
      </c>
      <c r="D411" s="1234" t="s">
        <v>2135</v>
      </c>
      <c r="E411" s="64">
        <v>3996</v>
      </c>
      <c r="F411" s="65" t="s">
        <v>144</v>
      </c>
      <c r="G411" s="389">
        <f t="shared" si="55"/>
        <v>0.69</v>
      </c>
      <c r="H411" s="389">
        <f t="shared" si="55"/>
        <v>0.61</v>
      </c>
      <c r="I411" s="389">
        <f t="shared" si="55"/>
        <v>0.51999999999999991</v>
      </c>
      <c r="J411" s="389">
        <f t="shared" si="55"/>
        <v>0.44</v>
      </c>
      <c r="K411" s="389">
        <f t="shared" si="55"/>
        <v>0.38</v>
      </c>
      <c r="L411" s="720">
        <v>0.06</v>
      </c>
      <c r="M411" s="63" t="s">
        <v>3188</v>
      </c>
      <c r="N411" s="440">
        <v>4.3999999999999997E-2</v>
      </c>
      <c r="O411" s="390">
        <v>6.0000000000000001E-3</v>
      </c>
      <c r="P411" s="390">
        <v>0</v>
      </c>
      <c r="Q411" s="390">
        <v>0</v>
      </c>
      <c r="R411" s="390">
        <v>0</v>
      </c>
      <c r="S411" s="63" t="s">
        <v>476</v>
      </c>
      <c r="T411" s="63"/>
      <c r="U411" s="1039"/>
      <c r="V411" s="1039"/>
      <c r="W411" s="1039"/>
      <c r="X411" s="64" t="s">
        <v>2364</v>
      </c>
      <c r="Y411" s="439"/>
      <c r="Z411" s="439"/>
      <c r="AA411" s="439"/>
    </row>
    <row r="412" spans="1:27" ht="15" customHeight="1">
      <c r="A412" s="63">
        <f t="shared" si="56"/>
        <v>409</v>
      </c>
      <c r="B412" s="63" t="s">
        <v>1308</v>
      </c>
      <c r="C412" s="63" t="s">
        <v>623</v>
      </c>
      <c r="D412" s="1234" t="s">
        <v>2136</v>
      </c>
      <c r="E412" s="64">
        <v>3996</v>
      </c>
      <c r="F412" s="65" t="s">
        <v>144</v>
      </c>
      <c r="G412" s="389">
        <f t="shared" si="55"/>
        <v>0.69</v>
      </c>
      <c r="H412" s="389">
        <f t="shared" si="55"/>
        <v>0.61</v>
      </c>
      <c r="I412" s="389">
        <f t="shared" si="55"/>
        <v>0.51999999999999991</v>
      </c>
      <c r="J412" s="389">
        <f t="shared" si="55"/>
        <v>0.44</v>
      </c>
      <c r="K412" s="389">
        <f t="shared" si="55"/>
        <v>0.38</v>
      </c>
      <c r="L412" s="720">
        <v>0.06</v>
      </c>
      <c r="M412" s="63" t="s">
        <v>3188</v>
      </c>
      <c r="N412" s="440">
        <v>4.3999999999999997E-2</v>
      </c>
      <c r="O412" s="390">
        <v>6.0000000000000001E-3</v>
      </c>
      <c r="P412" s="390">
        <v>0</v>
      </c>
      <c r="Q412" s="390">
        <v>0</v>
      </c>
      <c r="R412" s="390">
        <v>0</v>
      </c>
      <c r="S412" s="63" t="s">
        <v>476</v>
      </c>
      <c r="T412" s="63"/>
      <c r="U412" s="1039"/>
      <c r="V412" s="1039"/>
      <c r="W412" s="1039"/>
      <c r="X412" s="64" t="s">
        <v>2364</v>
      </c>
      <c r="Y412" s="439"/>
      <c r="Z412" s="439"/>
      <c r="AA412" s="439"/>
    </row>
    <row r="413" spans="1:27" ht="15" customHeight="1">
      <c r="A413" s="63">
        <f t="shared" si="56"/>
        <v>410</v>
      </c>
      <c r="B413" s="63" t="s">
        <v>1308</v>
      </c>
      <c r="C413" s="63" t="s">
        <v>623</v>
      </c>
      <c r="D413" s="1234" t="s">
        <v>1398</v>
      </c>
      <c r="E413" s="64">
        <v>0</v>
      </c>
      <c r="F413" s="65" t="s">
        <v>621</v>
      </c>
      <c r="G413" s="389">
        <f t="shared" ref="G413:K463" si="57">+INDEX($AW$4:$AW$138,MATCH(G$3&amp;$M413,$AT$4:$AT$138,0))</f>
        <v>0.65999999999999992</v>
      </c>
      <c r="H413" s="389">
        <f t="shared" si="57"/>
        <v>0.57999999999999996</v>
      </c>
      <c r="I413" s="389">
        <f t="shared" si="57"/>
        <v>0.48999999999999988</v>
      </c>
      <c r="J413" s="389">
        <f t="shared" si="57"/>
        <v>0.41</v>
      </c>
      <c r="K413" s="389">
        <f t="shared" si="57"/>
        <v>0.35</v>
      </c>
      <c r="L413" s="720">
        <v>0.06</v>
      </c>
      <c r="M413" s="63" t="s">
        <v>3189</v>
      </c>
      <c r="N413" s="440">
        <v>4.3999999999999997E-2</v>
      </c>
      <c r="O413" s="390">
        <v>6.0000000000000001E-3</v>
      </c>
      <c r="P413" s="390">
        <v>0</v>
      </c>
      <c r="Q413" s="390">
        <v>0</v>
      </c>
      <c r="R413" s="390">
        <v>0</v>
      </c>
      <c r="S413" s="63" t="s">
        <v>476</v>
      </c>
      <c r="T413" s="63"/>
      <c r="U413" s="1039"/>
      <c r="V413" s="1039"/>
      <c r="W413" s="1039"/>
      <c r="X413" s="64" t="s">
        <v>2364</v>
      </c>
      <c r="Y413" s="439"/>
      <c r="Z413" s="439"/>
      <c r="AA413" s="439"/>
    </row>
    <row r="414" spans="1:27" ht="15" customHeight="1">
      <c r="A414" s="63">
        <f t="shared" si="56"/>
        <v>411</v>
      </c>
      <c r="B414" s="63" t="s">
        <v>2332</v>
      </c>
      <c r="C414" s="63" t="s">
        <v>623</v>
      </c>
      <c r="D414" s="1234" t="s">
        <v>2384</v>
      </c>
      <c r="E414" s="64">
        <v>0</v>
      </c>
      <c r="F414" s="65" t="s">
        <v>621</v>
      </c>
      <c r="G414" s="389">
        <f t="shared" si="57"/>
        <v>0.65999999999999992</v>
      </c>
      <c r="H414" s="389">
        <f t="shared" si="57"/>
        <v>0.57999999999999996</v>
      </c>
      <c r="I414" s="389">
        <f t="shared" si="57"/>
        <v>0.48999999999999988</v>
      </c>
      <c r="J414" s="389">
        <f t="shared" si="57"/>
        <v>0.41</v>
      </c>
      <c r="K414" s="389">
        <f t="shared" si="57"/>
        <v>0.35</v>
      </c>
      <c r="L414" s="720">
        <v>0.06</v>
      </c>
      <c r="M414" s="63" t="s">
        <v>3189</v>
      </c>
      <c r="N414" s="440">
        <v>4.3999999999999997E-2</v>
      </c>
      <c r="O414" s="390">
        <v>6.0000000000000001E-3</v>
      </c>
      <c r="P414" s="390">
        <v>0</v>
      </c>
      <c r="Q414" s="390">
        <v>0</v>
      </c>
      <c r="R414" s="390">
        <v>0</v>
      </c>
      <c r="S414" s="63" t="s">
        <v>476</v>
      </c>
      <c r="T414" s="63"/>
      <c r="U414" s="1039"/>
      <c r="V414" s="1039"/>
      <c r="W414" s="1039"/>
      <c r="X414" s="64" t="s">
        <v>2364</v>
      </c>
      <c r="Y414" s="439"/>
      <c r="Z414" s="439"/>
      <c r="AA414" s="439"/>
    </row>
    <row r="415" spans="1:27" ht="15" customHeight="1">
      <c r="A415" s="63">
        <f t="shared" si="56"/>
        <v>412</v>
      </c>
      <c r="B415" s="63" t="s">
        <v>1308</v>
      </c>
      <c r="C415" s="63" t="s">
        <v>623</v>
      </c>
      <c r="D415" s="1234" t="s">
        <v>2233</v>
      </c>
      <c r="E415" s="64">
        <v>0</v>
      </c>
      <c r="F415" s="65" t="s">
        <v>621</v>
      </c>
      <c r="G415" s="389">
        <f t="shared" si="57"/>
        <v>0.54</v>
      </c>
      <c r="H415" s="389">
        <f t="shared" si="57"/>
        <v>0.45999999999999996</v>
      </c>
      <c r="I415" s="389">
        <f t="shared" si="57"/>
        <v>0.37</v>
      </c>
      <c r="J415" s="389">
        <f t="shared" si="57"/>
        <v>0.28999999999999998</v>
      </c>
      <c r="K415" s="389">
        <f t="shared" si="57"/>
        <v>0.23</v>
      </c>
      <c r="L415" s="720">
        <v>0.06</v>
      </c>
      <c r="M415" s="63" t="s">
        <v>3181</v>
      </c>
      <c r="N415" s="440">
        <v>4.3999999999999997E-2</v>
      </c>
      <c r="O415" s="390">
        <v>6.0000000000000001E-3</v>
      </c>
      <c r="P415" s="390">
        <v>0</v>
      </c>
      <c r="Q415" s="390">
        <v>0</v>
      </c>
      <c r="R415" s="390">
        <v>0</v>
      </c>
      <c r="S415" s="63" t="s">
        <v>476</v>
      </c>
      <c r="T415" s="63"/>
      <c r="U415" s="1039"/>
      <c r="V415" s="1039"/>
      <c r="W415" s="1039"/>
      <c r="X415" s="64" t="s">
        <v>2364</v>
      </c>
      <c r="Y415" s="439"/>
      <c r="Z415" s="439"/>
      <c r="AA415" s="439"/>
    </row>
    <row r="416" spans="1:27" ht="15" customHeight="1">
      <c r="A416" s="63">
        <f t="shared" si="56"/>
        <v>413</v>
      </c>
      <c r="B416" s="63" t="s">
        <v>1308</v>
      </c>
      <c r="C416" s="63" t="s">
        <v>2380</v>
      </c>
      <c r="D416" s="1234" t="s">
        <v>2137</v>
      </c>
      <c r="E416" s="64">
        <v>0</v>
      </c>
      <c r="F416" s="65" t="s">
        <v>190</v>
      </c>
      <c r="G416" s="389">
        <f t="shared" si="57"/>
        <v>0.54</v>
      </c>
      <c r="H416" s="389">
        <f t="shared" si="57"/>
        <v>0.45999999999999996</v>
      </c>
      <c r="I416" s="389">
        <f t="shared" si="57"/>
        <v>0.37</v>
      </c>
      <c r="J416" s="389">
        <f t="shared" si="57"/>
        <v>0.28999999999999998</v>
      </c>
      <c r="K416" s="389">
        <f t="shared" si="57"/>
        <v>0.23</v>
      </c>
      <c r="L416" s="720">
        <v>0.06</v>
      </c>
      <c r="M416" s="63" t="s">
        <v>3179</v>
      </c>
      <c r="N416" s="440">
        <v>4.3999999999999997E-2</v>
      </c>
      <c r="O416" s="390">
        <v>6.0000000000000001E-3</v>
      </c>
      <c r="P416" s="390">
        <v>0</v>
      </c>
      <c r="Q416" s="390">
        <v>0</v>
      </c>
      <c r="R416" s="390">
        <v>0</v>
      </c>
      <c r="S416" s="63" t="s">
        <v>476</v>
      </c>
      <c r="T416" s="63"/>
      <c r="U416" s="1039"/>
      <c r="V416" s="1039"/>
      <c r="W416" s="1039"/>
      <c r="X416" s="64" t="s">
        <v>2364</v>
      </c>
      <c r="Y416" s="439"/>
      <c r="Z416" s="439"/>
      <c r="AA416" s="439"/>
    </row>
    <row r="417" spans="1:43" ht="15" customHeight="1">
      <c r="A417" s="63">
        <f t="shared" si="56"/>
        <v>414</v>
      </c>
      <c r="B417" s="63" t="s">
        <v>1308</v>
      </c>
      <c r="C417" s="63" t="s">
        <v>623</v>
      </c>
      <c r="D417" s="1236" t="s">
        <v>3135</v>
      </c>
      <c r="E417" s="64">
        <v>0</v>
      </c>
      <c r="F417" s="65" t="s">
        <v>190</v>
      </c>
      <c r="G417" s="389">
        <f t="shared" si="57"/>
        <v>0.54</v>
      </c>
      <c r="H417" s="389">
        <f t="shared" si="57"/>
        <v>0.45999999999999996</v>
      </c>
      <c r="I417" s="389">
        <f t="shared" si="57"/>
        <v>0.37</v>
      </c>
      <c r="J417" s="389">
        <f t="shared" si="57"/>
        <v>0.28999999999999998</v>
      </c>
      <c r="K417" s="389">
        <f t="shared" si="57"/>
        <v>0.23</v>
      </c>
      <c r="L417" s="720">
        <v>0.06</v>
      </c>
      <c r="M417" s="63" t="s">
        <v>3190</v>
      </c>
      <c r="N417" s="440">
        <v>4.3999999999999997E-2</v>
      </c>
      <c r="O417" s="390">
        <v>6.0000000000000001E-3</v>
      </c>
      <c r="P417" s="390">
        <v>0</v>
      </c>
      <c r="Q417" s="390">
        <v>0</v>
      </c>
      <c r="R417" s="390">
        <v>0</v>
      </c>
      <c r="S417" s="63" t="s">
        <v>476</v>
      </c>
      <c r="T417" s="63"/>
      <c r="U417" s="1039"/>
      <c r="V417" s="1039"/>
      <c r="W417" s="1039"/>
      <c r="X417" s="64" t="s">
        <v>2364</v>
      </c>
      <c r="Y417" s="439"/>
      <c r="Z417" s="439"/>
      <c r="AA417" s="439"/>
    </row>
    <row r="418" spans="1:43" ht="15" customHeight="1">
      <c r="A418" s="63">
        <f t="shared" si="56"/>
        <v>415</v>
      </c>
      <c r="B418" s="63" t="s">
        <v>1308</v>
      </c>
      <c r="C418" s="63" t="s">
        <v>623</v>
      </c>
      <c r="D418" s="1234" t="s">
        <v>1399</v>
      </c>
      <c r="E418" s="64">
        <v>0</v>
      </c>
      <c r="F418" s="65" t="s">
        <v>190</v>
      </c>
      <c r="G418" s="389">
        <f t="shared" si="57"/>
        <v>0.54</v>
      </c>
      <c r="H418" s="389">
        <f t="shared" si="57"/>
        <v>0.45999999999999996</v>
      </c>
      <c r="I418" s="389">
        <f t="shared" si="57"/>
        <v>0.37</v>
      </c>
      <c r="J418" s="389">
        <f t="shared" si="57"/>
        <v>0.28999999999999998</v>
      </c>
      <c r="K418" s="389">
        <f t="shared" si="57"/>
        <v>0.23</v>
      </c>
      <c r="L418" s="720">
        <v>0.06</v>
      </c>
      <c r="M418" s="63" t="s">
        <v>3175</v>
      </c>
      <c r="N418" s="440">
        <v>4.3999999999999997E-2</v>
      </c>
      <c r="O418" s="390">
        <v>6.0000000000000001E-3</v>
      </c>
      <c r="P418" s="390">
        <v>0</v>
      </c>
      <c r="Q418" s="390">
        <v>0</v>
      </c>
      <c r="R418" s="390">
        <v>0</v>
      </c>
      <c r="S418" s="63" t="s">
        <v>476</v>
      </c>
      <c r="T418" s="63"/>
      <c r="U418" s="1039"/>
      <c r="V418" s="1039"/>
      <c r="W418" s="1039"/>
      <c r="X418" s="64" t="s">
        <v>2364</v>
      </c>
      <c r="Y418" s="439"/>
      <c r="Z418" s="439"/>
      <c r="AA418" s="439"/>
    </row>
    <row r="419" spans="1:43" ht="15" customHeight="1">
      <c r="A419" s="63">
        <f t="shared" si="56"/>
        <v>416</v>
      </c>
      <c r="B419" s="63" t="s">
        <v>1308</v>
      </c>
      <c r="C419" s="63" t="s">
        <v>2380</v>
      </c>
      <c r="D419" s="1234" t="s">
        <v>1449</v>
      </c>
      <c r="E419" s="64">
        <v>0</v>
      </c>
      <c r="F419" s="65" t="s">
        <v>190</v>
      </c>
      <c r="G419" s="389">
        <f t="shared" si="57"/>
        <v>0.54</v>
      </c>
      <c r="H419" s="389">
        <f t="shared" si="57"/>
        <v>0.45999999999999996</v>
      </c>
      <c r="I419" s="389">
        <f t="shared" si="57"/>
        <v>0.37</v>
      </c>
      <c r="J419" s="389">
        <f t="shared" si="57"/>
        <v>0.28999999999999998</v>
      </c>
      <c r="K419" s="389">
        <f t="shared" si="57"/>
        <v>0.23</v>
      </c>
      <c r="L419" s="720">
        <v>0.06</v>
      </c>
      <c r="M419" s="63" t="s">
        <v>3175</v>
      </c>
      <c r="N419" s="440">
        <v>4.3999999999999997E-2</v>
      </c>
      <c r="O419" s="390">
        <v>6.0000000000000001E-3</v>
      </c>
      <c r="P419" s="390">
        <v>0</v>
      </c>
      <c r="Q419" s="390">
        <v>0</v>
      </c>
      <c r="R419" s="390">
        <v>0</v>
      </c>
      <c r="S419" s="63" t="s">
        <v>476</v>
      </c>
      <c r="T419" s="63"/>
      <c r="U419" s="1039"/>
      <c r="V419" s="1039"/>
      <c r="W419" s="1039"/>
      <c r="X419" s="64" t="s">
        <v>2364</v>
      </c>
      <c r="Y419" s="439"/>
      <c r="Z419" s="439"/>
      <c r="AA419" s="439"/>
    </row>
    <row r="420" spans="1:43" ht="15" customHeight="1">
      <c r="A420" s="63">
        <f t="shared" si="56"/>
        <v>417</v>
      </c>
      <c r="B420" s="63" t="s">
        <v>1308</v>
      </c>
      <c r="C420" s="63" t="s">
        <v>623</v>
      </c>
      <c r="D420" s="1234" t="s">
        <v>1494</v>
      </c>
      <c r="E420" s="64">
        <v>0</v>
      </c>
      <c r="F420" s="65" t="s">
        <v>190</v>
      </c>
      <c r="G420" s="389">
        <f t="shared" si="57"/>
        <v>0.54</v>
      </c>
      <c r="H420" s="389">
        <f t="shared" si="57"/>
        <v>0.45999999999999996</v>
      </c>
      <c r="I420" s="389">
        <f t="shared" si="57"/>
        <v>0.37</v>
      </c>
      <c r="J420" s="389">
        <f t="shared" si="57"/>
        <v>0.28999999999999998</v>
      </c>
      <c r="K420" s="389">
        <f t="shared" si="57"/>
        <v>0.23</v>
      </c>
      <c r="L420" s="720">
        <v>0.06</v>
      </c>
      <c r="M420" s="63" t="s">
        <v>3175</v>
      </c>
      <c r="N420" s="440">
        <v>4.3999999999999997E-2</v>
      </c>
      <c r="O420" s="390">
        <v>6.0000000000000001E-3</v>
      </c>
      <c r="P420" s="390">
        <v>0</v>
      </c>
      <c r="Q420" s="390">
        <v>0</v>
      </c>
      <c r="R420" s="390">
        <v>0</v>
      </c>
      <c r="S420" s="63" t="s">
        <v>476</v>
      </c>
      <c r="T420" s="63"/>
      <c r="U420" s="1039"/>
      <c r="V420" s="1039"/>
      <c r="W420" s="1039"/>
      <c r="X420" s="64" t="s">
        <v>2364</v>
      </c>
      <c r="Y420" s="439"/>
      <c r="Z420" s="439"/>
      <c r="AA420" s="439"/>
    </row>
    <row r="421" spans="1:43" ht="15" customHeight="1">
      <c r="A421" s="63">
        <f t="shared" si="56"/>
        <v>418</v>
      </c>
      <c r="B421" s="63" t="s">
        <v>1308</v>
      </c>
      <c r="C421" s="63"/>
      <c r="D421" s="63"/>
      <c r="E421" s="64"/>
      <c r="F421" s="65"/>
      <c r="G421" s="389" t="e">
        <f t="shared" si="57"/>
        <v>#N/A</v>
      </c>
      <c r="H421" s="389" t="e">
        <f t="shared" si="57"/>
        <v>#N/A</v>
      </c>
      <c r="I421" s="389" t="e">
        <f t="shared" si="57"/>
        <v>#N/A</v>
      </c>
      <c r="J421" s="389" t="e">
        <f t="shared" si="57"/>
        <v>#N/A</v>
      </c>
      <c r="K421" s="389" t="e">
        <f t="shared" si="57"/>
        <v>#N/A</v>
      </c>
      <c r="L421" s="720"/>
      <c r="M421" s="63"/>
      <c r="N421" s="440"/>
      <c r="O421" s="390"/>
      <c r="P421" s="390">
        <v>0</v>
      </c>
      <c r="Q421" s="390">
        <v>0</v>
      </c>
      <c r="R421" s="390">
        <v>0</v>
      </c>
      <c r="S421" s="63" t="s">
        <v>476</v>
      </c>
      <c r="T421" s="63"/>
      <c r="U421" s="1039"/>
      <c r="V421" s="1039"/>
      <c r="W421" s="1039"/>
      <c r="X421" s="64" t="s">
        <v>2364</v>
      </c>
      <c r="Y421" s="439"/>
      <c r="Z421" s="439"/>
      <c r="AA421" s="439"/>
    </row>
    <row r="422" spans="1:43" ht="15" customHeight="1">
      <c r="A422" s="63">
        <f t="shared" si="56"/>
        <v>419</v>
      </c>
      <c r="B422" s="63" t="s">
        <v>1308</v>
      </c>
      <c r="C422" s="63"/>
      <c r="D422" s="63"/>
      <c r="E422" s="64"/>
      <c r="F422" s="65"/>
      <c r="G422" s="389" t="e">
        <f t="shared" si="57"/>
        <v>#N/A</v>
      </c>
      <c r="H422" s="389" t="e">
        <f t="shared" si="57"/>
        <v>#N/A</v>
      </c>
      <c r="I422" s="389" t="e">
        <f t="shared" si="57"/>
        <v>#N/A</v>
      </c>
      <c r="J422" s="389" t="e">
        <f t="shared" si="57"/>
        <v>#N/A</v>
      </c>
      <c r="K422" s="389" t="e">
        <f t="shared" si="57"/>
        <v>#N/A</v>
      </c>
      <c r="L422" s="720"/>
      <c r="M422" s="63"/>
      <c r="N422" s="440"/>
      <c r="O422" s="390"/>
      <c r="P422" s="390">
        <v>0</v>
      </c>
      <c r="Q422" s="390">
        <v>0</v>
      </c>
      <c r="R422" s="390">
        <v>0</v>
      </c>
      <c r="S422" s="63" t="s">
        <v>476</v>
      </c>
      <c r="T422" s="63"/>
      <c r="U422" s="1039"/>
      <c r="V422" s="1039"/>
      <c r="W422" s="1039"/>
      <c r="X422" s="64" t="s">
        <v>2364</v>
      </c>
      <c r="Y422" s="439"/>
      <c r="Z422" s="439"/>
      <c r="AA422" s="439"/>
    </row>
    <row r="423" spans="1:43" ht="15" customHeight="1">
      <c r="A423" s="63">
        <f t="shared" si="56"/>
        <v>420</v>
      </c>
      <c r="B423" s="63" t="s">
        <v>1308</v>
      </c>
      <c r="C423" s="63"/>
      <c r="D423" s="63"/>
      <c r="E423" s="64"/>
      <c r="F423" s="65"/>
      <c r="G423" s="389" t="e">
        <f t="shared" si="57"/>
        <v>#N/A</v>
      </c>
      <c r="H423" s="389" t="e">
        <f t="shared" si="57"/>
        <v>#N/A</v>
      </c>
      <c r="I423" s="389" t="e">
        <f t="shared" si="57"/>
        <v>#N/A</v>
      </c>
      <c r="J423" s="389" t="e">
        <f t="shared" si="57"/>
        <v>#N/A</v>
      </c>
      <c r="K423" s="389" t="e">
        <f t="shared" si="57"/>
        <v>#N/A</v>
      </c>
      <c r="L423" s="720"/>
      <c r="M423" s="63"/>
      <c r="N423" s="440"/>
      <c r="O423" s="390"/>
      <c r="P423" s="390">
        <v>0</v>
      </c>
      <c r="Q423" s="390">
        <v>0</v>
      </c>
      <c r="R423" s="390">
        <v>0</v>
      </c>
      <c r="S423" s="63" t="s">
        <v>476</v>
      </c>
      <c r="T423" s="63"/>
      <c r="U423" s="1039"/>
      <c r="V423" s="1039"/>
      <c r="W423" s="1039"/>
      <c r="X423" s="64" t="s">
        <v>2364</v>
      </c>
      <c r="Y423" s="439"/>
      <c r="Z423" s="439"/>
      <c r="AA423" s="439"/>
    </row>
    <row r="424" spans="1:43" ht="15" customHeight="1">
      <c r="A424" s="63">
        <f t="shared" si="56"/>
        <v>421</v>
      </c>
      <c r="B424" s="63" t="s">
        <v>1308</v>
      </c>
      <c r="C424" s="63"/>
      <c r="D424" s="63"/>
      <c r="E424" s="64"/>
      <c r="F424" s="65"/>
      <c r="G424" s="389" t="e">
        <f t="shared" si="57"/>
        <v>#N/A</v>
      </c>
      <c r="H424" s="389" t="e">
        <f t="shared" si="57"/>
        <v>#N/A</v>
      </c>
      <c r="I424" s="389" t="e">
        <f t="shared" si="57"/>
        <v>#N/A</v>
      </c>
      <c r="J424" s="389" t="e">
        <f t="shared" si="57"/>
        <v>#N/A</v>
      </c>
      <c r="K424" s="389" t="e">
        <f t="shared" si="57"/>
        <v>#N/A</v>
      </c>
      <c r="L424" s="720"/>
      <c r="M424" s="63"/>
      <c r="N424" s="440"/>
      <c r="O424" s="390"/>
      <c r="P424" s="390">
        <v>0</v>
      </c>
      <c r="Q424" s="390">
        <v>0</v>
      </c>
      <c r="R424" s="390">
        <v>0</v>
      </c>
      <c r="S424" s="63" t="s">
        <v>476</v>
      </c>
      <c r="T424" s="63"/>
      <c r="U424" s="1039"/>
      <c r="V424" s="1039"/>
      <c r="W424" s="1039"/>
      <c r="X424" s="64" t="s">
        <v>2364</v>
      </c>
      <c r="Y424" s="439"/>
      <c r="Z424" s="439"/>
      <c r="AA424" s="439"/>
    </row>
    <row r="425" spans="1:43" ht="15" customHeight="1">
      <c r="A425" s="63">
        <f t="shared" si="56"/>
        <v>422</v>
      </c>
      <c r="B425" s="63" t="s">
        <v>1308</v>
      </c>
      <c r="C425" s="63"/>
      <c r="D425" s="63"/>
      <c r="E425" s="64"/>
      <c r="F425" s="65"/>
      <c r="G425" s="389" t="e">
        <f t="shared" si="57"/>
        <v>#N/A</v>
      </c>
      <c r="H425" s="389" t="e">
        <f t="shared" si="57"/>
        <v>#N/A</v>
      </c>
      <c r="I425" s="389" t="e">
        <f t="shared" si="57"/>
        <v>#N/A</v>
      </c>
      <c r="J425" s="389" t="e">
        <f t="shared" si="57"/>
        <v>#N/A</v>
      </c>
      <c r="K425" s="389" t="e">
        <f t="shared" si="57"/>
        <v>#N/A</v>
      </c>
      <c r="L425" s="720"/>
      <c r="M425" s="63"/>
      <c r="N425" s="440"/>
      <c r="O425" s="390"/>
      <c r="P425" s="390">
        <v>0</v>
      </c>
      <c r="Q425" s="390">
        <v>0</v>
      </c>
      <c r="R425" s="390">
        <v>0</v>
      </c>
      <c r="S425" s="63" t="s">
        <v>476</v>
      </c>
      <c r="T425" s="63"/>
      <c r="U425" s="1039"/>
      <c r="V425" s="1039"/>
      <c r="W425" s="1039"/>
      <c r="X425" s="64" t="s">
        <v>2364</v>
      </c>
      <c r="Y425" s="439"/>
      <c r="Z425" s="439"/>
      <c r="AA425" s="439"/>
    </row>
    <row r="426" spans="1:43" ht="15" customHeight="1">
      <c r="A426" s="63">
        <f t="shared" si="56"/>
        <v>423</v>
      </c>
      <c r="B426" s="63" t="s">
        <v>1308</v>
      </c>
      <c r="C426" s="63" t="s">
        <v>2001</v>
      </c>
      <c r="D426" s="63" t="s">
        <v>2385</v>
      </c>
      <c r="E426" s="64">
        <v>1997</v>
      </c>
      <c r="F426" s="65" t="s">
        <v>189</v>
      </c>
      <c r="G426" s="389">
        <f t="shared" si="57"/>
        <v>0.59</v>
      </c>
      <c r="H426" s="389">
        <f t="shared" si="57"/>
        <v>0.51</v>
      </c>
      <c r="I426" s="389">
        <f t="shared" si="57"/>
        <v>0.42</v>
      </c>
      <c r="J426" s="389">
        <f t="shared" si="57"/>
        <v>0.34</v>
      </c>
      <c r="K426" s="389">
        <f t="shared" si="57"/>
        <v>0.28000000000000003</v>
      </c>
      <c r="L426" s="720">
        <v>0.06</v>
      </c>
      <c r="M426" s="63" t="s">
        <v>3177</v>
      </c>
      <c r="N426" s="440">
        <v>4.4999999999999998E-2</v>
      </c>
      <c r="O426" s="390">
        <v>6.0000000000000001E-3</v>
      </c>
      <c r="P426" s="390">
        <v>0</v>
      </c>
      <c r="Q426" s="390">
        <v>0</v>
      </c>
      <c r="R426" s="390">
        <v>0</v>
      </c>
      <c r="S426" s="63" t="s">
        <v>476</v>
      </c>
      <c r="T426" s="63"/>
      <c r="U426" s="1039"/>
      <c r="V426" s="1039"/>
      <c r="W426" s="1039"/>
      <c r="X426" s="64" t="s">
        <v>2364</v>
      </c>
      <c r="Y426" s="439"/>
      <c r="Z426" s="439"/>
      <c r="AA426" s="439"/>
    </row>
    <row r="427" spans="1:43" ht="15" customHeight="1">
      <c r="A427" s="63">
        <f t="shared" si="56"/>
        <v>424</v>
      </c>
      <c r="B427" s="63" t="s">
        <v>1308</v>
      </c>
      <c r="C427" s="63" t="s">
        <v>2001</v>
      </c>
      <c r="D427" s="63" t="s">
        <v>2022</v>
      </c>
      <c r="E427" s="64">
        <v>1997</v>
      </c>
      <c r="F427" s="65" t="s">
        <v>189</v>
      </c>
      <c r="G427" s="389">
        <f t="shared" si="57"/>
        <v>0.59</v>
      </c>
      <c r="H427" s="389">
        <f t="shared" si="57"/>
        <v>0.51</v>
      </c>
      <c r="I427" s="389">
        <f t="shared" si="57"/>
        <v>0.42</v>
      </c>
      <c r="J427" s="389">
        <f t="shared" si="57"/>
        <v>0.34</v>
      </c>
      <c r="K427" s="389">
        <f t="shared" si="57"/>
        <v>0.28000000000000003</v>
      </c>
      <c r="L427" s="720">
        <v>0.06</v>
      </c>
      <c r="M427" s="63" t="s">
        <v>3177</v>
      </c>
      <c r="N427" s="440">
        <v>4.4999999999999998E-2</v>
      </c>
      <c r="O427" s="390">
        <v>6.0000000000000001E-3</v>
      </c>
      <c r="P427" s="390">
        <v>0</v>
      </c>
      <c r="Q427" s="390">
        <v>0</v>
      </c>
      <c r="R427" s="390">
        <v>0</v>
      </c>
      <c r="S427" s="63" t="s">
        <v>476</v>
      </c>
      <c r="T427" s="63"/>
      <c r="U427" s="1039"/>
      <c r="V427" s="1039"/>
      <c r="W427" s="1039"/>
      <c r="X427" s="64" t="s">
        <v>2364</v>
      </c>
      <c r="Y427" s="439"/>
      <c r="Z427" s="439"/>
      <c r="AA427" s="439"/>
    </row>
    <row r="428" spans="1:43" ht="15" customHeight="1">
      <c r="A428" s="63">
        <f t="shared" si="56"/>
        <v>425</v>
      </c>
      <c r="B428" s="63" t="s">
        <v>1308</v>
      </c>
      <c r="C428" s="63" t="s">
        <v>2001</v>
      </c>
      <c r="D428" s="63" t="s">
        <v>1515</v>
      </c>
      <c r="E428" s="64">
        <v>1997</v>
      </c>
      <c r="F428" s="65" t="s">
        <v>144</v>
      </c>
      <c r="G428" s="389">
        <f t="shared" si="57"/>
        <v>0.54</v>
      </c>
      <c r="H428" s="389">
        <f t="shared" si="57"/>
        <v>0.45999999999999996</v>
      </c>
      <c r="I428" s="389">
        <f t="shared" si="57"/>
        <v>0.37</v>
      </c>
      <c r="J428" s="389">
        <f t="shared" si="57"/>
        <v>0.28999999999999998</v>
      </c>
      <c r="K428" s="389">
        <f t="shared" si="57"/>
        <v>0.23</v>
      </c>
      <c r="L428" s="720">
        <v>0.06</v>
      </c>
      <c r="M428" s="63" t="s">
        <v>3178</v>
      </c>
      <c r="N428" s="440">
        <v>4.4999999999999998E-2</v>
      </c>
      <c r="O428" s="390">
        <v>6.0000000000000001E-3</v>
      </c>
      <c r="P428" s="390">
        <v>0</v>
      </c>
      <c r="Q428" s="390">
        <v>0</v>
      </c>
      <c r="R428" s="390">
        <v>0</v>
      </c>
      <c r="S428" s="63" t="s">
        <v>476</v>
      </c>
      <c r="T428" s="63"/>
      <c r="U428" s="1039"/>
      <c r="V428" s="1039"/>
      <c r="W428" s="1039"/>
      <c r="X428" s="64" t="s">
        <v>2364</v>
      </c>
      <c r="Y428" s="439"/>
      <c r="Z428" s="439"/>
      <c r="AA428" s="439"/>
    </row>
    <row r="429" spans="1:43" ht="15" customHeight="1">
      <c r="A429" s="63">
        <f t="shared" si="56"/>
        <v>426</v>
      </c>
      <c r="B429" s="63" t="s">
        <v>1308</v>
      </c>
      <c r="C429" s="63" t="s">
        <v>2001</v>
      </c>
      <c r="D429" s="63" t="s">
        <v>2002</v>
      </c>
      <c r="E429" s="64">
        <v>1997</v>
      </c>
      <c r="F429" s="65" t="s">
        <v>144</v>
      </c>
      <c r="G429" s="389">
        <f t="shared" si="57"/>
        <v>0.54</v>
      </c>
      <c r="H429" s="389">
        <f t="shared" si="57"/>
        <v>0.45999999999999996</v>
      </c>
      <c r="I429" s="389">
        <f t="shared" si="57"/>
        <v>0.37</v>
      </c>
      <c r="J429" s="389">
        <f t="shared" si="57"/>
        <v>0.28999999999999998</v>
      </c>
      <c r="K429" s="389">
        <f t="shared" si="57"/>
        <v>0.23</v>
      </c>
      <c r="L429" s="720">
        <v>0.06</v>
      </c>
      <c r="M429" s="63" t="s">
        <v>3175</v>
      </c>
      <c r="N429" s="440">
        <v>4.4999999999999998E-2</v>
      </c>
      <c r="O429" s="390">
        <v>6.0000000000000001E-3</v>
      </c>
      <c r="P429" s="390">
        <v>0</v>
      </c>
      <c r="Q429" s="390">
        <v>0</v>
      </c>
      <c r="R429" s="390">
        <v>0</v>
      </c>
      <c r="S429" s="63" t="s">
        <v>476</v>
      </c>
      <c r="T429" s="63"/>
      <c r="U429" s="1039"/>
      <c r="V429" s="1039"/>
      <c r="W429" s="1039"/>
      <c r="X429" s="64" t="s">
        <v>2364</v>
      </c>
      <c r="Y429" s="439"/>
      <c r="Z429" s="439"/>
      <c r="AA429" s="439"/>
    </row>
    <row r="430" spans="1:43" ht="15" customHeight="1">
      <c r="A430" s="63">
        <f t="shared" si="56"/>
        <v>427</v>
      </c>
      <c r="B430" s="63" t="s">
        <v>1308</v>
      </c>
      <c r="C430" s="63" t="s">
        <v>2001</v>
      </c>
      <c r="D430" s="1234" t="s">
        <v>2595</v>
      </c>
      <c r="E430" s="64">
        <v>1997</v>
      </c>
      <c r="F430" s="65" t="s">
        <v>189</v>
      </c>
      <c r="G430" s="389">
        <f t="shared" si="57"/>
        <v>0.59</v>
      </c>
      <c r="H430" s="389">
        <f t="shared" si="57"/>
        <v>0.51</v>
      </c>
      <c r="I430" s="389">
        <f t="shared" si="57"/>
        <v>0.42</v>
      </c>
      <c r="J430" s="389">
        <f t="shared" si="57"/>
        <v>0.34</v>
      </c>
      <c r="K430" s="389">
        <f t="shared" si="57"/>
        <v>0.28000000000000003</v>
      </c>
      <c r="L430" s="720">
        <v>0.06</v>
      </c>
      <c r="M430" s="63" t="s">
        <v>3191</v>
      </c>
      <c r="N430" s="440">
        <v>4.4999999999999998E-2</v>
      </c>
      <c r="O430" s="390">
        <v>6.0000000000000001E-3</v>
      </c>
      <c r="P430" s="390">
        <v>0</v>
      </c>
      <c r="Q430" s="390">
        <v>0</v>
      </c>
      <c r="R430" s="390">
        <v>0</v>
      </c>
      <c r="S430" s="63" t="s">
        <v>476</v>
      </c>
      <c r="T430" s="63"/>
      <c r="U430" s="1039"/>
      <c r="V430" s="1039"/>
      <c r="W430" s="1039"/>
      <c r="X430" s="64" t="s">
        <v>2364</v>
      </c>
      <c r="Y430" s="439"/>
      <c r="Z430" s="439"/>
      <c r="AA430" s="439"/>
    </row>
    <row r="431" spans="1:43" ht="15" customHeight="1">
      <c r="A431" s="63">
        <f t="shared" si="56"/>
        <v>428</v>
      </c>
      <c r="B431" s="63" t="s">
        <v>1308</v>
      </c>
      <c r="C431" s="63" t="s">
        <v>2001</v>
      </c>
      <c r="D431" s="1234" t="s">
        <v>1400</v>
      </c>
      <c r="E431" s="64">
        <v>1997</v>
      </c>
      <c r="F431" s="65" t="s">
        <v>189</v>
      </c>
      <c r="G431" s="389">
        <f t="shared" si="57"/>
        <v>0.59</v>
      </c>
      <c r="H431" s="389">
        <f t="shared" si="57"/>
        <v>0.51</v>
      </c>
      <c r="I431" s="389">
        <f t="shared" si="57"/>
        <v>0.42</v>
      </c>
      <c r="J431" s="389">
        <f t="shared" si="57"/>
        <v>0.34</v>
      </c>
      <c r="K431" s="389">
        <f t="shared" si="57"/>
        <v>0.28000000000000003</v>
      </c>
      <c r="L431" s="720">
        <v>0.06</v>
      </c>
      <c r="M431" s="63" t="s">
        <v>3177</v>
      </c>
      <c r="N431" s="440">
        <v>4.4999999999999998E-2</v>
      </c>
      <c r="O431" s="390">
        <v>6.0000000000000001E-3</v>
      </c>
      <c r="P431" s="390">
        <v>0</v>
      </c>
      <c r="Q431" s="390">
        <v>0</v>
      </c>
      <c r="R431" s="390">
        <v>0</v>
      </c>
      <c r="S431" s="63" t="s">
        <v>476</v>
      </c>
      <c r="T431" s="63"/>
      <c r="U431" s="1039"/>
      <c r="V431" s="1039"/>
      <c r="W431" s="1039"/>
      <c r="X431" s="64" t="s">
        <v>2364</v>
      </c>
      <c r="Y431" s="439"/>
      <c r="Z431" s="439"/>
      <c r="AA431" s="439"/>
    </row>
    <row r="432" spans="1:43" ht="15" customHeight="1">
      <c r="A432" s="63">
        <f t="shared" si="56"/>
        <v>429</v>
      </c>
      <c r="B432" s="63" t="s">
        <v>1308</v>
      </c>
      <c r="C432" s="63" t="s">
        <v>2001</v>
      </c>
      <c r="D432" s="63" t="s">
        <v>1401</v>
      </c>
      <c r="E432" s="64">
        <v>1997</v>
      </c>
      <c r="F432" s="65" t="s">
        <v>189</v>
      </c>
      <c r="G432" s="389">
        <f t="shared" si="57"/>
        <v>0.59</v>
      </c>
      <c r="H432" s="389">
        <f t="shared" si="57"/>
        <v>0.51</v>
      </c>
      <c r="I432" s="389">
        <f t="shared" si="57"/>
        <v>0.42</v>
      </c>
      <c r="J432" s="389">
        <f t="shared" si="57"/>
        <v>0.34</v>
      </c>
      <c r="K432" s="389">
        <f t="shared" si="57"/>
        <v>0.28000000000000003</v>
      </c>
      <c r="L432" s="720">
        <v>0.06</v>
      </c>
      <c r="M432" s="63" t="s">
        <v>3177</v>
      </c>
      <c r="N432" s="440">
        <v>4.4999999999999998E-2</v>
      </c>
      <c r="O432" s="390">
        <v>6.0000000000000001E-3</v>
      </c>
      <c r="P432" s="390">
        <v>0</v>
      </c>
      <c r="Q432" s="390">
        <v>0</v>
      </c>
      <c r="R432" s="390">
        <v>0</v>
      </c>
      <c r="S432" s="63" t="s">
        <v>476</v>
      </c>
      <c r="T432" s="63"/>
      <c r="U432" s="1039"/>
      <c r="V432" s="1039"/>
      <c r="W432" s="1039"/>
      <c r="X432" s="64" t="s">
        <v>2364</v>
      </c>
      <c r="Y432" s="439"/>
      <c r="Z432" s="439"/>
      <c r="AA432" s="439"/>
      <c r="AQ432" s="923" t="s">
        <v>1669</v>
      </c>
    </row>
    <row r="433" spans="1:43" ht="15" customHeight="1">
      <c r="A433" s="63">
        <f t="shared" si="56"/>
        <v>430</v>
      </c>
      <c r="B433" s="63" t="s">
        <v>1308</v>
      </c>
      <c r="C433" s="63" t="s">
        <v>2001</v>
      </c>
      <c r="D433" s="1236" t="s">
        <v>3141</v>
      </c>
      <c r="E433" s="64">
        <v>1997</v>
      </c>
      <c r="F433" s="65" t="s">
        <v>189</v>
      </c>
      <c r="G433" s="389">
        <f t="shared" si="57"/>
        <v>0.59</v>
      </c>
      <c r="H433" s="389">
        <f t="shared" si="57"/>
        <v>0.51</v>
      </c>
      <c r="I433" s="389">
        <f t="shared" si="57"/>
        <v>0.42</v>
      </c>
      <c r="J433" s="389">
        <f t="shared" si="57"/>
        <v>0.34</v>
      </c>
      <c r="K433" s="389">
        <f t="shared" si="57"/>
        <v>0.28000000000000003</v>
      </c>
      <c r="L433" s="720">
        <v>0.06</v>
      </c>
      <c r="M433" s="63" t="s">
        <v>3192</v>
      </c>
      <c r="N433" s="440">
        <v>4.4999999999999998E-2</v>
      </c>
      <c r="O433" s="390">
        <v>6.0000000000000001E-3</v>
      </c>
      <c r="P433" s="390">
        <v>0</v>
      </c>
      <c r="Q433" s="390">
        <v>0</v>
      </c>
      <c r="R433" s="390">
        <v>0</v>
      </c>
      <c r="S433" s="63" t="s">
        <v>476</v>
      </c>
      <c r="T433" s="63"/>
      <c r="U433" s="1039"/>
      <c r="V433" s="1039"/>
      <c r="W433" s="1039"/>
      <c r="X433" s="64" t="s">
        <v>2364</v>
      </c>
      <c r="Y433" s="439"/>
      <c r="Z433" s="439"/>
      <c r="AA433" s="439"/>
      <c r="AQ433" s="923" t="s">
        <v>1669</v>
      </c>
    </row>
    <row r="434" spans="1:43" ht="15" customHeight="1">
      <c r="A434" s="63">
        <f t="shared" si="56"/>
        <v>431</v>
      </c>
      <c r="B434" s="63" t="s">
        <v>2332</v>
      </c>
      <c r="C434" s="63" t="s">
        <v>2001</v>
      </c>
      <c r="D434" s="1234" t="s">
        <v>2023</v>
      </c>
      <c r="E434" s="64">
        <v>2997</v>
      </c>
      <c r="F434" s="65" t="s">
        <v>189</v>
      </c>
      <c r="G434" s="389">
        <f t="shared" si="57"/>
        <v>0.59</v>
      </c>
      <c r="H434" s="389">
        <f t="shared" si="57"/>
        <v>0.51</v>
      </c>
      <c r="I434" s="389">
        <f t="shared" si="57"/>
        <v>0.42</v>
      </c>
      <c r="J434" s="389">
        <f t="shared" si="57"/>
        <v>0.34</v>
      </c>
      <c r="K434" s="389">
        <f t="shared" si="57"/>
        <v>0.28000000000000003</v>
      </c>
      <c r="L434" s="720">
        <v>0.06</v>
      </c>
      <c r="M434" s="63" t="s">
        <v>3193</v>
      </c>
      <c r="N434" s="440">
        <v>4.4999999999999998E-2</v>
      </c>
      <c r="O434" s="390">
        <v>6.0000000000000001E-3</v>
      </c>
      <c r="P434" s="390">
        <v>0</v>
      </c>
      <c r="Q434" s="390">
        <v>0</v>
      </c>
      <c r="R434" s="390">
        <v>0</v>
      </c>
      <c r="S434" s="63" t="s">
        <v>476</v>
      </c>
      <c r="T434" s="63"/>
      <c r="U434" s="1039"/>
      <c r="V434" s="1039"/>
      <c r="W434" s="1039"/>
      <c r="X434" s="64" t="s">
        <v>2364</v>
      </c>
      <c r="Y434" s="439"/>
      <c r="Z434" s="439"/>
      <c r="AA434" s="439"/>
      <c r="AQ434" s="923" t="s">
        <v>1669</v>
      </c>
    </row>
    <row r="435" spans="1:43" ht="15" customHeight="1">
      <c r="A435" s="63">
        <f t="shared" si="56"/>
        <v>432</v>
      </c>
      <c r="B435" s="63" t="s">
        <v>1308</v>
      </c>
      <c r="C435" s="63" t="s">
        <v>2001</v>
      </c>
      <c r="D435" s="63" t="s">
        <v>2024</v>
      </c>
      <c r="E435" s="64">
        <v>2997</v>
      </c>
      <c r="F435" s="65" t="s">
        <v>189</v>
      </c>
      <c r="G435" s="389">
        <f t="shared" si="57"/>
        <v>0.59</v>
      </c>
      <c r="H435" s="389">
        <f t="shared" si="57"/>
        <v>0.51</v>
      </c>
      <c r="I435" s="389">
        <f t="shared" si="57"/>
        <v>0.42</v>
      </c>
      <c r="J435" s="389">
        <f t="shared" si="57"/>
        <v>0.34</v>
      </c>
      <c r="K435" s="389">
        <f t="shared" si="57"/>
        <v>0.28000000000000003</v>
      </c>
      <c r="L435" s="720">
        <v>0.06</v>
      </c>
      <c r="M435" s="63" t="s">
        <v>3162</v>
      </c>
      <c r="N435" s="440">
        <v>4.4999999999999998E-2</v>
      </c>
      <c r="O435" s="390">
        <v>6.0000000000000001E-3</v>
      </c>
      <c r="P435" s="390">
        <v>0</v>
      </c>
      <c r="Q435" s="390">
        <v>0</v>
      </c>
      <c r="R435" s="390">
        <v>0</v>
      </c>
      <c r="S435" s="63" t="s">
        <v>476</v>
      </c>
      <c r="T435" s="63"/>
      <c r="U435" s="1039"/>
      <c r="V435" s="1039"/>
      <c r="W435" s="1039"/>
      <c r="X435" s="64" t="s">
        <v>2364</v>
      </c>
      <c r="Y435" s="439"/>
      <c r="Z435" s="439"/>
      <c r="AA435" s="439"/>
      <c r="AQ435" s="923" t="s">
        <v>1669</v>
      </c>
    </row>
    <row r="436" spans="1:43" ht="15" customHeight="1">
      <c r="A436" s="63">
        <f t="shared" si="56"/>
        <v>433</v>
      </c>
      <c r="B436" s="63" t="s">
        <v>1308</v>
      </c>
      <c r="C436" s="63" t="s">
        <v>2001</v>
      </c>
      <c r="D436" s="1236" t="s">
        <v>3143</v>
      </c>
      <c r="E436" s="64">
        <v>2997</v>
      </c>
      <c r="F436" s="65" t="s">
        <v>189</v>
      </c>
      <c r="G436" s="389">
        <f t="shared" si="57"/>
        <v>0.59</v>
      </c>
      <c r="H436" s="389">
        <f t="shared" si="57"/>
        <v>0.51</v>
      </c>
      <c r="I436" s="389">
        <f t="shared" si="57"/>
        <v>0.42</v>
      </c>
      <c r="J436" s="389">
        <f t="shared" si="57"/>
        <v>0.34</v>
      </c>
      <c r="K436" s="389">
        <f t="shared" si="57"/>
        <v>0.28000000000000003</v>
      </c>
      <c r="L436" s="720">
        <v>0.06</v>
      </c>
      <c r="M436" s="63" t="s">
        <v>3191</v>
      </c>
      <c r="N436" s="440">
        <v>4.4999999999999998E-2</v>
      </c>
      <c r="O436" s="390">
        <v>6.0000000000000001E-3</v>
      </c>
      <c r="P436" s="390">
        <v>0</v>
      </c>
      <c r="Q436" s="390">
        <v>0</v>
      </c>
      <c r="R436" s="390">
        <v>0</v>
      </c>
      <c r="S436" s="63" t="s">
        <v>476</v>
      </c>
      <c r="T436" s="63"/>
      <c r="U436" s="1039"/>
      <c r="V436" s="1039"/>
      <c r="W436" s="1039"/>
      <c r="X436" s="64" t="s">
        <v>2364</v>
      </c>
      <c r="Y436" s="439"/>
      <c r="Z436" s="439"/>
      <c r="AA436" s="439"/>
      <c r="AQ436" s="923" t="s">
        <v>1669</v>
      </c>
    </row>
    <row r="437" spans="1:43" ht="15" customHeight="1">
      <c r="A437" s="63">
        <f t="shared" si="56"/>
        <v>434</v>
      </c>
      <c r="B437" s="63" t="s">
        <v>1308</v>
      </c>
      <c r="C437" s="63" t="s">
        <v>2001</v>
      </c>
      <c r="D437" s="1236" t="s">
        <v>3142</v>
      </c>
      <c r="E437" s="1235">
        <v>2996</v>
      </c>
      <c r="F437" s="65" t="s">
        <v>189</v>
      </c>
      <c r="G437" s="389">
        <f t="shared" si="57"/>
        <v>0.59</v>
      </c>
      <c r="H437" s="389">
        <f t="shared" si="57"/>
        <v>0.51</v>
      </c>
      <c r="I437" s="389">
        <f t="shared" si="57"/>
        <v>0.42</v>
      </c>
      <c r="J437" s="389">
        <f t="shared" si="57"/>
        <v>0.34</v>
      </c>
      <c r="K437" s="389">
        <f t="shared" si="57"/>
        <v>0.28000000000000003</v>
      </c>
      <c r="L437" s="720">
        <v>0.06</v>
      </c>
      <c r="M437" s="63" t="s">
        <v>3194</v>
      </c>
      <c r="N437" s="440">
        <v>4.4999999999999998E-2</v>
      </c>
      <c r="O437" s="390">
        <v>6.0000000000000001E-3</v>
      </c>
      <c r="P437" s="390">
        <v>0</v>
      </c>
      <c r="Q437" s="390">
        <v>0</v>
      </c>
      <c r="R437" s="390">
        <v>0</v>
      </c>
      <c r="S437" s="63" t="s">
        <v>476</v>
      </c>
      <c r="T437" s="63"/>
      <c r="U437" s="1039"/>
      <c r="V437" s="1039"/>
      <c r="W437" s="1039"/>
      <c r="X437" s="64" t="s">
        <v>2364</v>
      </c>
      <c r="Y437" s="439"/>
      <c r="Z437" s="439"/>
      <c r="AA437" s="439"/>
      <c r="AQ437" s="923" t="s">
        <v>1669</v>
      </c>
    </row>
    <row r="438" spans="1:43" ht="15" customHeight="1">
      <c r="A438" s="63">
        <f t="shared" si="56"/>
        <v>435</v>
      </c>
      <c r="B438" s="63" t="s">
        <v>1308</v>
      </c>
      <c r="C438" s="63" t="s">
        <v>2001</v>
      </c>
      <c r="D438" s="1234" t="s">
        <v>2025</v>
      </c>
      <c r="E438" s="64">
        <v>2997</v>
      </c>
      <c r="F438" s="65" t="s">
        <v>189</v>
      </c>
      <c r="G438" s="389">
        <f t="shared" si="57"/>
        <v>0.71</v>
      </c>
      <c r="H438" s="389">
        <f t="shared" si="57"/>
        <v>0.63</v>
      </c>
      <c r="I438" s="389">
        <f t="shared" si="57"/>
        <v>0.53999999999999992</v>
      </c>
      <c r="J438" s="389">
        <f t="shared" si="57"/>
        <v>0.46</v>
      </c>
      <c r="K438" s="389">
        <f t="shared" si="57"/>
        <v>0.4</v>
      </c>
      <c r="L438" s="720">
        <v>0.06</v>
      </c>
      <c r="M438" s="63" t="s">
        <v>3195</v>
      </c>
      <c r="N438" s="440">
        <v>4.4999999999999998E-2</v>
      </c>
      <c r="O438" s="390">
        <v>6.0000000000000001E-3</v>
      </c>
      <c r="P438" s="390">
        <v>0</v>
      </c>
      <c r="Q438" s="390">
        <v>0</v>
      </c>
      <c r="R438" s="390">
        <v>0</v>
      </c>
      <c r="S438" s="63" t="s">
        <v>595</v>
      </c>
      <c r="T438" s="63"/>
      <c r="U438" s="1039"/>
      <c r="V438" s="1039"/>
      <c r="W438" s="1039"/>
      <c r="X438" s="64" t="s">
        <v>2364</v>
      </c>
      <c r="Y438" s="439"/>
      <c r="Z438" s="439"/>
      <c r="AA438" s="439"/>
      <c r="AQ438" s="923" t="s">
        <v>1669</v>
      </c>
    </row>
    <row r="439" spans="1:43" ht="15" customHeight="1">
      <c r="A439" s="63">
        <f t="shared" si="56"/>
        <v>436</v>
      </c>
      <c r="B439" s="63" t="s">
        <v>2332</v>
      </c>
      <c r="C439" s="63" t="s">
        <v>2001</v>
      </c>
      <c r="D439" s="63" t="s">
        <v>2234</v>
      </c>
      <c r="E439" s="64">
        <v>2997</v>
      </c>
      <c r="F439" s="65" t="s">
        <v>189</v>
      </c>
      <c r="G439" s="389">
        <f t="shared" si="57"/>
        <v>0.71</v>
      </c>
      <c r="H439" s="389">
        <f t="shared" si="57"/>
        <v>0.63</v>
      </c>
      <c r="I439" s="389">
        <f t="shared" si="57"/>
        <v>0.53999999999999992</v>
      </c>
      <c r="J439" s="389">
        <f t="shared" si="57"/>
        <v>0.46</v>
      </c>
      <c r="K439" s="389">
        <f t="shared" si="57"/>
        <v>0.4</v>
      </c>
      <c r="L439" s="720">
        <v>0.06</v>
      </c>
      <c r="M439" s="63" t="s">
        <v>3196</v>
      </c>
      <c r="N439" s="440">
        <v>4.4999999999999998E-2</v>
      </c>
      <c r="O439" s="390">
        <v>6.0000000000000001E-3</v>
      </c>
      <c r="P439" s="390">
        <v>0</v>
      </c>
      <c r="Q439" s="390">
        <v>0</v>
      </c>
      <c r="R439" s="390">
        <v>0</v>
      </c>
      <c r="S439" s="63" t="s">
        <v>595</v>
      </c>
      <c r="T439" s="63"/>
      <c r="U439" s="1039"/>
      <c r="V439" s="1039"/>
      <c r="W439" s="1039"/>
      <c r="X439" s="64" t="s">
        <v>2364</v>
      </c>
      <c r="Y439" s="439"/>
      <c r="Z439" s="439"/>
      <c r="AA439" s="439"/>
      <c r="AQ439" s="923" t="s">
        <v>1669</v>
      </c>
    </row>
    <row r="440" spans="1:43" ht="15" customHeight="1">
      <c r="A440" s="63">
        <f t="shared" si="56"/>
        <v>437</v>
      </c>
      <c r="B440" s="63" t="s">
        <v>1308</v>
      </c>
      <c r="C440" s="63" t="s">
        <v>2001</v>
      </c>
      <c r="D440" s="1234" t="s">
        <v>2596</v>
      </c>
      <c r="E440" s="64">
        <v>2996</v>
      </c>
      <c r="F440" s="65" t="s">
        <v>189</v>
      </c>
      <c r="G440" s="389">
        <f t="shared" si="57"/>
        <v>0.71</v>
      </c>
      <c r="H440" s="389">
        <f t="shared" si="57"/>
        <v>0.63</v>
      </c>
      <c r="I440" s="389">
        <f t="shared" si="57"/>
        <v>0.53999999999999992</v>
      </c>
      <c r="J440" s="389">
        <f t="shared" si="57"/>
        <v>0.46</v>
      </c>
      <c r="K440" s="389">
        <f t="shared" si="57"/>
        <v>0.4</v>
      </c>
      <c r="L440" s="720">
        <v>0.06</v>
      </c>
      <c r="M440" s="63" t="s">
        <v>3195</v>
      </c>
      <c r="N440" s="440">
        <v>4.4999999999999998E-2</v>
      </c>
      <c r="O440" s="390">
        <v>6.0000000000000001E-3</v>
      </c>
      <c r="P440" s="390">
        <v>0</v>
      </c>
      <c r="Q440" s="390">
        <v>0</v>
      </c>
      <c r="R440" s="390">
        <v>0</v>
      </c>
      <c r="S440" s="63" t="s">
        <v>595</v>
      </c>
      <c r="T440" s="63"/>
      <c r="U440" s="1039"/>
      <c r="V440" s="1039"/>
      <c r="W440" s="1039"/>
      <c r="X440" s="64" t="s">
        <v>2364</v>
      </c>
      <c r="Y440" s="439"/>
      <c r="Z440" s="439"/>
      <c r="AA440" s="439"/>
      <c r="AQ440" s="923" t="s">
        <v>1669</v>
      </c>
    </row>
    <row r="441" spans="1:43" ht="15" customHeight="1">
      <c r="A441" s="63">
        <f t="shared" si="56"/>
        <v>438</v>
      </c>
      <c r="B441" s="63" t="s">
        <v>1308</v>
      </c>
      <c r="C441" s="63" t="s">
        <v>2001</v>
      </c>
      <c r="D441" s="63" t="s">
        <v>2026</v>
      </c>
      <c r="E441" s="64">
        <v>2997</v>
      </c>
      <c r="F441" s="65" t="s">
        <v>189</v>
      </c>
      <c r="G441" s="389">
        <f t="shared" si="57"/>
        <v>0.71</v>
      </c>
      <c r="H441" s="389">
        <f t="shared" si="57"/>
        <v>0.63</v>
      </c>
      <c r="I441" s="389">
        <f t="shared" si="57"/>
        <v>0.53999999999999992</v>
      </c>
      <c r="J441" s="389">
        <f t="shared" si="57"/>
        <v>0.46</v>
      </c>
      <c r="K441" s="389">
        <f t="shared" si="57"/>
        <v>0.4</v>
      </c>
      <c r="L441" s="720">
        <v>0.06</v>
      </c>
      <c r="M441" s="63" t="s">
        <v>3195</v>
      </c>
      <c r="N441" s="440">
        <v>4.4999999999999998E-2</v>
      </c>
      <c r="O441" s="390">
        <v>6.0000000000000001E-3</v>
      </c>
      <c r="P441" s="390">
        <v>0</v>
      </c>
      <c r="Q441" s="390">
        <v>0</v>
      </c>
      <c r="R441" s="390">
        <v>0</v>
      </c>
      <c r="S441" s="63" t="s">
        <v>2322</v>
      </c>
      <c r="T441" s="63"/>
      <c r="U441" s="1039"/>
      <c r="V441" s="1039"/>
      <c r="W441" s="1039"/>
      <c r="X441" s="64" t="s">
        <v>2364</v>
      </c>
      <c r="Y441" s="439"/>
      <c r="Z441" s="439"/>
      <c r="AA441" s="439"/>
      <c r="AQ441" s="923" t="s">
        <v>1669</v>
      </c>
    </row>
    <row r="442" spans="1:43" ht="15" customHeight="1">
      <c r="A442" s="63">
        <f t="shared" si="56"/>
        <v>439</v>
      </c>
      <c r="B442" s="63" t="s">
        <v>1308</v>
      </c>
      <c r="C442" s="63" t="s">
        <v>2001</v>
      </c>
      <c r="D442" s="1234" t="s">
        <v>2386</v>
      </c>
      <c r="E442" s="64">
        <v>2997</v>
      </c>
      <c r="F442" s="65" t="s">
        <v>189</v>
      </c>
      <c r="G442" s="389">
        <f t="shared" si="57"/>
        <v>0.71</v>
      </c>
      <c r="H442" s="389">
        <f t="shared" si="57"/>
        <v>0.63</v>
      </c>
      <c r="I442" s="389">
        <f t="shared" si="57"/>
        <v>0.53999999999999992</v>
      </c>
      <c r="J442" s="389">
        <f t="shared" si="57"/>
        <v>0.46</v>
      </c>
      <c r="K442" s="389">
        <f t="shared" si="57"/>
        <v>0.4</v>
      </c>
      <c r="L442" s="720">
        <v>0.06</v>
      </c>
      <c r="M442" s="63" t="s">
        <v>3195</v>
      </c>
      <c r="N442" s="440">
        <v>4.4999999999999998E-2</v>
      </c>
      <c r="O442" s="390">
        <v>6.0000000000000001E-3</v>
      </c>
      <c r="P442" s="390">
        <v>0</v>
      </c>
      <c r="Q442" s="390">
        <v>0</v>
      </c>
      <c r="R442" s="390">
        <v>0</v>
      </c>
      <c r="S442" s="63" t="s">
        <v>2323</v>
      </c>
      <c r="T442" s="63"/>
      <c r="U442" s="1039"/>
      <c r="V442" s="1039"/>
      <c r="W442" s="1039"/>
      <c r="X442" s="64" t="s">
        <v>2364</v>
      </c>
      <c r="Y442" s="439"/>
      <c r="Z442" s="439"/>
      <c r="AA442" s="439"/>
      <c r="AQ442" s="923"/>
    </row>
    <row r="443" spans="1:43" ht="15" customHeight="1">
      <c r="A443" s="63">
        <f t="shared" si="56"/>
        <v>440</v>
      </c>
      <c r="B443" s="63" t="s">
        <v>2332</v>
      </c>
      <c r="C443" s="63" t="s">
        <v>2001</v>
      </c>
      <c r="D443" s="1234" t="s">
        <v>2235</v>
      </c>
      <c r="E443" s="64">
        <v>2997</v>
      </c>
      <c r="F443" s="65" t="s">
        <v>189</v>
      </c>
      <c r="G443" s="389">
        <f t="shared" si="57"/>
        <v>0.71</v>
      </c>
      <c r="H443" s="389">
        <f t="shared" si="57"/>
        <v>0.63</v>
      </c>
      <c r="I443" s="389">
        <f t="shared" si="57"/>
        <v>0.53999999999999992</v>
      </c>
      <c r="J443" s="389">
        <f t="shared" si="57"/>
        <v>0.46</v>
      </c>
      <c r="K443" s="389">
        <f t="shared" si="57"/>
        <v>0.4</v>
      </c>
      <c r="L443" s="720">
        <v>0.06</v>
      </c>
      <c r="M443" s="63" t="s">
        <v>3195</v>
      </c>
      <c r="N443" s="440">
        <v>4.4999999999999998E-2</v>
      </c>
      <c r="O443" s="390">
        <v>6.0000000000000001E-3</v>
      </c>
      <c r="P443" s="390">
        <v>0</v>
      </c>
      <c r="Q443" s="390">
        <v>0</v>
      </c>
      <c r="R443" s="390">
        <v>0</v>
      </c>
      <c r="S443" s="63" t="s">
        <v>2323</v>
      </c>
      <c r="T443" s="63"/>
      <c r="U443" s="1039"/>
      <c r="V443" s="1039"/>
      <c r="W443" s="1039"/>
      <c r="X443" s="64" t="s">
        <v>2364</v>
      </c>
      <c r="Y443" s="439"/>
      <c r="Z443" s="439"/>
      <c r="AA443" s="439"/>
      <c r="AQ443" s="923"/>
    </row>
    <row r="444" spans="1:43" ht="15" customHeight="1">
      <c r="A444" s="63">
        <f t="shared" si="56"/>
        <v>441</v>
      </c>
      <c r="B444" s="63" t="s">
        <v>1308</v>
      </c>
      <c r="C444" s="63" t="s">
        <v>2001</v>
      </c>
      <c r="D444" s="1234" t="s">
        <v>2387</v>
      </c>
      <c r="E444" s="64">
        <v>1997</v>
      </c>
      <c r="F444" s="65" t="s">
        <v>189</v>
      </c>
      <c r="G444" s="389">
        <f t="shared" si="57"/>
        <v>0.71</v>
      </c>
      <c r="H444" s="389">
        <f t="shared" si="57"/>
        <v>0.63</v>
      </c>
      <c r="I444" s="389">
        <f t="shared" si="57"/>
        <v>0.53999999999999992</v>
      </c>
      <c r="J444" s="389">
        <f t="shared" si="57"/>
        <v>0.46</v>
      </c>
      <c r="K444" s="389">
        <f t="shared" si="57"/>
        <v>0.4</v>
      </c>
      <c r="L444" s="720">
        <v>0.06</v>
      </c>
      <c r="M444" s="63" t="s">
        <v>3195</v>
      </c>
      <c r="N444" s="440">
        <v>4.4999999999999998E-2</v>
      </c>
      <c r="O444" s="390">
        <v>6.0000000000000001E-3</v>
      </c>
      <c r="P444" s="390">
        <v>0</v>
      </c>
      <c r="Q444" s="390">
        <v>0</v>
      </c>
      <c r="R444" s="390">
        <v>0</v>
      </c>
      <c r="S444" s="63" t="s">
        <v>595</v>
      </c>
      <c r="T444" s="63"/>
      <c r="U444" s="1039"/>
      <c r="V444" s="1039"/>
      <c r="W444" s="1039"/>
      <c r="X444" s="64" t="s">
        <v>2364</v>
      </c>
      <c r="Y444" s="439"/>
      <c r="Z444" s="439"/>
      <c r="AA444" s="439"/>
      <c r="AQ444" s="923" t="s">
        <v>1669</v>
      </c>
    </row>
    <row r="445" spans="1:43" ht="15" customHeight="1">
      <c r="A445" s="63">
        <f t="shared" si="56"/>
        <v>442</v>
      </c>
      <c r="B445" s="63" t="s">
        <v>1306</v>
      </c>
      <c r="C445" s="63" t="s">
        <v>2001</v>
      </c>
      <c r="D445" s="1234" t="s">
        <v>2562</v>
      </c>
      <c r="E445" s="64">
        <v>2996</v>
      </c>
      <c r="F445" s="65" t="s">
        <v>189</v>
      </c>
      <c r="G445" s="389">
        <f t="shared" si="57"/>
        <v>0.71</v>
      </c>
      <c r="H445" s="389">
        <f t="shared" si="57"/>
        <v>0.63</v>
      </c>
      <c r="I445" s="389">
        <f t="shared" si="57"/>
        <v>0.53999999999999992</v>
      </c>
      <c r="J445" s="389">
        <f t="shared" si="57"/>
        <v>0.46</v>
      </c>
      <c r="K445" s="389">
        <f t="shared" si="57"/>
        <v>0.4</v>
      </c>
      <c r="L445" s="720">
        <v>0.06</v>
      </c>
      <c r="M445" s="63" t="s">
        <v>3195</v>
      </c>
      <c r="N445" s="440">
        <v>4.4999999999999998E-2</v>
      </c>
      <c r="O445" s="390">
        <v>6.0000000000000001E-3</v>
      </c>
      <c r="P445" s="390">
        <v>0</v>
      </c>
      <c r="Q445" s="390">
        <v>0</v>
      </c>
      <c r="R445" s="390">
        <v>0</v>
      </c>
      <c r="S445" s="63" t="s">
        <v>476</v>
      </c>
      <c r="T445" s="63"/>
      <c r="U445" s="1039"/>
      <c r="V445" s="1039"/>
      <c r="W445" s="1039"/>
      <c r="X445" s="64" t="s">
        <v>2364</v>
      </c>
      <c r="Y445" s="439"/>
      <c r="Z445" s="439"/>
      <c r="AA445" s="439"/>
      <c r="AQ445" s="923" t="s">
        <v>1669</v>
      </c>
    </row>
    <row r="446" spans="1:43" ht="15" customHeight="1">
      <c r="A446" s="63">
        <f t="shared" si="56"/>
        <v>443</v>
      </c>
      <c r="B446" s="63" t="s">
        <v>1306</v>
      </c>
      <c r="C446" s="63" t="s">
        <v>2001</v>
      </c>
      <c r="D446" s="1234" t="s">
        <v>2563</v>
      </c>
      <c r="E446" s="64">
        <v>2996</v>
      </c>
      <c r="F446" s="65" t="s">
        <v>189</v>
      </c>
      <c r="G446" s="389">
        <f t="shared" si="57"/>
        <v>0.71</v>
      </c>
      <c r="H446" s="389">
        <f t="shared" si="57"/>
        <v>0.63</v>
      </c>
      <c r="I446" s="389">
        <f t="shared" si="57"/>
        <v>0.53999999999999992</v>
      </c>
      <c r="J446" s="389">
        <f t="shared" si="57"/>
        <v>0.46</v>
      </c>
      <c r="K446" s="389">
        <f t="shared" si="57"/>
        <v>0.4</v>
      </c>
      <c r="L446" s="720">
        <v>0.06</v>
      </c>
      <c r="M446" s="63" t="s">
        <v>3195</v>
      </c>
      <c r="N446" s="440">
        <v>4.4999999999999998E-2</v>
      </c>
      <c r="O446" s="390">
        <v>6.0000000000000001E-3</v>
      </c>
      <c r="P446" s="390">
        <v>0</v>
      </c>
      <c r="Q446" s="390">
        <v>0</v>
      </c>
      <c r="R446" s="390">
        <v>0</v>
      </c>
      <c r="S446" s="63" t="s">
        <v>476</v>
      </c>
      <c r="T446" s="63"/>
      <c r="U446" s="1039"/>
      <c r="V446" s="1039"/>
      <c r="W446" s="1039"/>
      <c r="X446" s="64" t="s">
        <v>2364</v>
      </c>
      <c r="Y446" s="439"/>
      <c r="Z446" s="439"/>
      <c r="AA446" s="439"/>
      <c r="AQ446" s="923" t="s">
        <v>1669</v>
      </c>
    </row>
    <row r="447" spans="1:43" ht="15" customHeight="1">
      <c r="A447" s="63">
        <f t="shared" si="56"/>
        <v>444</v>
      </c>
      <c r="B447" s="63" t="s">
        <v>1306</v>
      </c>
      <c r="C447" s="63" t="s">
        <v>2001</v>
      </c>
      <c r="D447" s="1234" t="s">
        <v>2575</v>
      </c>
      <c r="E447" s="64">
        <v>2997</v>
      </c>
      <c r="F447" s="65" t="s">
        <v>189</v>
      </c>
      <c r="G447" s="389">
        <f t="shared" si="57"/>
        <v>0.71</v>
      </c>
      <c r="H447" s="389">
        <f t="shared" si="57"/>
        <v>0.63</v>
      </c>
      <c r="I447" s="389">
        <f t="shared" si="57"/>
        <v>0.53999999999999992</v>
      </c>
      <c r="J447" s="389">
        <f t="shared" si="57"/>
        <v>0.46</v>
      </c>
      <c r="K447" s="389">
        <f t="shared" si="57"/>
        <v>0.4</v>
      </c>
      <c r="L447" s="720">
        <v>0.06</v>
      </c>
      <c r="M447" s="63" t="s">
        <v>3195</v>
      </c>
      <c r="N447" s="440">
        <v>4.4999999999999998E-2</v>
      </c>
      <c r="O447" s="390">
        <v>6.0000000000000001E-3</v>
      </c>
      <c r="P447" s="390">
        <v>0</v>
      </c>
      <c r="Q447" s="390">
        <v>0</v>
      </c>
      <c r="R447" s="390">
        <v>0</v>
      </c>
      <c r="S447" s="63" t="s">
        <v>476</v>
      </c>
      <c r="T447" s="63"/>
      <c r="U447" s="1039"/>
      <c r="V447" s="1039"/>
      <c r="W447" s="1039"/>
      <c r="X447" s="64" t="s">
        <v>2364</v>
      </c>
      <c r="Y447" s="439"/>
      <c r="Z447" s="439"/>
      <c r="AA447" s="439"/>
    </row>
    <row r="448" spans="1:43" ht="15" customHeight="1">
      <c r="A448" s="63">
        <f t="shared" si="56"/>
        <v>445</v>
      </c>
      <c r="B448" s="63" t="s">
        <v>1308</v>
      </c>
      <c r="C448" s="63" t="s">
        <v>2001</v>
      </c>
      <c r="D448" s="1234" t="s">
        <v>2027</v>
      </c>
      <c r="E448" s="64">
        <v>4395</v>
      </c>
      <c r="F448" s="65" t="s">
        <v>189</v>
      </c>
      <c r="G448" s="389">
        <f t="shared" si="57"/>
        <v>0.71</v>
      </c>
      <c r="H448" s="389">
        <f t="shared" si="57"/>
        <v>0.63</v>
      </c>
      <c r="I448" s="389">
        <f t="shared" si="57"/>
        <v>0.53999999999999992</v>
      </c>
      <c r="J448" s="389">
        <f t="shared" si="57"/>
        <v>0.46</v>
      </c>
      <c r="K448" s="389">
        <f t="shared" si="57"/>
        <v>0.4</v>
      </c>
      <c r="L448" s="720">
        <v>0.06</v>
      </c>
      <c r="M448" s="63" t="s">
        <v>3195</v>
      </c>
      <c r="N448" s="440">
        <v>4.4999999999999998E-2</v>
      </c>
      <c r="O448" s="390">
        <v>6.0000000000000001E-3</v>
      </c>
      <c r="P448" s="390">
        <v>0</v>
      </c>
      <c r="Q448" s="390">
        <v>0</v>
      </c>
      <c r="R448" s="390">
        <v>0</v>
      </c>
      <c r="S448" s="63" t="s">
        <v>2324</v>
      </c>
      <c r="T448" s="63"/>
      <c r="U448" s="1039"/>
      <c r="V448" s="1039"/>
      <c r="W448" s="1039"/>
      <c r="X448" s="64" t="s">
        <v>2364</v>
      </c>
      <c r="Y448" s="439"/>
      <c r="Z448" s="439"/>
      <c r="AA448" s="439"/>
    </row>
    <row r="449" spans="1:27" ht="15" customHeight="1">
      <c r="A449" s="63">
        <f t="shared" si="56"/>
        <v>446</v>
      </c>
      <c r="B449" s="63" t="s">
        <v>1308</v>
      </c>
      <c r="C449" s="63" t="s">
        <v>2001</v>
      </c>
      <c r="D449" s="1234" t="s">
        <v>2028</v>
      </c>
      <c r="E449" s="64">
        <v>4395</v>
      </c>
      <c r="F449" s="65" t="s">
        <v>189</v>
      </c>
      <c r="G449" s="389">
        <f t="shared" si="57"/>
        <v>0.71</v>
      </c>
      <c r="H449" s="389">
        <f t="shared" si="57"/>
        <v>0.63</v>
      </c>
      <c r="I449" s="389">
        <f t="shared" si="57"/>
        <v>0.53999999999999992</v>
      </c>
      <c r="J449" s="389">
        <f t="shared" si="57"/>
        <v>0.46</v>
      </c>
      <c r="K449" s="389">
        <f t="shared" si="57"/>
        <v>0.4</v>
      </c>
      <c r="L449" s="720">
        <v>0.06</v>
      </c>
      <c r="M449" s="63" t="s">
        <v>3195</v>
      </c>
      <c r="N449" s="440">
        <v>4.4999999999999998E-2</v>
      </c>
      <c r="O449" s="390">
        <v>6.0000000000000001E-3</v>
      </c>
      <c r="P449" s="390">
        <v>0</v>
      </c>
      <c r="Q449" s="390">
        <v>0</v>
      </c>
      <c r="R449" s="390">
        <v>0</v>
      </c>
      <c r="S449" s="63" t="s">
        <v>595</v>
      </c>
      <c r="T449" s="63"/>
      <c r="U449" s="1039"/>
      <c r="V449" s="1039"/>
      <c r="W449" s="1039"/>
      <c r="X449" s="64" t="s">
        <v>2364</v>
      </c>
      <c r="Y449" s="439"/>
      <c r="Z449" s="439"/>
      <c r="AA449" s="439"/>
    </row>
    <row r="450" spans="1:27" ht="15" customHeight="1">
      <c r="A450" s="63">
        <f t="shared" si="56"/>
        <v>447</v>
      </c>
      <c r="B450" s="63" t="s">
        <v>1308</v>
      </c>
      <c r="C450" s="63" t="s">
        <v>2001</v>
      </c>
      <c r="D450" s="1234" t="s">
        <v>2236</v>
      </c>
      <c r="E450" s="64">
        <v>4395</v>
      </c>
      <c r="F450" s="65" t="s">
        <v>189</v>
      </c>
      <c r="G450" s="389">
        <f t="shared" si="57"/>
        <v>0.71</v>
      </c>
      <c r="H450" s="389">
        <f t="shared" si="57"/>
        <v>0.63</v>
      </c>
      <c r="I450" s="389">
        <f t="shared" si="57"/>
        <v>0.53999999999999992</v>
      </c>
      <c r="J450" s="389">
        <f t="shared" si="57"/>
        <v>0.46</v>
      </c>
      <c r="K450" s="389">
        <f t="shared" si="57"/>
        <v>0.4</v>
      </c>
      <c r="L450" s="720">
        <v>0.06</v>
      </c>
      <c r="M450" s="63" t="s">
        <v>3195</v>
      </c>
      <c r="N450" s="440">
        <v>4.4999999999999998E-2</v>
      </c>
      <c r="O450" s="390">
        <v>6.0000000000000001E-3</v>
      </c>
      <c r="P450" s="390">
        <v>0</v>
      </c>
      <c r="Q450" s="390">
        <v>0</v>
      </c>
      <c r="R450" s="390">
        <v>0</v>
      </c>
      <c r="S450" s="63" t="s">
        <v>595</v>
      </c>
      <c r="T450" s="63"/>
      <c r="U450" s="1039"/>
      <c r="V450" s="1039"/>
      <c r="W450" s="1039"/>
      <c r="X450" s="64" t="s">
        <v>2364</v>
      </c>
      <c r="Y450" s="439"/>
      <c r="Z450" s="439"/>
      <c r="AA450" s="439"/>
    </row>
    <row r="451" spans="1:27" ht="15" customHeight="1">
      <c r="A451" s="63">
        <f t="shared" si="56"/>
        <v>448</v>
      </c>
      <c r="B451" s="63" t="s">
        <v>1308</v>
      </c>
      <c r="C451" s="63" t="s">
        <v>2388</v>
      </c>
      <c r="D451" s="63" t="s">
        <v>2029</v>
      </c>
      <c r="E451" s="64">
        <v>4395</v>
      </c>
      <c r="F451" s="65" t="s">
        <v>189</v>
      </c>
      <c r="G451" s="389">
        <f t="shared" si="57"/>
        <v>0.71</v>
      </c>
      <c r="H451" s="389">
        <f t="shared" si="57"/>
        <v>0.63</v>
      </c>
      <c r="I451" s="389">
        <f t="shared" si="57"/>
        <v>0.53999999999999992</v>
      </c>
      <c r="J451" s="389">
        <f t="shared" si="57"/>
        <v>0.46</v>
      </c>
      <c r="K451" s="389">
        <f t="shared" si="57"/>
        <v>0.4</v>
      </c>
      <c r="L451" s="720">
        <v>0.06</v>
      </c>
      <c r="M451" s="63" t="s">
        <v>3195</v>
      </c>
      <c r="N451" s="440">
        <v>4.4999999999999998E-2</v>
      </c>
      <c r="O451" s="390">
        <v>6.0000000000000001E-3</v>
      </c>
      <c r="P451" s="390">
        <v>0</v>
      </c>
      <c r="Q451" s="390">
        <v>0</v>
      </c>
      <c r="R451" s="390">
        <v>0</v>
      </c>
      <c r="S451" s="63" t="s">
        <v>2325</v>
      </c>
      <c r="T451" s="63"/>
      <c r="U451" s="1039"/>
      <c r="V451" s="1039"/>
      <c r="W451" s="1039"/>
      <c r="X451" s="64" t="s">
        <v>2364</v>
      </c>
      <c r="Y451" s="439"/>
      <c r="Z451" s="439"/>
      <c r="AA451" s="439"/>
    </row>
    <row r="452" spans="1:27" ht="15" customHeight="1">
      <c r="A452" s="63">
        <f t="shared" si="56"/>
        <v>449</v>
      </c>
      <c r="B452" s="63" t="s">
        <v>2332</v>
      </c>
      <c r="C452" s="63" t="s">
        <v>2001</v>
      </c>
      <c r="D452" s="63" t="s">
        <v>2389</v>
      </c>
      <c r="E452" s="64">
        <v>4395</v>
      </c>
      <c r="F452" s="65" t="s">
        <v>189</v>
      </c>
      <c r="G452" s="389">
        <f t="shared" si="57"/>
        <v>0.71</v>
      </c>
      <c r="H452" s="389">
        <f t="shared" si="57"/>
        <v>0.63</v>
      </c>
      <c r="I452" s="389">
        <f t="shared" si="57"/>
        <v>0.53999999999999992</v>
      </c>
      <c r="J452" s="389">
        <f t="shared" si="57"/>
        <v>0.46</v>
      </c>
      <c r="K452" s="389">
        <f t="shared" si="57"/>
        <v>0.4</v>
      </c>
      <c r="L452" s="720">
        <v>0.06</v>
      </c>
      <c r="M452" s="63" t="s">
        <v>3195</v>
      </c>
      <c r="N452" s="440">
        <v>4.4999999999999998E-2</v>
      </c>
      <c r="O452" s="390">
        <v>6.0000000000000001E-3</v>
      </c>
      <c r="P452" s="390">
        <v>0</v>
      </c>
      <c r="Q452" s="390">
        <v>0</v>
      </c>
      <c r="R452" s="390">
        <v>0</v>
      </c>
      <c r="S452" s="63" t="s">
        <v>595</v>
      </c>
      <c r="T452" s="63"/>
      <c r="U452" s="1039"/>
      <c r="V452" s="1039"/>
      <c r="W452" s="1039"/>
      <c r="X452" s="64" t="s">
        <v>2364</v>
      </c>
      <c r="Y452" s="439"/>
      <c r="Z452" s="439"/>
      <c r="AA452" s="439"/>
    </row>
    <row r="453" spans="1:27" ht="15" customHeight="1">
      <c r="A453" s="63">
        <f t="shared" si="56"/>
        <v>450</v>
      </c>
      <c r="B453" s="63" t="s">
        <v>1308</v>
      </c>
      <c r="C453" s="63" t="s">
        <v>2001</v>
      </c>
      <c r="D453" s="63" t="s">
        <v>2030</v>
      </c>
      <c r="E453" s="64">
        <v>4395</v>
      </c>
      <c r="F453" s="65" t="s">
        <v>189</v>
      </c>
      <c r="G453" s="389">
        <f t="shared" si="57"/>
        <v>0.71</v>
      </c>
      <c r="H453" s="389">
        <f t="shared" si="57"/>
        <v>0.63</v>
      </c>
      <c r="I453" s="389">
        <f t="shared" si="57"/>
        <v>0.53999999999999992</v>
      </c>
      <c r="J453" s="389">
        <f t="shared" si="57"/>
        <v>0.46</v>
      </c>
      <c r="K453" s="389">
        <f t="shared" si="57"/>
        <v>0.4</v>
      </c>
      <c r="L453" s="720">
        <v>0.06</v>
      </c>
      <c r="M453" s="63" t="s">
        <v>3195</v>
      </c>
      <c r="N453" s="440">
        <v>4.4999999999999998E-2</v>
      </c>
      <c r="O453" s="390">
        <v>6.0000000000000001E-3</v>
      </c>
      <c r="P453" s="390">
        <v>0</v>
      </c>
      <c r="Q453" s="390">
        <v>0</v>
      </c>
      <c r="R453" s="390">
        <v>0</v>
      </c>
      <c r="S453" s="63" t="s">
        <v>2326</v>
      </c>
      <c r="T453" s="63"/>
      <c r="U453" s="1039"/>
      <c r="V453" s="1039"/>
      <c r="W453" s="1039"/>
      <c r="X453" s="64" t="s">
        <v>2364</v>
      </c>
      <c r="Y453" s="439"/>
      <c r="Z453" s="439"/>
      <c r="AA453" s="439"/>
    </row>
    <row r="454" spans="1:27" ht="15" customHeight="1">
      <c r="A454" s="63">
        <f t="shared" ref="A454:A475" si="58">ROW()-3</f>
        <v>451</v>
      </c>
      <c r="B454" s="63" t="s">
        <v>2614</v>
      </c>
      <c r="C454" s="63" t="s">
        <v>2626</v>
      </c>
      <c r="D454" s="1234" t="s">
        <v>2627</v>
      </c>
      <c r="E454" s="64">
        <v>4395</v>
      </c>
      <c r="F454" s="65" t="s">
        <v>189</v>
      </c>
      <c r="G454" s="389">
        <f t="shared" si="57"/>
        <v>0.66999999999999993</v>
      </c>
      <c r="H454" s="389">
        <f t="shared" si="57"/>
        <v>0.59</v>
      </c>
      <c r="I454" s="389">
        <f t="shared" si="57"/>
        <v>0.49999999999999989</v>
      </c>
      <c r="J454" s="389">
        <f t="shared" si="57"/>
        <v>0.42</v>
      </c>
      <c r="K454" s="389">
        <f t="shared" si="57"/>
        <v>0.36</v>
      </c>
      <c r="L454" s="720">
        <v>0.06</v>
      </c>
      <c r="M454" s="63" t="s">
        <v>3197</v>
      </c>
      <c r="N454" s="440">
        <v>4.4999999999999998E-2</v>
      </c>
      <c r="O454" s="390">
        <v>6.0000000000000001E-3</v>
      </c>
      <c r="P454" s="390">
        <v>0</v>
      </c>
      <c r="Q454" s="390">
        <v>0</v>
      </c>
      <c r="R454" s="390">
        <v>0</v>
      </c>
      <c r="S454" s="63" t="s">
        <v>2327</v>
      </c>
      <c r="T454" s="63"/>
      <c r="U454" s="1039"/>
      <c r="V454" s="1039"/>
      <c r="W454" s="1039"/>
      <c r="X454" s="64" t="s">
        <v>2364</v>
      </c>
      <c r="Y454" s="439"/>
      <c r="Z454" s="439"/>
      <c r="AA454" s="439"/>
    </row>
    <row r="455" spans="1:27" ht="15" customHeight="1">
      <c r="A455" s="63">
        <f t="shared" si="58"/>
        <v>452</v>
      </c>
      <c r="B455" s="63" t="s">
        <v>2332</v>
      </c>
      <c r="C455" s="63" t="s">
        <v>2001</v>
      </c>
      <c r="D455" s="63" t="s">
        <v>2390</v>
      </c>
      <c r="E455" s="64">
        <v>2997</v>
      </c>
      <c r="F455" s="65" t="s">
        <v>189</v>
      </c>
      <c r="G455" s="389">
        <f t="shared" si="57"/>
        <v>0.71</v>
      </c>
      <c r="H455" s="389">
        <f t="shared" si="57"/>
        <v>0.63</v>
      </c>
      <c r="I455" s="389">
        <f t="shared" si="57"/>
        <v>0.53999999999999992</v>
      </c>
      <c r="J455" s="389">
        <f t="shared" si="57"/>
        <v>0.46</v>
      </c>
      <c r="K455" s="389">
        <f t="shared" si="57"/>
        <v>0.4</v>
      </c>
      <c r="L455" s="720">
        <v>0.06</v>
      </c>
      <c r="M455" s="63" t="s">
        <v>3195</v>
      </c>
      <c r="N455" s="440">
        <v>4.4999999999999998E-2</v>
      </c>
      <c r="O455" s="390">
        <v>6.0000000000000001E-3</v>
      </c>
      <c r="P455" s="390">
        <v>0</v>
      </c>
      <c r="Q455" s="390">
        <v>0</v>
      </c>
      <c r="R455" s="390">
        <v>0</v>
      </c>
      <c r="S455" s="63" t="s">
        <v>2328</v>
      </c>
      <c r="T455" s="63"/>
      <c r="U455" s="1039"/>
      <c r="V455" s="1039"/>
      <c r="W455" s="1039"/>
      <c r="X455" s="64" t="s">
        <v>2364</v>
      </c>
      <c r="Y455" s="439"/>
      <c r="Z455" s="439"/>
      <c r="AA455" s="439"/>
    </row>
    <row r="456" spans="1:27" ht="15" customHeight="1">
      <c r="A456" s="63">
        <f t="shared" si="58"/>
        <v>453</v>
      </c>
      <c r="B456" s="63" t="s">
        <v>1308</v>
      </c>
      <c r="C456" s="63" t="s">
        <v>2001</v>
      </c>
      <c r="D456" s="63" t="s">
        <v>2237</v>
      </c>
      <c r="E456" s="64">
        <v>2997</v>
      </c>
      <c r="F456" s="65" t="s">
        <v>189</v>
      </c>
      <c r="G456" s="389">
        <f t="shared" si="57"/>
        <v>0.71</v>
      </c>
      <c r="H456" s="389">
        <f t="shared" si="57"/>
        <v>0.63</v>
      </c>
      <c r="I456" s="389">
        <f t="shared" si="57"/>
        <v>0.53999999999999992</v>
      </c>
      <c r="J456" s="389">
        <f t="shared" si="57"/>
        <v>0.46</v>
      </c>
      <c r="K456" s="389">
        <f t="shared" si="57"/>
        <v>0.4</v>
      </c>
      <c r="L456" s="720">
        <v>0.06</v>
      </c>
      <c r="M456" s="63" t="s">
        <v>3195</v>
      </c>
      <c r="N456" s="440">
        <v>4.4999999999999998E-2</v>
      </c>
      <c r="O456" s="390">
        <v>6.0000000000000001E-3</v>
      </c>
      <c r="P456" s="390">
        <v>0</v>
      </c>
      <c r="Q456" s="390">
        <v>0</v>
      </c>
      <c r="R456" s="390">
        <v>0</v>
      </c>
      <c r="S456" s="63" t="s">
        <v>595</v>
      </c>
      <c r="T456" s="63"/>
      <c r="U456" s="1039"/>
      <c r="V456" s="1039"/>
      <c r="W456" s="1039"/>
      <c r="X456" s="64" t="s">
        <v>2364</v>
      </c>
      <c r="Y456" s="439"/>
      <c r="Z456" s="439"/>
      <c r="AA456" s="439"/>
    </row>
    <row r="457" spans="1:27" ht="15" customHeight="1">
      <c r="A457" s="63">
        <f t="shared" si="58"/>
        <v>454</v>
      </c>
      <c r="B457" s="63" t="s">
        <v>1308</v>
      </c>
      <c r="C457" s="63" t="s">
        <v>2001</v>
      </c>
      <c r="D457" s="1234" t="s">
        <v>2238</v>
      </c>
      <c r="E457" s="64">
        <v>2997</v>
      </c>
      <c r="F457" s="65" t="s">
        <v>189</v>
      </c>
      <c r="G457" s="389">
        <f t="shared" si="57"/>
        <v>0.71</v>
      </c>
      <c r="H457" s="389">
        <f t="shared" si="57"/>
        <v>0.63</v>
      </c>
      <c r="I457" s="389">
        <f t="shared" si="57"/>
        <v>0.53999999999999992</v>
      </c>
      <c r="J457" s="389">
        <f t="shared" si="57"/>
        <v>0.46</v>
      </c>
      <c r="K457" s="389">
        <f t="shared" si="57"/>
        <v>0.4</v>
      </c>
      <c r="L457" s="720">
        <v>0.06</v>
      </c>
      <c r="M457" s="63" t="s">
        <v>3195</v>
      </c>
      <c r="N457" s="440">
        <v>4.4999999999999998E-2</v>
      </c>
      <c r="O457" s="390">
        <v>6.0000000000000001E-3</v>
      </c>
      <c r="P457" s="390">
        <v>0</v>
      </c>
      <c r="Q457" s="390">
        <v>0</v>
      </c>
      <c r="R457" s="390">
        <v>0</v>
      </c>
      <c r="S457" s="63" t="s">
        <v>595</v>
      </c>
      <c r="T457" s="63"/>
      <c r="U457" s="1039"/>
      <c r="V457" s="1039"/>
      <c r="W457" s="1039"/>
      <c r="X457" s="64" t="s">
        <v>2364</v>
      </c>
      <c r="Y457" s="439"/>
      <c r="Z457" s="439"/>
      <c r="AA457" s="439"/>
    </row>
    <row r="458" spans="1:27" ht="15" customHeight="1">
      <c r="A458" s="63">
        <f t="shared" si="58"/>
        <v>455</v>
      </c>
      <c r="B458" s="63" t="s">
        <v>1308</v>
      </c>
      <c r="C458" s="63" t="s">
        <v>2001</v>
      </c>
      <c r="D458" s="63" t="s">
        <v>2031</v>
      </c>
      <c r="E458" s="64">
        <v>2997</v>
      </c>
      <c r="F458" s="65" t="s">
        <v>189</v>
      </c>
      <c r="G458" s="389">
        <f t="shared" si="57"/>
        <v>0.71</v>
      </c>
      <c r="H458" s="389">
        <f t="shared" si="57"/>
        <v>0.63</v>
      </c>
      <c r="I458" s="389">
        <f t="shared" si="57"/>
        <v>0.53999999999999992</v>
      </c>
      <c r="J458" s="389">
        <f t="shared" si="57"/>
        <v>0.46</v>
      </c>
      <c r="K458" s="389">
        <f t="shared" si="57"/>
        <v>0.4</v>
      </c>
      <c r="L458" s="720">
        <v>0.06</v>
      </c>
      <c r="M458" s="63" t="s">
        <v>3195</v>
      </c>
      <c r="N458" s="440">
        <v>4.4999999999999998E-2</v>
      </c>
      <c r="O458" s="390">
        <v>6.0000000000000001E-3</v>
      </c>
      <c r="P458" s="390">
        <v>0</v>
      </c>
      <c r="Q458" s="390">
        <v>0</v>
      </c>
      <c r="R458" s="390">
        <v>0</v>
      </c>
      <c r="S458" s="63" t="s">
        <v>595</v>
      </c>
      <c r="T458" s="63"/>
      <c r="U458" s="1039"/>
      <c r="V458" s="1039"/>
      <c r="W458" s="1039"/>
      <c r="X458" s="64" t="s">
        <v>2364</v>
      </c>
      <c r="Y458" s="439"/>
      <c r="Z458" s="439"/>
      <c r="AA458" s="439"/>
    </row>
    <row r="459" spans="1:27" ht="15" customHeight="1">
      <c r="A459" s="63">
        <f t="shared" si="58"/>
        <v>456</v>
      </c>
      <c r="B459" s="63" t="s">
        <v>1308</v>
      </c>
      <c r="C459" s="63" t="s">
        <v>2001</v>
      </c>
      <c r="D459" s="1234" t="s">
        <v>2239</v>
      </c>
      <c r="E459" s="64">
        <v>1997</v>
      </c>
      <c r="F459" s="65" t="s">
        <v>189</v>
      </c>
      <c r="G459" s="389">
        <f t="shared" si="57"/>
        <v>0.59</v>
      </c>
      <c r="H459" s="389">
        <f t="shared" si="57"/>
        <v>0.51</v>
      </c>
      <c r="I459" s="389">
        <f t="shared" si="57"/>
        <v>0.42</v>
      </c>
      <c r="J459" s="389">
        <f t="shared" si="57"/>
        <v>0.34</v>
      </c>
      <c r="K459" s="389">
        <f t="shared" si="57"/>
        <v>0.28000000000000003</v>
      </c>
      <c r="L459" s="720">
        <v>0.06</v>
      </c>
      <c r="M459" s="63" t="s">
        <v>3177</v>
      </c>
      <c r="N459" s="440">
        <v>4.4999999999999998E-2</v>
      </c>
      <c r="O459" s="390">
        <v>6.0000000000000001E-3</v>
      </c>
      <c r="P459" s="390">
        <v>0</v>
      </c>
      <c r="Q459" s="390">
        <v>0</v>
      </c>
      <c r="R459" s="390">
        <v>0</v>
      </c>
      <c r="S459" s="63" t="s">
        <v>595</v>
      </c>
      <c r="T459" s="63"/>
      <c r="U459" s="1039"/>
      <c r="V459" s="1039"/>
      <c r="W459" s="1039"/>
      <c r="X459" s="64" t="s">
        <v>2364</v>
      </c>
      <c r="Y459" s="439"/>
      <c r="Z459" s="439"/>
      <c r="AA459" s="439"/>
    </row>
    <row r="460" spans="1:27" ht="15" customHeight="1">
      <c r="A460" s="63">
        <f t="shared" si="58"/>
        <v>457</v>
      </c>
      <c r="B460" s="63" t="s">
        <v>1308</v>
      </c>
      <c r="C460" s="63" t="s">
        <v>2001</v>
      </c>
      <c r="D460" s="63" t="s">
        <v>2240</v>
      </c>
      <c r="E460" s="64">
        <v>1997</v>
      </c>
      <c r="F460" s="65" t="s">
        <v>189</v>
      </c>
      <c r="G460" s="389">
        <f t="shared" si="57"/>
        <v>0.59</v>
      </c>
      <c r="H460" s="389">
        <f t="shared" si="57"/>
        <v>0.51</v>
      </c>
      <c r="I460" s="389">
        <f t="shared" si="57"/>
        <v>0.42</v>
      </c>
      <c r="J460" s="389">
        <f t="shared" si="57"/>
        <v>0.34</v>
      </c>
      <c r="K460" s="389">
        <f t="shared" si="57"/>
        <v>0.28000000000000003</v>
      </c>
      <c r="L460" s="720">
        <v>0.06</v>
      </c>
      <c r="M460" s="63" t="s">
        <v>3177</v>
      </c>
      <c r="N460" s="440">
        <v>4.4999999999999998E-2</v>
      </c>
      <c r="O460" s="390">
        <v>6.0000000000000001E-3</v>
      </c>
      <c r="P460" s="390">
        <v>0</v>
      </c>
      <c r="Q460" s="390">
        <v>0</v>
      </c>
      <c r="R460" s="390">
        <v>0</v>
      </c>
      <c r="S460" s="63" t="s">
        <v>476</v>
      </c>
      <c r="T460" s="63"/>
      <c r="U460" s="1039"/>
      <c r="V460" s="1039"/>
      <c r="W460" s="1039"/>
      <c r="X460" s="64" t="s">
        <v>2364</v>
      </c>
      <c r="Y460" s="439"/>
      <c r="Z460" s="439"/>
      <c r="AA460" s="439"/>
    </row>
    <row r="461" spans="1:27" ht="15" customHeight="1">
      <c r="A461" s="63">
        <f t="shared" si="58"/>
        <v>458</v>
      </c>
      <c r="B461" s="63" t="s">
        <v>1308</v>
      </c>
      <c r="C461" s="63" t="s">
        <v>2388</v>
      </c>
      <c r="D461" s="1236" t="s">
        <v>3144</v>
      </c>
      <c r="E461" s="64">
        <v>1997</v>
      </c>
      <c r="F461" s="65" t="s">
        <v>189</v>
      </c>
      <c r="G461" s="389">
        <f t="shared" si="57"/>
        <v>0.59</v>
      </c>
      <c r="H461" s="389">
        <f t="shared" si="57"/>
        <v>0.51</v>
      </c>
      <c r="I461" s="389">
        <f t="shared" si="57"/>
        <v>0.42</v>
      </c>
      <c r="J461" s="389">
        <f t="shared" si="57"/>
        <v>0.34</v>
      </c>
      <c r="K461" s="389">
        <f t="shared" si="57"/>
        <v>0.28000000000000003</v>
      </c>
      <c r="L461" s="720">
        <v>0.06</v>
      </c>
      <c r="M461" s="63" t="s">
        <v>3177</v>
      </c>
      <c r="N461" s="440">
        <v>4.4999999999999998E-2</v>
      </c>
      <c r="O461" s="390">
        <v>6.0000000000000001E-3</v>
      </c>
      <c r="P461" s="390">
        <v>0</v>
      </c>
      <c r="Q461" s="390">
        <v>0</v>
      </c>
      <c r="R461" s="390">
        <v>0</v>
      </c>
      <c r="S461" s="63" t="s">
        <v>476</v>
      </c>
      <c r="T461" s="63"/>
      <c r="U461" s="1039"/>
      <c r="V461" s="1039"/>
      <c r="W461" s="1039"/>
      <c r="X461" s="64" t="s">
        <v>2364</v>
      </c>
      <c r="Y461" s="439"/>
      <c r="Z461" s="439"/>
      <c r="AA461" s="439"/>
    </row>
    <row r="462" spans="1:27" ht="15" customHeight="1">
      <c r="A462" s="63">
        <f t="shared" si="58"/>
        <v>459</v>
      </c>
      <c r="B462" s="63" t="s">
        <v>1308</v>
      </c>
      <c r="C462" s="63" t="s">
        <v>2001</v>
      </c>
      <c r="D462" s="63" t="s">
        <v>2241</v>
      </c>
      <c r="E462" s="64">
        <v>2997</v>
      </c>
      <c r="F462" s="65" t="s">
        <v>189</v>
      </c>
      <c r="G462" s="389">
        <f t="shared" si="57"/>
        <v>0.64999999999999991</v>
      </c>
      <c r="H462" s="389">
        <f t="shared" si="57"/>
        <v>0.56999999999999995</v>
      </c>
      <c r="I462" s="389">
        <f t="shared" si="57"/>
        <v>0.47999999999999987</v>
      </c>
      <c r="J462" s="389">
        <f t="shared" si="57"/>
        <v>0.39999999999999997</v>
      </c>
      <c r="K462" s="389">
        <f t="shared" si="57"/>
        <v>0.33999999999999997</v>
      </c>
      <c r="L462" s="720">
        <v>0.06</v>
      </c>
      <c r="M462" s="63" t="s">
        <v>3198</v>
      </c>
      <c r="N462" s="440">
        <v>4.4999999999999998E-2</v>
      </c>
      <c r="O462" s="390">
        <v>6.0000000000000001E-3</v>
      </c>
      <c r="P462" s="390">
        <v>0</v>
      </c>
      <c r="Q462" s="390">
        <v>0</v>
      </c>
      <c r="R462" s="390">
        <v>0</v>
      </c>
      <c r="S462" s="63" t="s">
        <v>476</v>
      </c>
      <c r="T462" s="63"/>
      <c r="U462" s="1039"/>
      <c r="V462" s="1039"/>
      <c r="W462" s="1039"/>
      <c r="X462" s="64" t="s">
        <v>2364</v>
      </c>
      <c r="Y462" s="439"/>
      <c r="Z462" s="439"/>
      <c r="AA462" s="439"/>
    </row>
    <row r="463" spans="1:27" ht="15" customHeight="1">
      <c r="A463" s="63">
        <f t="shared" si="58"/>
        <v>460</v>
      </c>
      <c r="B463" s="63" t="s">
        <v>1308</v>
      </c>
      <c r="C463" s="63" t="s">
        <v>2001</v>
      </c>
      <c r="D463" s="63" t="s">
        <v>2242</v>
      </c>
      <c r="E463" s="64">
        <v>2997</v>
      </c>
      <c r="F463" s="65" t="s">
        <v>189</v>
      </c>
      <c r="G463" s="389">
        <f t="shared" si="57"/>
        <v>0.64999999999999991</v>
      </c>
      <c r="H463" s="389">
        <f t="shared" si="57"/>
        <v>0.56999999999999995</v>
      </c>
      <c r="I463" s="389">
        <f t="shared" si="57"/>
        <v>0.47999999999999987</v>
      </c>
      <c r="J463" s="389">
        <f t="shared" si="57"/>
        <v>0.39999999999999997</v>
      </c>
      <c r="K463" s="389">
        <f t="shared" si="57"/>
        <v>0.33999999999999997</v>
      </c>
      <c r="L463" s="720">
        <v>0.06</v>
      </c>
      <c r="M463" s="63" t="s">
        <v>3198</v>
      </c>
      <c r="N463" s="440">
        <v>4.4999999999999998E-2</v>
      </c>
      <c r="O463" s="390">
        <v>6.0000000000000001E-3</v>
      </c>
      <c r="P463" s="390">
        <v>0</v>
      </c>
      <c r="Q463" s="390">
        <v>0</v>
      </c>
      <c r="R463" s="390">
        <v>0</v>
      </c>
      <c r="S463" s="63" t="s">
        <v>476</v>
      </c>
      <c r="T463" s="63"/>
      <c r="U463" s="1039"/>
      <c r="V463" s="1039"/>
      <c r="W463" s="1039"/>
      <c r="X463" s="64" t="s">
        <v>2364</v>
      </c>
      <c r="Y463" s="439"/>
      <c r="Z463" s="439"/>
      <c r="AA463" s="439"/>
    </row>
    <row r="464" spans="1:27" ht="15" customHeight="1">
      <c r="A464" s="63">
        <f t="shared" si="58"/>
        <v>461</v>
      </c>
      <c r="B464" s="63" t="s">
        <v>1308</v>
      </c>
      <c r="C464" s="63" t="s">
        <v>2001</v>
      </c>
      <c r="D464" s="63" t="s">
        <v>2391</v>
      </c>
      <c r="E464" s="64">
        <v>2997</v>
      </c>
      <c r="F464" s="65" t="s">
        <v>189</v>
      </c>
      <c r="G464" s="389">
        <f t="shared" ref="G464:K514" si="59">+INDEX($AW$4:$AW$138,MATCH(G$3&amp;$M464,$AT$4:$AT$138,0))</f>
        <v>0.64999999999999991</v>
      </c>
      <c r="H464" s="389">
        <f t="shared" si="59"/>
        <v>0.56999999999999995</v>
      </c>
      <c r="I464" s="389">
        <f t="shared" si="59"/>
        <v>0.47999999999999987</v>
      </c>
      <c r="J464" s="389">
        <f t="shared" si="59"/>
        <v>0.39999999999999997</v>
      </c>
      <c r="K464" s="389">
        <f t="shared" si="59"/>
        <v>0.33999999999999997</v>
      </c>
      <c r="L464" s="720">
        <v>0.06</v>
      </c>
      <c r="M464" s="63" t="s">
        <v>3198</v>
      </c>
      <c r="N464" s="440">
        <v>4.4999999999999998E-2</v>
      </c>
      <c r="O464" s="390">
        <v>6.0000000000000001E-3</v>
      </c>
      <c r="P464" s="390">
        <v>0</v>
      </c>
      <c r="Q464" s="390">
        <v>0</v>
      </c>
      <c r="R464" s="390">
        <v>0</v>
      </c>
      <c r="S464" s="63" t="s">
        <v>476</v>
      </c>
      <c r="T464" s="63"/>
      <c r="U464" s="1039"/>
      <c r="V464" s="1039"/>
      <c r="W464" s="1039"/>
      <c r="X464" s="64" t="s">
        <v>2364</v>
      </c>
      <c r="Y464" s="439"/>
      <c r="Z464" s="439"/>
      <c r="AA464" s="439"/>
    </row>
    <row r="465" spans="1:27" ht="15" customHeight="1">
      <c r="A465" s="63">
        <f t="shared" si="58"/>
        <v>462</v>
      </c>
      <c r="B465" s="63" t="s">
        <v>1308</v>
      </c>
      <c r="C465" s="63" t="s">
        <v>2001</v>
      </c>
      <c r="D465" s="63" t="s">
        <v>2576</v>
      </c>
      <c r="E465" s="64">
        <v>2997</v>
      </c>
      <c r="F465" s="65" t="s">
        <v>189</v>
      </c>
      <c r="G465" s="389">
        <f t="shared" si="59"/>
        <v>0.64999999999999991</v>
      </c>
      <c r="H465" s="389">
        <f t="shared" si="59"/>
        <v>0.56999999999999995</v>
      </c>
      <c r="I465" s="389">
        <f t="shared" si="59"/>
        <v>0.47999999999999987</v>
      </c>
      <c r="J465" s="389">
        <f t="shared" si="59"/>
        <v>0.39999999999999997</v>
      </c>
      <c r="K465" s="389">
        <f t="shared" si="59"/>
        <v>0.33999999999999997</v>
      </c>
      <c r="L465" s="720">
        <v>0.06</v>
      </c>
      <c r="M465" s="63" t="s">
        <v>3198</v>
      </c>
      <c r="N465" s="440">
        <v>4.4999999999999998E-2</v>
      </c>
      <c r="O465" s="390">
        <v>6.0000000000000001E-3</v>
      </c>
      <c r="P465" s="390">
        <v>0</v>
      </c>
      <c r="Q465" s="390">
        <v>0</v>
      </c>
      <c r="R465" s="390">
        <v>0</v>
      </c>
      <c r="S465" s="63" t="s">
        <v>476</v>
      </c>
      <c r="T465" s="63"/>
      <c r="U465" s="1039"/>
      <c r="V465" s="1039"/>
      <c r="W465" s="1039"/>
      <c r="X465" s="64" t="s">
        <v>2364</v>
      </c>
      <c r="Y465" s="439"/>
      <c r="Z465" s="439"/>
      <c r="AA465" s="439"/>
    </row>
    <row r="466" spans="1:27" ht="15" customHeight="1">
      <c r="A466" s="63">
        <f t="shared" si="58"/>
        <v>463</v>
      </c>
      <c r="B466" s="63" t="s">
        <v>1308</v>
      </c>
      <c r="C466" s="63" t="s">
        <v>2001</v>
      </c>
      <c r="D466" s="63" t="s">
        <v>2577</v>
      </c>
      <c r="E466" s="64">
        <v>4395</v>
      </c>
      <c r="F466" s="65" t="s">
        <v>189</v>
      </c>
      <c r="G466" s="389">
        <f t="shared" si="59"/>
        <v>0.54</v>
      </c>
      <c r="H466" s="389">
        <f t="shared" si="59"/>
        <v>0.45999999999999996</v>
      </c>
      <c r="I466" s="389">
        <f t="shared" si="59"/>
        <v>0.37</v>
      </c>
      <c r="J466" s="389">
        <f t="shared" si="59"/>
        <v>0.28999999999999998</v>
      </c>
      <c r="K466" s="389">
        <f t="shared" si="59"/>
        <v>0.23</v>
      </c>
      <c r="L466" s="720">
        <v>0.06</v>
      </c>
      <c r="M466" s="63" t="s">
        <v>3199</v>
      </c>
      <c r="N466" s="440">
        <v>4.4999999999999998E-2</v>
      </c>
      <c r="O466" s="390">
        <v>6.0000000000000001E-3</v>
      </c>
      <c r="P466" s="390">
        <v>0</v>
      </c>
      <c r="Q466" s="390">
        <v>0</v>
      </c>
      <c r="R466" s="390">
        <v>0</v>
      </c>
      <c r="S466" s="63" t="s">
        <v>476</v>
      </c>
      <c r="T466" s="63"/>
      <c r="U466" s="1039"/>
      <c r="V466" s="1039"/>
      <c r="W466" s="1039"/>
      <c r="X466" s="64" t="s">
        <v>2364</v>
      </c>
      <c r="Y466" s="439"/>
      <c r="Z466" s="439"/>
      <c r="AA466" s="439"/>
    </row>
    <row r="467" spans="1:27" ht="15" customHeight="1">
      <c r="A467" s="63">
        <f t="shared" si="58"/>
        <v>464</v>
      </c>
      <c r="B467" s="63" t="s">
        <v>1308</v>
      </c>
      <c r="C467" s="63" t="s">
        <v>2001</v>
      </c>
      <c r="D467" s="63" t="s">
        <v>2392</v>
      </c>
      <c r="E467" s="64">
        <v>2997</v>
      </c>
      <c r="F467" s="65" t="s">
        <v>189</v>
      </c>
      <c r="G467" s="389">
        <f t="shared" si="59"/>
        <v>0.64999999999999991</v>
      </c>
      <c r="H467" s="389">
        <f t="shared" si="59"/>
        <v>0.56999999999999995</v>
      </c>
      <c r="I467" s="389">
        <f t="shared" si="59"/>
        <v>0.47999999999999987</v>
      </c>
      <c r="J467" s="389">
        <f t="shared" si="59"/>
        <v>0.39999999999999997</v>
      </c>
      <c r="K467" s="389">
        <f t="shared" si="59"/>
        <v>0.33999999999999997</v>
      </c>
      <c r="L467" s="720">
        <v>0.06</v>
      </c>
      <c r="M467" s="63" t="s">
        <v>3200</v>
      </c>
      <c r="N467" s="440">
        <v>4.4999999999999998E-2</v>
      </c>
      <c r="O467" s="390">
        <v>6.0000000000000001E-3</v>
      </c>
      <c r="P467" s="390">
        <v>0</v>
      </c>
      <c r="Q467" s="390">
        <v>0</v>
      </c>
      <c r="R467" s="390">
        <v>0</v>
      </c>
      <c r="S467" s="63" t="s">
        <v>476</v>
      </c>
      <c r="T467" s="63"/>
      <c r="U467" s="1039"/>
      <c r="V467" s="1039"/>
      <c r="W467" s="1039"/>
      <c r="X467" s="64" t="s">
        <v>2364</v>
      </c>
      <c r="Y467" s="439"/>
      <c r="Z467" s="439"/>
      <c r="AA467" s="439"/>
    </row>
    <row r="468" spans="1:27" ht="15" customHeight="1">
      <c r="A468" s="63">
        <f t="shared" si="58"/>
        <v>465</v>
      </c>
      <c r="B468" s="63" t="s">
        <v>1308</v>
      </c>
      <c r="C468" s="63" t="s">
        <v>2001</v>
      </c>
      <c r="D468" s="1234" t="s">
        <v>2597</v>
      </c>
      <c r="E468" s="1235">
        <v>1998</v>
      </c>
      <c r="F468" s="65" t="s">
        <v>189</v>
      </c>
      <c r="G468" s="389">
        <f t="shared" si="59"/>
        <v>0.59</v>
      </c>
      <c r="H468" s="389">
        <f t="shared" si="59"/>
        <v>0.51</v>
      </c>
      <c r="I468" s="389">
        <f t="shared" si="59"/>
        <v>0.42</v>
      </c>
      <c r="J468" s="389">
        <f t="shared" si="59"/>
        <v>0.34</v>
      </c>
      <c r="K468" s="389">
        <f t="shared" si="59"/>
        <v>0.28000000000000003</v>
      </c>
      <c r="L468" s="720">
        <v>0.06</v>
      </c>
      <c r="M468" s="63" t="s">
        <v>3201</v>
      </c>
      <c r="N468" s="440">
        <v>4.4999999999999998E-2</v>
      </c>
      <c r="O468" s="390">
        <v>6.0000000000000001E-3</v>
      </c>
      <c r="P468" s="390">
        <v>0</v>
      </c>
      <c r="Q468" s="390">
        <v>0</v>
      </c>
      <c r="R468" s="390">
        <v>0</v>
      </c>
      <c r="S468" s="63" t="s">
        <v>476</v>
      </c>
      <c r="T468" s="63"/>
      <c r="U468" s="1039"/>
      <c r="V468" s="1039"/>
      <c r="W468" s="1039"/>
      <c r="X468" s="64" t="s">
        <v>2364</v>
      </c>
      <c r="Y468" s="439"/>
      <c r="Z468" s="439"/>
      <c r="AA468" s="439"/>
    </row>
    <row r="469" spans="1:27" ht="15" customHeight="1">
      <c r="A469" s="63">
        <f t="shared" si="58"/>
        <v>466</v>
      </c>
      <c r="B469" s="63" t="s">
        <v>1308</v>
      </c>
      <c r="C469" s="63" t="s">
        <v>2001</v>
      </c>
      <c r="D469" s="1234" t="s">
        <v>2598</v>
      </c>
      <c r="E469" s="1235">
        <v>1998</v>
      </c>
      <c r="F469" s="65" t="s">
        <v>189</v>
      </c>
      <c r="G469" s="389">
        <f t="shared" si="59"/>
        <v>0.59</v>
      </c>
      <c r="H469" s="389">
        <f t="shared" si="59"/>
        <v>0.51</v>
      </c>
      <c r="I469" s="389">
        <f t="shared" si="59"/>
        <v>0.42</v>
      </c>
      <c r="J469" s="389">
        <f t="shared" si="59"/>
        <v>0.34</v>
      </c>
      <c r="K469" s="389">
        <f t="shared" si="59"/>
        <v>0.28000000000000003</v>
      </c>
      <c r="L469" s="720">
        <v>0.06</v>
      </c>
      <c r="M469" s="63" t="s">
        <v>3201</v>
      </c>
      <c r="N469" s="440">
        <v>4.4999999999999998E-2</v>
      </c>
      <c r="O469" s="390">
        <v>6.0000000000000001E-3</v>
      </c>
      <c r="P469" s="390">
        <v>0</v>
      </c>
      <c r="Q469" s="390">
        <v>0</v>
      </c>
      <c r="R469" s="390">
        <v>0</v>
      </c>
      <c r="S469" s="63" t="s">
        <v>476</v>
      </c>
      <c r="T469" s="63"/>
      <c r="U469" s="1039"/>
      <c r="V469" s="1039"/>
      <c r="W469" s="1039"/>
      <c r="X469" s="64" t="s">
        <v>2364</v>
      </c>
      <c r="Y469" s="439"/>
      <c r="Z469" s="439"/>
      <c r="AA469" s="439"/>
    </row>
    <row r="470" spans="1:27" ht="15" customHeight="1">
      <c r="A470" s="63">
        <f t="shared" si="58"/>
        <v>467</v>
      </c>
      <c r="B470" s="63" t="s">
        <v>1308</v>
      </c>
      <c r="C470" s="63" t="s">
        <v>2001</v>
      </c>
      <c r="D470" s="63" t="s">
        <v>2599</v>
      </c>
      <c r="E470" s="64">
        <v>2996</v>
      </c>
      <c r="F470" s="65" t="s">
        <v>189</v>
      </c>
      <c r="G470" s="389">
        <f t="shared" si="59"/>
        <v>0.59</v>
      </c>
      <c r="H470" s="389">
        <f t="shared" si="59"/>
        <v>0.51</v>
      </c>
      <c r="I470" s="389">
        <f t="shared" si="59"/>
        <v>0.42</v>
      </c>
      <c r="J470" s="389">
        <f t="shared" si="59"/>
        <v>0.34</v>
      </c>
      <c r="K470" s="389">
        <f t="shared" si="59"/>
        <v>0.28000000000000003</v>
      </c>
      <c r="L470" s="720">
        <v>0.06</v>
      </c>
      <c r="M470" s="63" t="s">
        <v>3201</v>
      </c>
      <c r="N470" s="440">
        <v>4.4999999999999998E-2</v>
      </c>
      <c r="O470" s="390">
        <v>6.0000000000000001E-3</v>
      </c>
      <c r="P470" s="390">
        <v>0</v>
      </c>
      <c r="Q470" s="390">
        <v>0</v>
      </c>
      <c r="R470" s="390">
        <v>0</v>
      </c>
      <c r="S470" s="63" t="s">
        <v>476</v>
      </c>
      <c r="T470" s="63"/>
      <c r="U470" s="1039"/>
      <c r="V470" s="1039"/>
      <c r="W470" s="1039"/>
      <c r="X470" s="64" t="s">
        <v>2364</v>
      </c>
      <c r="Y470" s="439"/>
      <c r="Z470" s="439"/>
      <c r="AA470" s="439"/>
    </row>
    <row r="471" spans="1:27" ht="15" customHeight="1">
      <c r="A471" s="63">
        <f t="shared" si="58"/>
        <v>468</v>
      </c>
      <c r="B471" s="63" t="s">
        <v>1308</v>
      </c>
      <c r="C471" s="63" t="s">
        <v>2001</v>
      </c>
      <c r="D471" s="1234" t="s">
        <v>2600</v>
      </c>
      <c r="E471" s="1235">
        <v>2997</v>
      </c>
      <c r="F471" s="65" t="s">
        <v>189</v>
      </c>
      <c r="G471" s="389">
        <f t="shared" si="59"/>
        <v>0.59</v>
      </c>
      <c r="H471" s="389">
        <f t="shared" si="59"/>
        <v>0.51</v>
      </c>
      <c r="I471" s="389">
        <f t="shared" si="59"/>
        <v>0.42</v>
      </c>
      <c r="J471" s="389">
        <f t="shared" si="59"/>
        <v>0.34</v>
      </c>
      <c r="K471" s="389">
        <f t="shared" si="59"/>
        <v>0.28000000000000003</v>
      </c>
      <c r="L471" s="720">
        <v>0.06</v>
      </c>
      <c r="M471" s="63" t="s">
        <v>3201</v>
      </c>
      <c r="N471" s="440">
        <v>4.4999999999999998E-2</v>
      </c>
      <c r="O471" s="390">
        <v>6.0000000000000001E-3</v>
      </c>
      <c r="P471" s="390">
        <v>0</v>
      </c>
      <c r="Q471" s="390">
        <v>0</v>
      </c>
      <c r="R471" s="390">
        <v>0</v>
      </c>
      <c r="S471" s="63" t="s">
        <v>476</v>
      </c>
      <c r="T471" s="63"/>
      <c r="U471" s="1039"/>
      <c r="V471" s="1039"/>
      <c r="W471" s="1039"/>
      <c r="X471" s="64" t="s">
        <v>2364</v>
      </c>
      <c r="Y471" s="439"/>
      <c r="Z471" s="439"/>
      <c r="AA471" s="439"/>
    </row>
    <row r="472" spans="1:27" ht="15" customHeight="1">
      <c r="A472" s="63">
        <f t="shared" si="58"/>
        <v>469</v>
      </c>
      <c r="B472" s="63" t="s">
        <v>1308</v>
      </c>
      <c r="C472" s="63"/>
      <c r="D472" s="63"/>
      <c r="E472" s="64"/>
      <c r="F472" s="65"/>
      <c r="G472" s="389" t="e">
        <f t="shared" si="59"/>
        <v>#N/A</v>
      </c>
      <c r="H472" s="389" t="e">
        <f t="shared" si="59"/>
        <v>#N/A</v>
      </c>
      <c r="I472" s="389" t="e">
        <f t="shared" si="59"/>
        <v>#N/A</v>
      </c>
      <c r="J472" s="389" t="e">
        <f t="shared" si="59"/>
        <v>#N/A</v>
      </c>
      <c r="K472" s="389" t="e">
        <f t="shared" si="59"/>
        <v>#N/A</v>
      </c>
      <c r="L472" s="720"/>
      <c r="M472" s="63"/>
      <c r="N472" s="440"/>
      <c r="O472" s="390"/>
      <c r="P472" s="390">
        <v>0</v>
      </c>
      <c r="Q472" s="390">
        <v>0</v>
      </c>
      <c r="R472" s="390">
        <v>0</v>
      </c>
      <c r="S472" s="63" t="s">
        <v>476</v>
      </c>
      <c r="T472" s="63"/>
      <c r="U472" s="1039"/>
      <c r="V472" s="1039"/>
      <c r="W472" s="1039"/>
      <c r="X472" s="64" t="s">
        <v>2364</v>
      </c>
      <c r="Y472" s="439"/>
      <c r="Z472" s="439"/>
      <c r="AA472" s="439"/>
    </row>
    <row r="473" spans="1:27" ht="15" customHeight="1">
      <c r="A473" s="63">
        <f t="shared" si="58"/>
        <v>470</v>
      </c>
      <c r="B473" s="63" t="s">
        <v>1308</v>
      </c>
      <c r="C473" s="63"/>
      <c r="D473" s="63"/>
      <c r="E473" s="64"/>
      <c r="F473" s="65"/>
      <c r="G473" s="389" t="e">
        <f t="shared" si="59"/>
        <v>#N/A</v>
      </c>
      <c r="H473" s="389" t="e">
        <f t="shared" si="59"/>
        <v>#N/A</v>
      </c>
      <c r="I473" s="389" t="e">
        <f t="shared" si="59"/>
        <v>#N/A</v>
      </c>
      <c r="J473" s="389" t="e">
        <f t="shared" si="59"/>
        <v>#N/A</v>
      </c>
      <c r="K473" s="389" t="e">
        <f t="shared" si="59"/>
        <v>#N/A</v>
      </c>
      <c r="L473" s="720"/>
      <c r="M473" s="63"/>
      <c r="N473" s="440"/>
      <c r="O473" s="390"/>
      <c r="P473" s="390">
        <v>0</v>
      </c>
      <c r="Q473" s="390">
        <v>0</v>
      </c>
      <c r="R473" s="390">
        <v>0</v>
      </c>
      <c r="S473" s="63" t="s">
        <v>476</v>
      </c>
      <c r="T473" s="63"/>
      <c r="U473" s="1039"/>
      <c r="V473" s="1039"/>
      <c r="W473" s="1039"/>
      <c r="X473" s="64" t="s">
        <v>2364</v>
      </c>
      <c r="Y473" s="439"/>
      <c r="Z473" s="439"/>
      <c r="AA473" s="439"/>
    </row>
    <row r="474" spans="1:27" ht="15" customHeight="1">
      <c r="A474" s="63">
        <f t="shared" si="58"/>
        <v>471</v>
      </c>
      <c r="B474" s="63" t="s">
        <v>1308</v>
      </c>
      <c r="C474" s="63"/>
      <c r="D474" s="63"/>
      <c r="E474" s="64"/>
      <c r="F474" s="65"/>
      <c r="G474" s="389" t="e">
        <f t="shared" si="59"/>
        <v>#N/A</v>
      </c>
      <c r="H474" s="389" t="e">
        <f t="shared" si="59"/>
        <v>#N/A</v>
      </c>
      <c r="I474" s="389" t="e">
        <f t="shared" si="59"/>
        <v>#N/A</v>
      </c>
      <c r="J474" s="389" t="e">
        <f t="shared" si="59"/>
        <v>#N/A</v>
      </c>
      <c r="K474" s="389" t="e">
        <f t="shared" si="59"/>
        <v>#N/A</v>
      </c>
      <c r="L474" s="720"/>
      <c r="M474" s="63"/>
      <c r="N474" s="440"/>
      <c r="O474" s="390"/>
      <c r="P474" s="390">
        <v>0</v>
      </c>
      <c r="Q474" s="390">
        <v>0</v>
      </c>
      <c r="R474" s="390">
        <v>0</v>
      </c>
      <c r="S474" s="63" t="s">
        <v>476</v>
      </c>
      <c r="T474" s="63"/>
      <c r="U474" s="1039"/>
      <c r="V474" s="1039"/>
      <c r="W474" s="1039"/>
      <c r="X474" s="64" t="s">
        <v>2364</v>
      </c>
      <c r="Y474" s="439"/>
      <c r="Z474" s="439"/>
      <c r="AA474" s="439"/>
    </row>
    <row r="475" spans="1:27" ht="15" customHeight="1">
      <c r="A475" s="63">
        <f t="shared" si="58"/>
        <v>472</v>
      </c>
      <c r="B475" s="63" t="s">
        <v>1308</v>
      </c>
      <c r="C475" s="63"/>
      <c r="D475" s="63"/>
      <c r="E475" s="64"/>
      <c r="F475" s="65"/>
      <c r="G475" s="389" t="e">
        <f t="shared" si="59"/>
        <v>#N/A</v>
      </c>
      <c r="H475" s="389" t="e">
        <f t="shared" si="59"/>
        <v>#N/A</v>
      </c>
      <c r="I475" s="389" t="e">
        <f t="shared" si="59"/>
        <v>#N/A</v>
      </c>
      <c r="J475" s="389" t="e">
        <f t="shared" si="59"/>
        <v>#N/A</v>
      </c>
      <c r="K475" s="389" t="e">
        <f t="shared" si="59"/>
        <v>#N/A</v>
      </c>
      <c r="L475" s="720"/>
      <c r="M475" s="63"/>
      <c r="N475" s="440"/>
      <c r="O475" s="390"/>
      <c r="P475" s="390">
        <v>0</v>
      </c>
      <c r="Q475" s="390">
        <v>0</v>
      </c>
      <c r="R475" s="390">
        <v>0</v>
      </c>
      <c r="S475" s="63" t="s">
        <v>476</v>
      </c>
      <c r="T475" s="63"/>
      <c r="U475" s="1039"/>
      <c r="V475" s="1039"/>
      <c r="W475" s="1039"/>
      <c r="X475" s="64" t="s">
        <v>2364</v>
      </c>
      <c r="Y475" s="439"/>
      <c r="Z475" s="439"/>
      <c r="AA475" s="439"/>
    </row>
    <row r="476" spans="1:27" ht="15" customHeight="1">
      <c r="A476" s="63">
        <f t="shared" ref="A476:A510" si="60">ROW()-3</f>
        <v>473</v>
      </c>
      <c r="B476" s="63" t="s">
        <v>2332</v>
      </c>
      <c r="C476" s="63"/>
      <c r="D476" s="63"/>
      <c r="E476" s="64"/>
      <c r="F476" s="65"/>
      <c r="G476" s="389" t="e">
        <f t="shared" si="59"/>
        <v>#N/A</v>
      </c>
      <c r="H476" s="389" t="e">
        <f t="shared" si="59"/>
        <v>#N/A</v>
      </c>
      <c r="I476" s="389" t="e">
        <f t="shared" si="59"/>
        <v>#N/A</v>
      </c>
      <c r="J476" s="389" t="e">
        <f t="shared" si="59"/>
        <v>#N/A</v>
      </c>
      <c r="K476" s="389" t="e">
        <f t="shared" si="59"/>
        <v>#N/A</v>
      </c>
      <c r="L476" s="720"/>
      <c r="M476" s="63"/>
      <c r="N476" s="440"/>
      <c r="O476" s="390"/>
      <c r="P476" s="390">
        <v>0</v>
      </c>
      <c r="Q476" s="390">
        <v>0</v>
      </c>
      <c r="R476" s="390">
        <v>0</v>
      </c>
      <c r="S476" s="63" t="s">
        <v>476</v>
      </c>
      <c r="T476" s="63"/>
      <c r="U476" s="1039"/>
      <c r="V476" s="1039"/>
      <c r="W476" s="1039"/>
      <c r="X476" s="64" t="s">
        <v>2364</v>
      </c>
      <c r="Y476" s="439"/>
      <c r="Z476" s="439"/>
      <c r="AA476" s="439"/>
    </row>
    <row r="477" spans="1:27" ht="15" customHeight="1">
      <c r="A477" s="63">
        <f t="shared" si="60"/>
        <v>474</v>
      </c>
      <c r="B477" s="63" t="s">
        <v>1308</v>
      </c>
      <c r="C477" s="63"/>
      <c r="D477" s="63"/>
      <c r="E477" s="64"/>
      <c r="F477" s="65"/>
      <c r="G477" s="389" t="e">
        <f t="shared" si="59"/>
        <v>#N/A</v>
      </c>
      <c r="H477" s="389" t="e">
        <f t="shared" si="59"/>
        <v>#N/A</v>
      </c>
      <c r="I477" s="389" t="e">
        <f t="shared" si="59"/>
        <v>#N/A</v>
      </c>
      <c r="J477" s="389" t="e">
        <f t="shared" si="59"/>
        <v>#N/A</v>
      </c>
      <c r="K477" s="389" t="e">
        <f t="shared" si="59"/>
        <v>#N/A</v>
      </c>
      <c r="L477" s="720"/>
      <c r="M477" s="63"/>
      <c r="N477" s="440"/>
      <c r="O477" s="390"/>
      <c r="P477" s="390">
        <v>0</v>
      </c>
      <c r="Q477" s="390">
        <v>0</v>
      </c>
      <c r="R477" s="390">
        <v>0</v>
      </c>
      <c r="S477" s="63" t="s">
        <v>476</v>
      </c>
      <c r="T477" s="63"/>
      <c r="U477" s="1039"/>
      <c r="V477" s="1039"/>
      <c r="W477" s="1039"/>
      <c r="X477" s="64" t="s">
        <v>2364</v>
      </c>
      <c r="Y477" s="439"/>
      <c r="Z477" s="439"/>
      <c r="AA477" s="439"/>
    </row>
    <row r="478" spans="1:27" ht="15" customHeight="1">
      <c r="A478" s="63">
        <f t="shared" si="60"/>
        <v>475</v>
      </c>
      <c r="B478" s="63" t="s">
        <v>1308</v>
      </c>
      <c r="C478" s="63"/>
      <c r="D478" s="63"/>
      <c r="E478" s="64"/>
      <c r="F478" s="65"/>
      <c r="G478" s="389" t="e">
        <f t="shared" si="59"/>
        <v>#N/A</v>
      </c>
      <c r="H478" s="389" t="e">
        <f t="shared" si="59"/>
        <v>#N/A</v>
      </c>
      <c r="I478" s="389" t="e">
        <f t="shared" si="59"/>
        <v>#N/A</v>
      </c>
      <c r="J478" s="389" t="e">
        <f t="shared" si="59"/>
        <v>#N/A</v>
      </c>
      <c r="K478" s="389" t="e">
        <f t="shared" si="59"/>
        <v>#N/A</v>
      </c>
      <c r="L478" s="720"/>
      <c r="M478" s="63"/>
      <c r="N478" s="440"/>
      <c r="O478" s="390"/>
      <c r="P478" s="390">
        <v>0</v>
      </c>
      <c r="Q478" s="390">
        <v>0</v>
      </c>
      <c r="R478" s="390">
        <v>0</v>
      </c>
      <c r="S478" s="63" t="s">
        <v>476</v>
      </c>
      <c r="T478" s="63"/>
      <c r="U478" s="1039"/>
      <c r="V478" s="1039"/>
      <c r="W478" s="1039"/>
      <c r="X478" s="64" t="s">
        <v>2364</v>
      </c>
      <c r="Y478" s="439"/>
      <c r="Z478" s="439"/>
      <c r="AA478" s="439"/>
    </row>
    <row r="479" spans="1:27" ht="15" customHeight="1">
      <c r="A479" s="63">
        <f t="shared" si="60"/>
        <v>476</v>
      </c>
      <c r="B479" s="63" t="s">
        <v>1308</v>
      </c>
      <c r="C479" s="63"/>
      <c r="D479" s="63"/>
      <c r="E479" s="64"/>
      <c r="F479" s="65"/>
      <c r="G479" s="389" t="e">
        <f t="shared" si="59"/>
        <v>#N/A</v>
      </c>
      <c r="H479" s="389" t="e">
        <f t="shared" si="59"/>
        <v>#N/A</v>
      </c>
      <c r="I479" s="389" t="e">
        <f t="shared" si="59"/>
        <v>#N/A</v>
      </c>
      <c r="J479" s="389" t="e">
        <f t="shared" si="59"/>
        <v>#N/A</v>
      </c>
      <c r="K479" s="389" t="e">
        <f t="shared" si="59"/>
        <v>#N/A</v>
      </c>
      <c r="L479" s="720"/>
      <c r="M479" s="63"/>
      <c r="N479" s="440"/>
      <c r="O479" s="390"/>
      <c r="P479" s="390">
        <v>0</v>
      </c>
      <c r="Q479" s="390">
        <v>0</v>
      </c>
      <c r="R479" s="390">
        <v>0</v>
      </c>
      <c r="S479" s="63" t="s">
        <v>476</v>
      </c>
      <c r="T479" s="63"/>
      <c r="U479" s="1039"/>
      <c r="V479" s="1039"/>
      <c r="W479" s="1039"/>
      <c r="X479" s="64" t="s">
        <v>2364</v>
      </c>
      <c r="Y479" s="439"/>
      <c r="Z479" s="439"/>
      <c r="AA479" s="439"/>
    </row>
    <row r="480" spans="1:27" ht="15" customHeight="1">
      <c r="A480" s="63">
        <f t="shared" si="60"/>
        <v>477</v>
      </c>
      <c r="B480" s="63" t="s">
        <v>1308</v>
      </c>
      <c r="C480" s="63"/>
      <c r="D480" s="63"/>
      <c r="E480" s="64"/>
      <c r="F480" s="65"/>
      <c r="G480" s="389" t="e">
        <f t="shared" si="59"/>
        <v>#N/A</v>
      </c>
      <c r="H480" s="389" t="e">
        <f t="shared" si="59"/>
        <v>#N/A</v>
      </c>
      <c r="I480" s="389" t="e">
        <f t="shared" si="59"/>
        <v>#N/A</v>
      </c>
      <c r="J480" s="389" t="e">
        <f t="shared" si="59"/>
        <v>#N/A</v>
      </c>
      <c r="K480" s="389" t="e">
        <f t="shared" si="59"/>
        <v>#N/A</v>
      </c>
      <c r="L480" s="720"/>
      <c r="M480" s="63"/>
      <c r="N480" s="440"/>
      <c r="O480" s="390"/>
      <c r="P480" s="390">
        <v>0</v>
      </c>
      <c r="Q480" s="390">
        <v>0</v>
      </c>
      <c r="R480" s="390">
        <v>0</v>
      </c>
      <c r="S480" s="63" t="s">
        <v>476</v>
      </c>
      <c r="T480" s="63"/>
      <c r="U480" s="1039"/>
      <c r="V480" s="1039"/>
      <c r="W480" s="1039"/>
      <c r="X480" s="64" t="s">
        <v>2364</v>
      </c>
      <c r="Y480" s="439"/>
      <c r="Z480" s="439"/>
      <c r="AA480" s="439"/>
    </row>
    <row r="481" spans="1:27" ht="15" customHeight="1">
      <c r="A481" s="63">
        <f t="shared" si="60"/>
        <v>478</v>
      </c>
      <c r="B481" s="63" t="s">
        <v>1308</v>
      </c>
      <c r="C481" s="63" t="s">
        <v>695</v>
      </c>
      <c r="D481" s="63" t="s">
        <v>2012</v>
      </c>
      <c r="E481" s="64">
        <v>3799</v>
      </c>
      <c r="F481" s="65" t="s">
        <v>2009</v>
      </c>
      <c r="G481" s="389">
        <f t="shared" si="59"/>
        <v>0.59</v>
      </c>
      <c r="H481" s="389">
        <f t="shared" si="59"/>
        <v>0.51</v>
      </c>
      <c r="I481" s="389">
        <f t="shared" si="59"/>
        <v>0.42</v>
      </c>
      <c r="J481" s="389">
        <f t="shared" si="59"/>
        <v>0.34</v>
      </c>
      <c r="K481" s="389">
        <f t="shared" si="59"/>
        <v>0.28000000000000003</v>
      </c>
      <c r="L481" s="720">
        <v>0.06</v>
      </c>
      <c r="M481" s="63" t="s">
        <v>3191</v>
      </c>
      <c r="N481" s="440">
        <v>4.4999999999999998E-2</v>
      </c>
      <c r="O481" s="390">
        <v>6.0000000000000001E-3</v>
      </c>
      <c r="P481" s="390">
        <v>0</v>
      </c>
      <c r="Q481" s="390">
        <v>0</v>
      </c>
      <c r="R481" s="390">
        <v>0</v>
      </c>
      <c r="S481" s="63" t="s">
        <v>476</v>
      </c>
      <c r="T481" s="63"/>
      <c r="U481" s="1039"/>
      <c r="V481" s="1039"/>
      <c r="W481" s="1039"/>
      <c r="X481" s="64" t="s">
        <v>2364</v>
      </c>
      <c r="Y481" s="439"/>
      <c r="Z481" s="439"/>
      <c r="AA481" s="439"/>
    </row>
    <row r="482" spans="1:27" ht="15" customHeight="1">
      <c r="A482" s="63">
        <f t="shared" si="60"/>
        <v>479</v>
      </c>
      <c r="B482" s="63" t="s">
        <v>1308</v>
      </c>
      <c r="C482" s="63" t="s">
        <v>695</v>
      </c>
      <c r="D482" s="63" t="s">
        <v>2013</v>
      </c>
      <c r="E482" s="64">
        <v>1995</v>
      </c>
      <c r="F482" s="65" t="s">
        <v>619</v>
      </c>
      <c r="G482" s="389">
        <f t="shared" si="59"/>
        <v>0.59</v>
      </c>
      <c r="H482" s="389">
        <f t="shared" si="59"/>
        <v>0.51</v>
      </c>
      <c r="I482" s="389">
        <f t="shared" si="59"/>
        <v>0.42</v>
      </c>
      <c r="J482" s="389">
        <f t="shared" si="59"/>
        <v>0.34</v>
      </c>
      <c r="K482" s="389">
        <f t="shared" si="59"/>
        <v>0.28000000000000003</v>
      </c>
      <c r="L482" s="720">
        <v>0.06</v>
      </c>
      <c r="M482" s="63" t="s">
        <v>3191</v>
      </c>
      <c r="N482" s="440">
        <v>4.4999999999999998E-2</v>
      </c>
      <c r="O482" s="390">
        <v>6.0000000000000001E-3</v>
      </c>
      <c r="P482" s="390">
        <v>0</v>
      </c>
      <c r="Q482" s="390">
        <v>0</v>
      </c>
      <c r="R482" s="390">
        <v>0</v>
      </c>
      <c r="S482" s="63" t="s">
        <v>476</v>
      </c>
      <c r="T482" s="63"/>
      <c r="U482" s="1039"/>
      <c r="V482" s="1039"/>
      <c r="W482" s="1039"/>
      <c r="X482" s="64" t="s">
        <v>2364</v>
      </c>
      <c r="Y482" s="439"/>
      <c r="Z482" s="439"/>
      <c r="AA482" s="439"/>
    </row>
    <row r="483" spans="1:27" ht="15" customHeight="1">
      <c r="A483" s="63">
        <f t="shared" si="60"/>
        <v>480</v>
      </c>
      <c r="B483" s="63" t="s">
        <v>1308</v>
      </c>
      <c r="C483" s="63" t="s">
        <v>695</v>
      </c>
      <c r="D483" s="63" t="s">
        <v>2014</v>
      </c>
      <c r="E483" s="64">
        <v>2979</v>
      </c>
      <c r="F483" s="65" t="s">
        <v>2009</v>
      </c>
      <c r="G483" s="389">
        <f t="shared" si="59"/>
        <v>0.59</v>
      </c>
      <c r="H483" s="389">
        <f t="shared" si="59"/>
        <v>0.51</v>
      </c>
      <c r="I483" s="389">
        <f t="shared" si="59"/>
        <v>0.42</v>
      </c>
      <c r="J483" s="389">
        <f t="shared" si="59"/>
        <v>0.34</v>
      </c>
      <c r="K483" s="389">
        <f t="shared" si="59"/>
        <v>0.28000000000000003</v>
      </c>
      <c r="L483" s="720">
        <v>0.06</v>
      </c>
      <c r="M483" s="63" t="s">
        <v>3191</v>
      </c>
      <c r="N483" s="440">
        <v>4.4999999999999998E-2</v>
      </c>
      <c r="O483" s="390">
        <v>6.0000000000000001E-3</v>
      </c>
      <c r="P483" s="390">
        <v>0</v>
      </c>
      <c r="Q483" s="390">
        <v>0</v>
      </c>
      <c r="R483" s="390">
        <v>0</v>
      </c>
      <c r="S483" s="63" t="s">
        <v>476</v>
      </c>
      <c r="T483" s="63"/>
      <c r="U483" s="1039"/>
      <c r="V483" s="1039"/>
      <c r="W483" s="1039"/>
      <c r="X483" s="64" t="s">
        <v>2364</v>
      </c>
      <c r="Y483" s="439"/>
      <c r="Z483" s="439"/>
      <c r="AA483" s="439"/>
    </row>
    <row r="484" spans="1:27" ht="15" customHeight="1">
      <c r="A484" s="63">
        <f t="shared" si="60"/>
        <v>481</v>
      </c>
      <c r="B484" s="63" t="s">
        <v>1308</v>
      </c>
      <c r="C484" s="63" t="s">
        <v>695</v>
      </c>
      <c r="D484" s="63" t="s">
        <v>1516</v>
      </c>
      <c r="E484" s="64">
        <v>2979</v>
      </c>
      <c r="F484" s="65" t="s">
        <v>2009</v>
      </c>
      <c r="G484" s="389">
        <f t="shared" si="59"/>
        <v>0.59</v>
      </c>
      <c r="H484" s="389">
        <f t="shared" si="59"/>
        <v>0.51</v>
      </c>
      <c r="I484" s="389">
        <f t="shared" si="59"/>
        <v>0.42</v>
      </c>
      <c r="J484" s="389">
        <f t="shared" si="59"/>
        <v>0.34</v>
      </c>
      <c r="K484" s="389">
        <f t="shared" si="59"/>
        <v>0.28000000000000003</v>
      </c>
      <c r="L484" s="720">
        <v>0.06</v>
      </c>
      <c r="M484" s="63" t="s">
        <v>3191</v>
      </c>
      <c r="N484" s="440">
        <v>4.4999999999999998E-2</v>
      </c>
      <c r="O484" s="390">
        <v>6.0000000000000001E-3</v>
      </c>
      <c r="P484" s="390">
        <v>0</v>
      </c>
      <c r="Q484" s="390">
        <v>0</v>
      </c>
      <c r="R484" s="390">
        <v>0</v>
      </c>
      <c r="S484" s="63" t="s">
        <v>476</v>
      </c>
      <c r="T484" s="63"/>
      <c r="U484" s="1039"/>
      <c r="V484" s="1039"/>
      <c r="W484" s="1039"/>
      <c r="X484" s="64" t="s">
        <v>2364</v>
      </c>
      <c r="Y484" s="439"/>
      <c r="Z484" s="439"/>
      <c r="AA484" s="439"/>
    </row>
    <row r="485" spans="1:27" ht="15" customHeight="1">
      <c r="A485" s="63">
        <f t="shared" si="60"/>
        <v>482</v>
      </c>
      <c r="B485" s="63" t="s">
        <v>1308</v>
      </c>
      <c r="C485" s="63" t="s">
        <v>695</v>
      </c>
      <c r="D485" s="63" t="s">
        <v>2015</v>
      </c>
      <c r="E485" s="64">
        <v>3799</v>
      </c>
      <c r="F485" s="65" t="s">
        <v>189</v>
      </c>
      <c r="G485" s="389">
        <f t="shared" si="59"/>
        <v>0.59</v>
      </c>
      <c r="H485" s="389">
        <f t="shared" si="59"/>
        <v>0.51</v>
      </c>
      <c r="I485" s="389">
        <f t="shared" si="59"/>
        <v>0.42</v>
      </c>
      <c r="J485" s="389">
        <f t="shared" si="59"/>
        <v>0.34</v>
      </c>
      <c r="K485" s="389">
        <f t="shared" si="59"/>
        <v>0.28000000000000003</v>
      </c>
      <c r="L485" s="720">
        <v>0.06</v>
      </c>
      <c r="M485" s="63" t="s">
        <v>3202</v>
      </c>
      <c r="N485" s="440">
        <v>4.4999999999999998E-2</v>
      </c>
      <c r="O485" s="390">
        <v>6.0000000000000001E-3</v>
      </c>
      <c r="P485" s="390">
        <v>0</v>
      </c>
      <c r="Q485" s="390">
        <v>0</v>
      </c>
      <c r="R485" s="390">
        <v>0</v>
      </c>
      <c r="S485" s="63" t="s">
        <v>476</v>
      </c>
      <c r="T485" s="63"/>
      <c r="U485" s="1039"/>
      <c r="V485" s="1039"/>
      <c r="W485" s="1039"/>
      <c r="X485" s="64" t="s">
        <v>2364</v>
      </c>
      <c r="Y485" s="439"/>
      <c r="Z485" s="439"/>
      <c r="AA485" s="439"/>
    </row>
    <row r="486" spans="1:27" ht="15" customHeight="1">
      <c r="A486" s="63">
        <f t="shared" si="60"/>
        <v>483</v>
      </c>
      <c r="B486" s="63" t="s">
        <v>2332</v>
      </c>
      <c r="C486" s="63" t="s">
        <v>695</v>
      </c>
      <c r="D486" s="63" t="s">
        <v>2393</v>
      </c>
      <c r="E486" s="64">
        <v>2979</v>
      </c>
      <c r="F486" s="65" t="s">
        <v>189</v>
      </c>
      <c r="G486" s="389">
        <f t="shared" si="59"/>
        <v>0.59</v>
      </c>
      <c r="H486" s="389">
        <f t="shared" si="59"/>
        <v>0.51</v>
      </c>
      <c r="I486" s="389">
        <f t="shared" si="59"/>
        <v>0.42</v>
      </c>
      <c r="J486" s="389">
        <f t="shared" si="59"/>
        <v>0.34</v>
      </c>
      <c r="K486" s="389">
        <f t="shared" si="59"/>
        <v>0.28000000000000003</v>
      </c>
      <c r="L486" s="720">
        <v>0.06</v>
      </c>
      <c r="M486" s="63" t="s">
        <v>3202</v>
      </c>
      <c r="N486" s="440">
        <v>4.4999999999999998E-2</v>
      </c>
      <c r="O486" s="390">
        <v>6.0000000000000001E-3</v>
      </c>
      <c r="P486" s="390">
        <v>0</v>
      </c>
      <c r="Q486" s="390">
        <v>0</v>
      </c>
      <c r="R486" s="390">
        <v>0</v>
      </c>
      <c r="S486" s="63" t="s">
        <v>476</v>
      </c>
      <c r="T486" s="63"/>
      <c r="U486" s="1039"/>
      <c r="V486" s="1039"/>
      <c r="W486" s="1039"/>
      <c r="X486" s="64" t="s">
        <v>2364</v>
      </c>
      <c r="Y486" s="439"/>
      <c r="Z486" s="439"/>
      <c r="AA486" s="439"/>
    </row>
    <row r="487" spans="1:27" ht="15" customHeight="1">
      <c r="A487" s="63">
        <f t="shared" si="60"/>
        <v>484</v>
      </c>
      <c r="B487" s="63" t="s">
        <v>1308</v>
      </c>
      <c r="C487" s="63" t="s">
        <v>695</v>
      </c>
      <c r="D487" s="63" t="s">
        <v>2016</v>
      </c>
      <c r="E487" s="64">
        <v>2979</v>
      </c>
      <c r="F487" s="65" t="s">
        <v>189</v>
      </c>
      <c r="G487" s="389">
        <f t="shared" si="59"/>
        <v>0.59</v>
      </c>
      <c r="H487" s="389">
        <f t="shared" si="59"/>
        <v>0.51</v>
      </c>
      <c r="I487" s="389">
        <f t="shared" si="59"/>
        <v>0.42</v>
      </c>
      <c r="J487" s="389">
        <f t="shared" si="59"/>
        <v>0.34</v>
      </c>
      <c r="K487" s="389">
        <f t="shared" si="59"/>
        <v>0.28000000000000003</v>
      </c>
      <c r="L487" s="720">
        <v>0.06</v>
      </c>
      <c r="M487" s="63" t="s">
        <v>3202</v>
      </c>
      <c r="N487" s="440">
        <v>4.4999999999999998E-2</v>
      </c>
      <c r="O487" s="390">
        <v>6.0000000000000001E-3</v>
      </c>
      <c r="P487" s="390">
        <v>0</v>
      </c>
      <c r="Q487" s="390">
        <v>0</v>
      </c>
      <c r="R487" s="390">
        <v>0</v>
      </c>
      <c r="S487" s="63" t="s">
        <v>476</v>
      </c>
      <c r="T487" s="63"/>
      <c r="U487" s="1039"/>
      <c r="V487" s="1039"/>
      <c r="W487" s="1039"/>
      <c r="X487" s="64" t="s">
        <v>2364</v>
      </c>
      <c r="Y487" s="439"/>
      <c r="Z487" s="439"/>
      <c r="AA487" s="439"/>
    </row>
    <row r="488" spans="1:27" ht="15" customHeight="1">
      <c r="A488" s="63">
        <f t="shared" si="60"/>
        <v>485</v>
      </c>
      <c r="B488" s="63" t="s">
        <v>1308</v>
      </c>
      <c r="C488" s="63" t="s">
        <v>2394</v>
      </c>
      <c r="D488" s="63" t="s">
        <v>2017</v>
      </c>
      <c r="E488" s="64">
        <v>1995</v>
      </c>
      <c r="F488" s="65" t="s">
        <v>189</v>
      </c>
      <c r="G488" s="389">
        <f t="shared" si="59"/>
        <v>0.59</v>
      </c>
      <c r="H488" s="389">
        <f t="shared" si="59"/>
        <v>0.51</v>
      </c>
      <c r="I488" s="389">
        <f t="shared" si="59"/>
        <v>0.42</v>
      </c>
      <c r="J488" s="389">
        <f t="shared" si="59"/>
        <v>0.34</v>
      </c>
      <c r="K488" s="389">
        <f t="shared" si="59"/>
        <v>0.28000000000000003</v>
      </c>
      <c r="L488" s="720">
        <v>0.06</v>
      </c>
      <c r="M488" s="63" t="s">
        <v>3202</v>
      </c>
      <c r="N488" s="440">
        <v>4.4999999999999998E-2</v>
      </c>
      <c r="O488" s="390">
        <v>6.0000000000000001E-3</v>
      </c>
      <c r="P488" s="390">
        <v>0</v>
      </c>
      <c r="Q488" s="390">
        <v>0</v>
      </c>
      <c r="R488" s="390">
        <v>0</v>
      </c>
      <c r="S488" s="63" t="s">
        <v>476</v>
      </c>
      <c r="T488" s="63"/>
      <c r="U488" s="1039"/>
      <c r="V488" s="1039"/>
      <c r="W488" s="1039"/>
      <c r="X488" s="64" t="s">
        <v>2364</v>
      </c>
      <c r="Y488" s="439"/>
      <c r="Z488" s="439"/>
      <c r="AA488" s="439"/>
    </row>
    <row r="489" spans="1:27" ht="15" customHeight="1">
      <c r="A489" s="1236">
        <f t="shared" si="60"/>
        <v>486</v>
      </c>
      <c r="B489" s="1236" t="s">
        <v>1306</v>
      </c>
      <c r="C489" s="1236" t="s">
        <v>695</v>
      </c>
      <c r="D489" s="1236" t="s">
        <v>3145</v>
      </c>
      <c r="E489" s="1235">
        <v>2992</v>
      </c>
      <c r="F489" s="1237" t="s">
        <v>619</v>
      </c>
      <c r="G489" s="389">
        <f t="shared" si="59"/>
        <v>0.54</v>
      </c>
      <c r="H489" s="389">
        <f t="shared" si="59"/>
        <v>0.45999999999999996</v>
      </c>
      <c r="I489" s="389">
        <f t="shared" si="59"/>
        <v>0.37</v>
      </c>
      <c r="J489" s="389">
        <f t="shared" si="59"/>
        <v>0.28999999999999998</v>
      </c>
      <c r="K489" s="389">
        <f t="shared" si="59"/>
        <v>0.23</v>
      </c>
      <c r="L489" s="720">
        <v>0.06</v>
      </c>
      <c r="M489" s="63" t="s">
        <v>3175</v>
      </c>
      <c r="N489" s="1238">
        <v>4.4999999999999998E-2</v>
      </c>
      <c r="O489" s="1239">
        <v>6.0000000000000001E-3</v>
      </c>
      <c r="P489" s="1239">
        <v>0</v>
      </c>
      <c r="Q489" s="1239">
        <v>0</v>
      </c>
      <c r="R489" s="1239">
        <v>0</v>
      </c>
      <c r="S489" s="1236" t="s">
        <v>476</v>
      </c>
      <c r="T489" s="1236"/>
      <c r="U489" s="1240"/>
      <c r="V489" s="1240"/>
      <c r="W489" s="1240"/>
      <c r="X489" s="64" t="s">
        <v>2364</v>
      </c>
      <c r="Y489" s="439"/>
      <c r="Z489" s="439"/>
      <c r="AA489" s="439"/>
    </row>
    <row r="490" spans="1:27" ht="15" customHeight="1">
      <c r="A490" s="1236">
        <f t="shared" si="60"/>
        <v>487</v>
      </c>
      <c r="B490" s="1236" t="s">
        <v>1306</v>
      </c>
      <c r="C490" s="1236" t="s">
        <v>695</v>
      </c>
      <c r="D490" s="1236" t="s">
        <v>3146</v>
      </c>
      <c r="E490" s="1235">
        <v>2992</v>
      </c>
      <c r="F490" s="1237" t="s">
        <v>619</v>
      </c>
      <c r="G490" s="389">
        <f t="shared" si="59"/>
        <v>0.54</v>
      </c>
      <c r="H490" s="389">
        <f t="shared" si="59"/>
        <v>0.45999999999999996</v>
      </c>
      <c r="I490" s="389">
        <f t="shared" si="59"/>
        <v>0.37</v>
      </c>
      <c r="J490" s="389">
        <f t="shared" si="59"/>
        <v>0.28999999999999998</v>
      </c>
      <c r="K490" s="389">
        <f t="shared" si="59"/>
        <v>0.23</v>
      </c>
      <c r="L490" s="720">
        <v>0.06</v>
      </c>
      <c r="M490" s="63" t="s">
        <v>3175</v>
      </c>
      <c r="N490" s="1238">
        <v>4.4999999999999998E-2</v>
      </c>
      <c r="O490" s="1239">
        <v>6.0000000000000001E-3</v>
      </c>
      <c r="P490" s="1239">
        <v>0</v>
      </c>
      <c r="Q490" s="1239">
        <v>0</v>
      </c>
      <c r="R490" s="1239">
        <v>0</v>
      </c>
      <c r="S490" s="1236" t="s">
        <v>476</v>
      </c>
      <c r="T490" s="1236"/>
      <c r="U490" s="1240"/>
      <c r="V490" s="1240"/>
      <c r="W490" s="1240"/>
      <c r="X490" s="64" t="s">
        <v>2364</v>
      </c>
      <c r="Y490" s="439"/>
      <c r="Z490" s="439"/>
      <c r="AA490" s="439"/>
    </row>
    <row r="491" spans="1:27" ht="15" customHeight="1">
      <c r="A491" s="63">
        <f t="shared" si="60"/>
        <v>488</v>
      </c>
      <c r="B491" s="63" t="s">
        <v>1306</v>
      </c>
      <c r="C491" s="63" t="s">
        <v>695</v>
      </c>
      <c r="D491" s="63" t="s">
        <v>2018</v>
      </c>
      <c r="E491" s="64">
        <v>3799</v>
      </c>
      <c r="F491" s="65" t="s">
        <v>619</v>
      </c>
      <c r="G491" s="389">
        <f t="shared" si="59"/>
        <v>0.57999999999999996</v>
      </c>
      <c r="H491" s="389">
        <f t="shared" si="59"/>
        <v>0.5</v>
      </c>
      <c r="I491" s="389">
        <f t="shared" si="59"/>
        <v>0.41</v>
      </c>
      <c r="J491" s="389">
        <f t="shared" si="59"/>
        <v>0.32999999999999996</v>
      </c>
      <c r="K491" s="389">
        <f t="shared" si="59"/>
        <v>0.26999999999999996</v>
      </c>
      <c r="L491" s="720">
        <v>0.06</v>
      </c>
      <c r="M491" s="63" t="s">
        <v>3173</v>
      </c>
      <c r="N491" s="440">
        <v>4.4999999999999998E-2</v>
      </c>
      <c r="O491" s="390">
        <v>6.0000000000000001E-3</v>
      </c>
      <c r="P491" s="390">
        <v>0</v>
      </c>
      <c r="Q491" s="390">
        <v>0</v>
      </c>
      <c r="R491" s="390">
        <v>0</v>
      </c>
      <c r="S491" s="63" t="s">
        <v>476</v>
      </c>
      <c r="T491" s="63"/>
      <c r="U491" s="1039"/>
      <c r="V491" s="1039"/>
      <c r="W491" s="1039"/>
      <c r="X491" s="64" t="s">
        <v>2364</v>
      </c>
      <c r="Y491" s="439"/>
      <c r="Z491" s="439"/>
      <c r="AA491" s="439"/>
    </row>
    <row r="492" spans="1:27" ht="15" customHeight="1">
      <c r="A492" s="63">
        <f t="shared" si="60"/>
        <v>489</v>
      </c>
      <c r="B492" s="63" t="s">
        <v>1308</v>
      </c>
      <c r="C492" s="63" t="s">
        <v>695</v>
      </c>
      <c r="D492" s="63" t="s">
        <v>2395</v>
      </c>
      <c r="E492" s="64">
        <v>2979</v>
      </c>
      <c r="F492" s="65" t="s">
        <v>619</v>
      </c>
      <c r="G492" s="389">
        <f t="shared" si="59"/>
        <v>0.57999999999999996</v>
      </c>
      <c r="H492" s="389">
        <f t="shared" si="59"/>
        <v>0.5</v>
      </c>
      <c r="I492" s="389">
        <f t="shared" si="59"/>
        <v>0.41</v>
      </c>
      <c r="J492" s="389">
        <f t="shared" si="59"/>
        <v>0.32999999999999996</v>
      </c>
      <c r="K492" s="389">
        <f t="shared" si="59"/>
        <v>0.26999999999999996</v>
      </c>
      <c r="L492" s="720">
        <v>0.06</v>
      </c>
      <c r="M492" s="63" t="s">
        <v>3173</v>
      </c>
      <c r="N492" s="440">
        <v>4.4999999999999998E-2</v>
      </c>
      <c r="O492" s="390">
        <v>6.0000000000000001E-3</v>
      </c>
      <c r="P492" s="390">
        <v>0</v>
      </c>
      <c r="Q492" s="390">
        <v>0</v>
      </c>
      <c r="R492" s="390">
        <v>0</v>
      </c>
      <c r="S492" s="63" t="s">
        <v>476</v>
      </c>
      <c r="T492" s="63"/>
      <c r="U492" s="1039"/>
      <c r="V492" s="1039"/>
      <c r="W492" s="1039"/>
      <c r="X492" s="64" t="s">
        <v>2364</v>
      </c>
      <c r="Y492" s="439"/>
      <c r="Z492" s="439"/>
      <c r="AA492" s="439"/>
    </row>
    <row r="493" spans="1:27" ht="15" customHeight="1">
      <c r="A493" s="63">
        <f t="shared" si="60"/>
        <v>490</v>
      </c>
      <c r="B493" s="63" t="s">
        <v>1308</v>
      </c>
      <c r="C493" s="63" t="s">
        <v>2394</v>
      </c>
      <c r="D493" s="63" t="s">
        <v>2019</v>
      </c>
      <c r="E493" s="64">
        <v>2979</v>
      </c>
      <c r="F493" s="65" t="s">
        <v>2010</v>
      </c>
      <c r="G493" s="389">
        <f t="shared" si="59"/>
        <v>0.57999999999999996</v>
      </c>
      <c r="H493" s="389">
        <f t="shared" si="59"/>
        <v>0.5</v>
      </c>
      <c r="I493" s="389">
        <f t="shared" si="59"/>
        <v>0.41</v>
      </c>
      <c r="J493" s="389">
        <f t="shared" si="59"/>
        <v>0.32999999999999996</v>
      </c>
      <c r="K493" s="389">
        <f t="shared" si="59"/>
        <v>0.26999999999999996</v>
      </c>
      <c r="L493" s="720">
        <v>0.06</v>
      </c>
      <c r="M493" s="63" t="s">
        <v>3173</v>
      </c>
      <c r="N493" s="440">
        <v>4.4999999999999998E-2</v>
      </c>
      <c r="O493" s="390">
        <v>6.0000000000000001E-3</v>
      </c>
      <c r="P493" s="390">
        <v>0</v>
      </c>
      <c r="Q493" s="390">
        <v>0</v>
      </c>
      <c r="R493" s="390">
        <v>0</v>
      </c>
      <c r="S493" s="63" t="s">
        <v>476</v>
      </c>
      <c r="T493" s="63"/>
      <c r="U493" s="1039"/>
      <c r="V493" s="1039"/>
      <c r="W493" s="1039"/>
      <c r="X493" s="64" t="s">
        <v>2364</v>
      </c>
      <c r="Y493" s="439"/>
      <c r="Z493" s="439"/>
      <c r="AA493" s="439"/>
    </row>
    <row r="494" spans="1:27" ht="15" customHeight="1">
      <c r="A494" s="63">
        <f t="shared" si="60"/>
        <v>491</v>
      </c>
      <c r="B494" s="63" t="s">
        <v>1308</v>
      </c>
      <c r="C494" s="63" t="s">
        <v>695</v>
      </c>
      <c r="D494" s="1234" t="s">
        <v>2243</v>
      </c>
      <c r="E494" s="64">
        <v>1995</v>
      </c>
      <c r="F494" s="65" t="s">
        <v>2011</v>
      </c>
      <c r="G494" s="389">
        <f t="shared" si="59"/>
        <v>0.57999999999999996</v>
      </c>
      <c r="H494" s="389">
        <f t="shared" si="59"/>
        <v>0.5</v>
      </c>
      <c r="I494" s="389">
        <f t="shared" si="59"/>
        <v>0.41</v>
      </c>
      <c r="J494" s="389">
        <f t="shared" si="59"/>
        <v>0.32999999999999996</v>
      </c>
      <c r="K494" s="389">
        <f t="shared" si="59"/>
        <v>0.26999999999999996</v>
      </c>
      <c r="L494" s="720">
        <v>0.06</v>
      </c>
      <c r="M494" s="63" t="s">
        <v>3173</v>
      </c>
      <c r="N494" s="440">
        <v>4.4999999999999998E-2</v>
      </c>
      <c r="O494" s="390">
        <v>6.0000000000000001E-3</v>
      </c>
      <c r="P494" s="390">
        <v>0</v>
      </c>
      <c r="Q494" s="390">
        <v>0</v>
      </c>
      <c r="R494" s="390">
        <v>0</v>
      </c>
      <c r="S494" s="63" t="s">
        <v>476</v>
      </c>
      <c r="T494" s="63"/>
      <c r="U494" s="1039"/>
      <c r="V494" s="1039"/>
      <c r="W494" s="1039"/>
      <c r="X494" s="64" t="s">
        <v>2364</v>
      </c>
      <c r="Y494" s="439"/>
      <c r="Z494" s="439"/>
      <c r="AA494" s="439"/>
    </row>
    <row r="495" spans="1:27" ht="15" customHeight="1">
      <c r="A495" s="63">
        <f t="shared" si="60"/>
        <v>492</v>
      </c>
      <c r="B495" s="63" t="s">
        <v>1308</v>
      </c>
      <c r="C495" s="63" t="s">
        <v>695</v>
      </c>
      <c r="D495" s="1234" t="s">
        <v>2020</v>
      </c>
      <c r="E495" s="64">
        <v>1995</v>
      </c>
      <c r="F495" s="65" t="s">
        <v>620</v>
      </c>
      <c r="G495" s="389">
        <f t="shared" si="59"/>
        <v>0.57999999999999996</v>
      </c>
      <c r="H495" s="389">
        <f t="shared" si="59"/>
        <v>0.5</v>
      </c>
      <c r="I495" s="389">
        <f t="shared" si="59"/>
        <v>0.41</v>
      </c>
      <c r="J495" s="389">
        <f t="shared" si="59"/>
        <v>0.32999999999999996</v>
      </c>
      <c r="K495" s="389">
        <f t="shared" si="59"/>
        <v>0.26999999999999996</v>
      </c>
      <c r="L495" s="720">
        <v>0.06</v>
      </c>
      <c r="M495" s="63" t="s">
        <v>3173</v>
      </c>
      <c r="N495" s="440">
        <v>4.4999999999999998E-2</v>
      </c>
      <c r="O495" s="390">
        <v>6.0000000000000001E-3</v>
      </c>
      <c r="P495" s="390">
        <v>0</v>
      </c>
      <c r="Q495" s="390">
        <v>0</v>
      </c>
      <c r="R495" s="390">
        <v>0</v>
      </c>
      <c r="S495" s="63" t="s">
        <v>476</v>
      </c>
      <c r="T495" s="63"/>
      <c r="U495" s="1039"/>
      <c r="V495" s="1039"/>
      <c r="W495" s="1039"/>
      <c r="X495" s="64" t="s">
        <v>2364</v>
      </c>
      <c r="Y495" s="439"/>
      <c r="Z495" s="439"/>
      <c r="AA495" s="439"/>
    </row>
    <row r="496" spans="1:27" ht="15" customHeight="1">
      <c r="A496" s="63">
        <f t="shared" si="60"/>
        <v>493</v>
      </c>
      <c r="B496" s="63" t="s">
        <v>1308</v>
      </c>
      <c r="C496" s="63" t="s">
        <v>695</v>
      </c>
      <c r="D496" s="1234" t="s">
        <v>1666</v>
      </c>
      <c r="E496" s="64">
        <v>2992</v>
      </c>
      <c r="F496" s="65" t="s">
        <v>2011</v>
      </c>
      <c r="G496" s="389" t="e">
        <f t="shared" si="59"/>
        <v>#N/A</v>
      </c>
      <c r="H496" s="389" t="e">
        <f t="shared" si="59"/>
        <v>#N/A</v>
      </c>
      <c r="I496" s="389" t="e">
        <f t="shared" si="59"/>
        <v>#N/A</v>
      </c>
      <c r="J496" s="389" t="e">
        <f t="shared" si="59"/>
        <v>#N/A</v>
      </c>
      <c r="K496" s="389" t="e">
        <f t="shared" si="59"/>
        <v>#N/A</v>
      </c>
      <c r="L496" s="720">
        <v>0.06</v>
      </c>
      <c r="M496" s="63"/>
      <c r="N496" s="440">
        <v>4.4999999999999998E-2</v>
      </c>
      <c r="O496" s="390">
        <v>6.0000000000000001E-3</v>
      </c>
      <c r="P496" s="390">
        <v>0</v>
      </c>
      <c r="Q496" s="390">
        <v>0</v>
      </c>
      <c r="R496" s="390">
        <v>0</v>
      </c>
      <c r="S496" s="63" t="s">
        <v>476</v>
      </c>
      <c r="T496" s="63"/>
      <c r="U496" s="1039"/>
      <c r="V496" s="1039"/>
      <c r="W496" s="1039"/>
      <c r="X496" s="64" t="s">
        <v>2364</v>
      </c>
      <c r="Y496" s="439"/>
      <c r="Z496" s="439"/>
      <c r="AA496" s="439"/>
    </row>
    <row r="497" spans="1:27" ht="15" customHeight="1">
      <c r="A497" s="1236">
        <f t="shared" si="60"/>
        <v>494</v>
      </c>
      <c r="B497" s="1236" t="s">
        <v>1306</v>
      </c>
      <c r="C497" s="1236" t="s">
        <v>695</v>
      </c>
      <c r="D497" s="1236" t="s">
        <v>3148</v>
      </c>
      <c r="E497" s="1235">
        <v>2992</v>
      </c>
      <c r="F497" s="1237" t="s">
        <v>144</v>
      </c>
      <c r="G497" s="389">
        <f t="shared" si="59"/>
        <v>0.54</v>
      </c>
      <c r="H497" s="389">
        <f t="shared" si="59"/>
        <v>0.45999999999999996</v>
      </c>
      <c r="I497" s="389">
        <f t="shared" si="59"/>
        <v>0.37</v>
      </c>
      <c r="J497" s="389">
        <f t="shared" si="59"/>
        <v>0.28999999999999998</v>
      </c>
      <c r="K497" s="389">
        <f t="shared" si="59"/>
        <v>0.23</v>
      </c>
      <c r="L497" s="720">
        <v>0.06</v>
      </c>
      <c r="M497" s="63" t="s">
        <v>3179</v>
      </c>
      <c r="N497" s="1238">
        <v>4.4999999999999998E-2</v>
      </c>
      <c r="O497" s="1239">
        <v>6.0000000000000001E-3</v>
      </c>
      <c r="P497" s="1239">
        <v>0</v>
      </c>
      <c r="Q497" s="1239">
        <v>0</v>
      </c>
      <c r="R497" s="1239">
        <v>0</v>
      </c>
      <c r="S497" s="1236" t="s">
        <v>476</v>
      </c>
      <c r="T497" s="1236"/>
      <c r="U497" s="1240"/>
      <c r="V497" s="1240"/>
      <c r="W497" s="1240"/>
      <c r="X497" s="64" t="s">
        <v>2364</v>
      </c>
      <c r="Y497" s="439"/>
      <c r="Z497" s="439"/>
      <c r="AA497" s="439"/>
    </row>
    <row r="498" spans="1:27" ht="15" customHeight="1">
      <c r="A498" s="1236">
        <f t="shared" si="60"/>
        <v>495</v>
      </c>
      <c r="B498" s="1236" t="s">
        <v>1306</v>
      </c>
      <c r="C498" s="1236" t="s">
        <v>695</v>
      </c>
      <c r="D498" s="1236" t="s">
        <v>3147</v>
      </c>
      <c r="E498" s="1235">
        <v>2992</v>
      </c>
      <c r="F498" s="1237" t="s">
        <v>144</v>
      </c>
      <c r="G498" s="389">
        <f t="shared" si="59"/>
        <v>0.54</v>
      </c>
      <c r="H498" s="389">
        <f t="shared" si="59"/>
        <v>0.45999999999999996</v>
      </c>
      <c r="I498" s="389">
        <f t="shared" si="59"/>
        <v>0.37</v>
      </c>
      <c r="J498" s="389">
        <f t="shared" si="59"/>
        <v>0.28999999999999998</v>
      </c>
      <c r="K498" s="389">
        <f t="shared" si="59"/>
        <v>0.23</v>
      </c>
      <c r="L498" s="720">
        <v>0.06</v>
      </c>
      <c r="M498" s="63" t="s">
        <v>3175</v>
      </c>
      <c r="N498" s="1238">
        <v>4.4999999999999998E-2</v>
      </c>
      <c r="O498" s="1239">
        <v>6.0000000000000001E-3</v>
      </c>
      <c r="P498" s="1239">
        <v>0</v>
      </c>
      <c r="Q498" s="1239">
        <v>0</v>
      </c>
      <c r="R498" s="1239">
        <v>0</v>
      </c>
      <c r="S498" s="1236" t="s">
        <v>476</v>
      </c>
      <c r="T498" s="1236"/>
      <c r="U498" s="1240"/>
      <c r="V498" s="1240"/>
      <c r="W498" s="1240"/>
      <c r="X498" s="64" t="s">
        <v>2364</v>
      </c>
      <c r="Y498" s="439"/>
      <c r="Z498" s="439"/>
      <c r="AA498" s="439"/>
    </row>
    <row r="499" spans="1:27" ht="15" customHeight="1">
      <c r="A499" s="63">
        <f t="shared" si="60"/>
        <v>496</v>
      </c>
      <c r="B499" s="63" t="s">
        <v>1306</v>
      </c>
      <c r="C499" s="63" t="s">
        <v>695</v>
      </c>
      <c r="D499" s="1234" t="s">
        <v>2021</v>
      </c>
      <c r="E499" s="64">
        <v>2992</v>
      </c>
      <c r="F499" s="65" t="s">
        <v>144</v>
      </c>
      <c r="G499" s="389">
        <f t="shared" si="59"/>
        <v>0.54</v>
      </c>
      <c r="H499" s="389">
        <f t="shared" si="59"/>
        <v>0.45999999999999996</v>
      </c>
      <c r="I499" s="389">
        <f t="shared" si="59"/>
        <v>0.37</v>
      </c>
      <c r="J499" s="389">
        <f t="shared" si="59"/>
        <v>0.28999999999999998</v>
      </c>
      <c r="K499" s="389">
        <f t="shared" si="59"/>
        <v>0.23</v>
      </c>
      <c r="L499" s="720">
        <v>0.06</v>
      </c>
      <c r="M499" s="63" t="s">
        <v>3175</v>
      </c>
      <c r="N499" s="440">
        <v>4.4999999999999998E-2</v>
      </c>
      <c r="O499" s="390">
        <v>6.0000000000000001E-3</v>
      </c>
      <c r="P499" s="390">
        <v>0</v>
      </c>
      <c r="Q499" s="390">
        <v>0</v>
      </c>
      <c r="R499" s="390">
        <v>0</v>
      </c>
      <c r="S499" s="63" t="s">
        <v>476</v>
      </c>
      <c r="T499" s="63"/>
      <c r="U499" s="1039"/>
      <c r="V499" s="1039"/>
      <c r="W499" s="1039"/>
      <c r="X499" s="64" t="s">
        <v>2364</v>
      </c>
      <c r="Y499" s="439"/>
      <c r="Z499" s="439"/>
      <c r="AA499" s="439"/>
    </row>
    <row r="500" spans="1:27" ht="15" customHeight="1">
      <c r="A500" s="63">
        <f t="shared" si="60"/>
        <v>497</v>
      </c>
      <c r="B500" s="63" t="s">
        <v>2332</v>
      </c>
      <c r="C500" s="63"/>
      <c r="D500" s="63"/>
      <c r="E500" s="64"/>
      <c r="F500" s="65"/>
      <c r="G500" s="389" t="e">
        <f t="shared" si="59"/>
        <v>#N/A</v>
      </c>
      <c r="H500" s="389" t="e">
        <f t="shared" si="59"/>
        <v>#N/A</v>
      </c>
      <c r="I500" s="389" t="e">
        <f t="shared" si="59"/>
        <v>#N/A</v>
      </c>
      <c r="J500" s="389" t="e">
        <f t="shared" si="59"/>
        <v>#N/A</v>
      </c>
      <c r="K500" s="389" t="e">
        <f t="shared" si="59"/>
        <v>#N/A</v>
      </c>
      <c r="L500" s="720"/>
      <c r="M500" s="63"/>
      <c r="N500" s="440"/>
      <c r="O500" s="390"/>
      <c r="P500" s="390">
        <v>0</v>
      </c>
      <c r="Q500" s="390">
        <v>0</v>
      </c>
      <c r="R500" s="390">
        <v>0</v>
      </c>
      <c r="S500" s="63" t="s">
        <v>476</v>
      </c>
      <c r="T500" s="63"/>
      <c r="U500" s="1039"/>
      <c r="V500" s="1039"/>
      <c r="W500" s="1039"/>
      <c r="X500" s="64" t="s">
        <v>2364</v>
      </c>
      <c r="Y500" s="439"/>
      <c r="Z500" s="439"/>
      <c r="AA500" s="439"/>
    </row>
    <row r="501" spans="1:27" ht="15" customHeight="1">
      <c r="A501" s="63">
        <f t="shared" si="60"/>
        <v>498</v>
      </c>
      <c r="B501" s="63" t="s">
        <v>1308</v>
      </c>
      <c r="C501" s="63"/>
      <c r="D501" s="63"/>
      <c r="E501" s="64"/>
      <c r="F501" s="65"/>
      <c r="G501" s="389" t="e">
        <f t="shared" si="59"/>
        <v>#N/A</v>
      </c>
      <c r="H501" s="389" t="e">
        <f t="shared" si="59"/>
        <v>#N/A</v>
      </c>
      <c r="I501" s="389" t="e">
        <f t="shared" si="59"/>
        <v>#N/A</v>
      </c>
      <c r="J501" s="389" t="e">
        <f t="shared" si="59"/>
        <v>#N/A</v>
      </c>
      <c r="K501" s="389" t="e">
        <f t="shared" si="59"/>
        <v>#N/A</v>
      </c>
      <c r="L501" s="720"/>
      <c r="M501" s="63"/>
      <c r="N501" s="440"/>
      <c r="O501" s="390"/>
      <c r="P501" s="390">
        <v>0</v>
      </c>
      <c r="Q501" s="390">
        <v>0</v>
      </c>
      <c r="R501" s="390">
        <v>0</v>
      </c>
      <c r="S501" s="63" t="s">
        <v>476</v>
      </c>
      <c r="T501" s="63"/>
      <c r="U501" s="1039"/>
      <c r="V501" s="1039"/>
      <c r="W501" s="1039"/>
      <c r="X501" s="64" t="s">
        <v>2364</v>
      </c>
      <c r="Y501" s="439"/>
      <c r="Z501" s="439"/>
      <c r="AA501" s="439"/>
    </row>
    <row r="502" spans="1:27" ht="15" customHeight="1">
      <c r="A502" s="63">
        <f t="shared" si="60"/>
        <v>499</v>
      </c>
      <c r="B502" s="63" t="s">
        <v>1308</v>
      </c>
      <c r="C502" s="63"/>
      <c r="D502" s="63"/>
      <c r="E502" s="64"/>
      <c r="F502" s="65"/>
      <c r="G502" s="389" t="e">
        <f t="shared" si="59"/>
        <v>#N/A</v>
      </c>
      <c r="H502" s="389" t="e">
        <f t="shared" si="59"/>
        <v>#N/A</v>
      </c>
      <c r="I502" s="389" t="e">
        <f t="shared" si="59"/>
        <v>#N/A</v>
      </c>
      <c r="J502" s="389" t="e">
        <f t="shared" si="59"/>
        <v>#N/A</v>
      </c>
      <c r="K502" s="389" t="e">
        <f t="shared" si="59"/>
        <v>#N/A</v>
      </c>
      <c r="L502" s="720"/>
      <c r="M502" s="63"/>
      <c r="N502" s="440"/>
      <c r="O502" s="390"/>
      <c r="P502" s="390">
        <v>0</v>
      </c>
      <c r="Q502" s="390">
        <v>0</v>
      </c>
      <c r="R502" s="390">
        <v>0</v>
      </c>
      <c r="S502" s="63" t="s">
        <v>476</v>
      </c>
      <c r="T502" s="63"/>
      <c r="U502" s="1039"/>
      <c r="V502" s="1039"/>
      <c r="W502" s="1039"/>
      <c r="X502" s="64" t="s">
        <v>2364</v>
      </c>
      <c r="Y502" s="439"/>
      <c r="Z502" s="439"/>
      <c r="AA502" s="439"/>
    </row>
    <row r="503" spans="1:27" ht="15" customHeight="1">
      <c r="A503" s="63">
        <f t="shared" si="60"/>
        <v>500</v>
      </c>
      <c r="B503" s="63" t="s">
        <v>1308</v>
      </c>
      <c r="C503" s="63"/>
      <c r="D503" s="63"/>
      <c r="E503" s="64"/>
      <c r="F503" s="65"/>
      <c r="G503" s="389" t="e">
        <f t="shared" si="59"/>
        <v>#N/A</v>
      </c>
      <c r="H503" s="389" t="e">
        <f t="shared" si="59"/>
        <v>#N/A</v>
      </c>
      <c r="I503" s="389" t="e">
        <f t="shared" si="59"/>
        <v>#N/A</v>
      </c>
      <c r="J503" s="389" t="e">
        <f t="shared" si="59"/>
        <v>#N/A</v>
      </c>
      <c r="K503" s="389" t="e">
        <f t="shared" si="59"/>
        <v>#N/A</v>
      </c>
      <c r="L503" s="720"/>
      <c r="M503" s="63"/>
      <c r="N503" s="440"/>
      <c r="O503" s="390"/>
      <c r="P503" s="390">
        <v>0</v>
      </c>
      <c r="Q503" s="390">
        <v>0</v>
      </c>
      <c r="R503" s="390">
        <v>0</v>
      </c>
      <c r="S503" s="63" t="s">
        <v>476</v>
      </c>
      <c r="T503" s="63"/>
      <c r="U503" s="1039"/>
      <c r="V503" s="1039"/>
      <c r="W503" s="1039"/>
      <c r="X503" s="64" t="s">
        <v>2364</v>
      </c>
      <c r="Y503" s="439"/>
      <c r="Z503" s="439"/>
      <c r="AA503" s="439"/>
    </row>
    <row r="504" spans="1:27" ht="15" customHeight="1">
      <c r="A504" s="63">
        <f t="shared" si="60"/>
        <v>501</v>
      </c>
      <c r="B504" s="63" t="s">
        <v>1308</v>
      </c>
      <c r="C504" s="63"/>
      <c r="D504" s="63"/>
      <c r="E504" s="64"/>
      <c r="F504" s="65"/>
      <c r="G504" s="389" t="e">
        <f t="shared" si="59"/>
        <v>#N/A</v>
      </c>
      <c r="H504" s="389" t="e">
        <f t="shared" si="59"/>
        <v>#N/A</v>
      </c>
      <c r="I504" s="389" t="e">
        <f t="shared" si="59"/>
        <v>#N/A</v>
      </c>
      <c r="J504" s="389" t="e">
        <f t="shared" si="59"/>
        <v>#N/A</v>
      </c>
      <c r="K504" s="389" t="e">
        <f t="shared" si="59"/>
        <v>#N/A</v>
      </c>
      <c r="L504" s="720"/>
      <c r="M504" s="63"/>
      <c r="N504" s="440"/>
      <c r="O504" s="390"/>
      <c r="P504" s="390">
        <v>0</v>
      </c>
      <c r="Q504" s="390">
        <v>0</v>
      </c>
      <c r="R504" s="390">
        <v>0</v>
      </c>
      <c r="S504" s="63" t="s">
        <v>476</v>
      </c>
      <c r="T504" s="63"/>
      <c r="U504" s="1039"/>
      <c r="V504" s="1039"/>
      <c r="W504" s="1039"/>
      <c r="X504" s="64" t="s">
        <v>2364</v>
      </c>
      <c r="Y504" s="439"/>
      <c r="Z504" s="439"/>
      <c r="AA504" s="439"/>
    </row>
    <row r="505" spans="1:27" ht="15" customHeight="1">
      <c r="A505" s="63">
        <f t="shared" si="60"/>
        <v>502</v>
      </c>
      <c r="B505" s="63" t="s">
        <v>1308</v>
      </c>
      <c r="C505" s="63"/>
      <c r="D505" s="63"/>
      <c r="E505" s="64"/>
      <c r="F505" s="65"/>
      <c r="G505" s="389" t="e">
        <f t="shared" si="59"/>
        <v>#N/A</v>
      </c>
      <c r="H505" s="389" t="e">
        <f t="shared" si="59"/>
        <v>#N/A</v>
      </c>
      <c r="I505" s="389" t="e">
        <f t="shared" si="59"/>
        <v>#N/A</v>
      </c>
      <c r="J505" s="389" t="e">
        <f t="shared" si="59"/>
        <v>#N/A</v>
      </c>
      <c r="K505" s="389" t="e">
        <f t="shared" si="59"/>
        <v>#N/A</v>
      </c>
      <c r="L505" s="720"/>
      <c r="M505" s="63"/>
      <c r="N505" s="440"/>
      <c r="O505" s="390"/>
      <c r="P505" s="390">
        <v>0</v>
      </c>
      <c r="Q505" s="390">
        <v>0</v>
      </c>
      <c r="R505" s="390">
        <v>0</v>
      </c>
      <c r="S505" s="63" t="s">
        <v>476</v>
      </c>
      <c r="T505" s="63"/>
      <c r="U505" s="1039"/>
      <c r="V505" s="1039"/>
      <c r="W505" s="1039"/>
      <c r="X505" s="64" t="s">
        <v>2364</v>
      </c>
      <c r="Y505" s="439"/>
      <c r="Z505" s="439"/>
      <c r="AA505" s="439"/>
    </row>
    <row r="506" spans="1:27" ht="15" customHeight="1">
      <c r="A506" s="63">
        <f t="shared" si="60"/>
        <v>503</v>
      </c>
      <c r="B506" s="63" t="s">
        <v>1308</v>
      </c>
      <c r="C506" s="63" t="s">
        <v>2003</v>
      </c>
      <c r="D506" s="1234" t="s">
        <v>1402</v>
      </c>
      <c r="E506" s="64">
        <v>0</v>
      </c>
      <c r="F506" s="65" t="s">
        <v>621</v>
      </c>
      <c r="G506" s="389">
        <f t="shared" si="59"/>
        <v>0.69</v>
      </c>
      <c r="H506" s="389">
        <f t="shared" si="59"/>
        <v>0.61</v>
      </c>
      <c r="I506" s="389">
        <f t="shared" si="59"/>
        <v>0.51999999999999991</v>
      </c>
      <c r="J506" s="389">
        <f t="shared" si="59"/>
        <v>0.44</v>
      </c>
      <c r="K506" s="389">
        <f t="shared" si="59"/>
        <v>0.38</v>
      </c>
      <c r="L506" s="720">
        <v>0.06</v>
      </c>
      <c r="M506" s="63" t="s">
        <v>3203</v>
      </c>
      <c r="N506" s="440">
        <v>4.4999999999999998E-2</v>
      </c>
      <c r="O506" s="390">
        <v>6.0000000000000001E-3</v>
      </c>
      <c r="P506" s="390">
        <v>0</v>
      </c>
      <c r="Q506" s="390">
        <v>0</v>
      </c>
      <c r="R506" s="390">
        <v>0</v>
      </c>
      <c r="S506" s="63" t="s">
        <v>476</v>
      </c>
      <c r="T506" s="63"/>
      <c r="U506" s="1039"/>
      <c r="V506" s="1039"/>
      <c r="W506" s="1039"/>
      <c r="X506" s="64" t="s">
        <v>2364</v>
      </c>
      <c r="Y506" s="439"/>
      <c r="Z506" s="439"/>
      <c r="AA506" s="439"/>
    </row>
    <row r="507" spans="1:27" ht="15" customHeight="1">
      <c r="A507" s="63">
        <f t="shared" si="60"/>
        <v>504</v>
      </c>
      <c r="B507" s="63" t="s">
        <v>1308</v>
      </c>
      <c r="C507" s="63" t="s">
        <v>2003</v>
      </c>
      <c r="D507" s="1234" t="s">
        <v>2396</v>
      </c>
      <c r="E507" s="64">
        <v>1969</v>
      </c>
      <c r="F507" s="65" t="s">
        <v>144</v>
      </c>
      <c r="G507" s="389">
        <f t="shared" si="59"/>
        <v>0.72</v>
      </c>
      <c r="H507" s="389">
        <f t="shared" si="59"/>
        <v>0.64</v>
      </c>
      <c r="I507" s="389">
        <f t="shared" si="59"/>
        <v>0.54999999999999993</v>
      </c>
      <c r="J507" s="389">
        <f t="shared" si="59"/>
        <v>0.47000000000000003</v>
      </c>
      <c r="K507" s="389">
        <f t="shared" si="59"/>
        <v>0.41000000000000003</v>
      </c>
      <c r="L507" s="720">
        <v>0.06</v>
      </c>
      <c r="M507" s="63" t="s">
        <v>3183</v>
      </c>
      <c r="N507" s="440">
        <v>4.4999999999999998E-2</v>
      </c>
      <c r="O507" s="390">
        <v>6.0000000000000001E-3</v>
      </c>
      <c r="P507" s="390">
        <v>0</v>
      </c>
      <c r="Q507" s="390">
        <v>0</v>
      </c>
      <c r="R507" s="390">
        <v>0</v>
      </c>
      <c r="S507" s="63" t="s">
        <v>476</v>
      </c>
      <c r="T507" s="63"/>
      <c r="U507" s="1039"/>
      <c r="V507" s="1039"/>
      <c r="W507" s="1039"/>
      <c r="X507" s="64" t="s">
        <v>2364</v>
      </c>
      <c r="Y507" s="439"/>
      <c r="Z507" s="439"/>
      <c r="AA507" s="439"/>
    </row>
    <row r="508" spans="1:27" ht="15" customHeight="1">
      <c r="A508" s="63">
        <f t="shared" si="60"/>
        <v>505</v>
      </c>
      <c r="B508" s="63" t="s">
        <v>1308</v>
      </c>
      <c r="C508" s="63" t="s">
        <v>2003</v>
      </c>
      <c r="D508" s="1234" t="s">
        <v>2004</v>
      </c>
      <c r="E508" s="64">
        <v>1969</v>
      </c>
      <c r="F508" s="65" t="s">
        <v>144</v>
      </c>
      <c r="G508" s="389">
        <f t="shared" si="59"/>
        <v>0.72</v>
      </c>
      <c r="H508" s="389">
        <f t="shared" si="59"/>
        <v>0.64</v>
      </c>
      <c r="I508" s="389">
        <f t="shared" si="59"/>
        <v>0.54999999999999993</v>
      </c>
      <c r="J508" s="389">
        <f t="shared" si="59"/>
        <v>0.47000000000000003</v>
      </c>
      <c r="K508" s="389">
        <f t="shared" si="59"/>
        <v>0.41000000000000003</v>
      </c>
      <c r="L508" s="720">
        <v>0.06</v>
      </c>
      <c r="M508" s="63" t="s">
        <v>3204</v>
      </c>
      <c r="N508" s="440">
        <v>4.4999999999999998E-2</v>
      </c>
      <c r="O508" s="390">
        <v>6.0000000000000001E-3</v>
      </c>
      <c r="P508" s="390">
        <v>0</v>
      </c>
      <c r="Q508" s="390">
        <v>0</v>
      </c>
      <c r="R508" s="390">
        <v>0</v>
      </c>
      <c r="S508" s="63" t="s">
        <v>476</v>
      </c>
      <c r="T508" s="63"/>
      <c r="U508" s="1039"/>
      <c r="V508" s="1039"/>
      <c r="W508" s="1039"/>
      <c r="X508" s="64" t="s">
        <v>2364</v>
      </c>
      <c r="Y508" s="439"/>
      <c r="Z508" s="439"/>
      <c r="AA508" s="439"/>
    </row>
    <row r="509" spans="1:27" ht="15" customHeight="1">
      <c r="A509" s="63">
        <f t="shared" si="60"/>
        <v>506</v>
      </c>
      <c r="B509" s="63" t="s">
        <v>1308</v>
      </c>
      <c r="C509" s="63" t="s">
        <v>2003</v>
      </c>
      <c r="D509" s="1234" t="s">
        <v>2397</v>
      </c>
      <c r="E509" s="64">
        <v>1969</v>
      </c>
      <c r="F509" s="65" t="s">
        <v>144</v>
      </c>
      <c r="G509" s="389">
        <f t="shared" si="59"/>
        <v>0.72</v>
      </c>
      <c r="H509" s="389">
        <f t="shared" si="59"/>
        <v>0.64</v>
      </c>
      <c r="I509" s="389">
        <f t="shared" si="59"/>
        <v>0.54999999999999993</v>
      </c>
      <c r="J509" s="389">
        <f t="shared" si="59"/>
        <v>0.47000000000000003</v>
      </c>
      <c r="K509" s="389">
        <f t="shared" si="59"/>
        <v>0.41000000000000003</v>
      </c>
      <c r="L509" s="720">
        <v>0.06</v>
      </c>
      <c r="M509" s="63" t="s">
        <v>3204</v>
      </c>
      <c r="N509" s="440">
        <v>4.4999999999999998E-2</v>
      </c>
      <c r="O509" s="390">
        <v>6.0000000000000001E-3</v>
      </c>
      <c r="P509" s="390">
        <v>0</v>
      </c>
      <c r="Q509" s="390">
        <v>0</v>
      </c>
      <c r="R509" s="390">
        <v>0</v>
      </c>
      <c r="S509" s="63" t="s">
        <v>476</v>
      </c>
      <c r="T509" s="63"/>
      <c r="U509" s="1039"/>
      <c r="V509" s="1039"/>
      <c r="W509" s="1039"/>
      <c r="X509" s="64" t="s">
        <v>2364</v>
      </c>
      <c r="Y509" s="439"/>
      <c r="Z509" s="439"/>
      <c r="AA509" s="439"/>
    </row>
    <row r="510" spans="1:27" ht="15" customHeight="1">
      <c r="A510" s="63">
        <f t="shared" si="60"/>
        <v>507</v>
      </c>
      <c r="B510" s="63" t="s">
        <v>1308</v>
      </c>
      <c r="C510" s="63" t="s">
        <v>2003</v>
      </c>
      <c r="D510" s="1234" t="s">
        <v>2244</v>
      </c>
      <c r="E510" s="64">
        <v>1969</v>
      </c>
      <c r="F510" s="65" t="s">
        <v>144</v>
      </c>
      <c r="G510" s="389">
        <f t="shared" si="59"/>
        <v>0.72</v>
      </c>
      <c r="H510" s="389">
        <f t="shared" si="59"/>
        <v>0.64</v>
      </c>
      <c r="I510" s="389">
        <f t="shared" si="59"/>
        <v>0.54999999999999993</v>
      </c>
      <c r="J510" s="389">
        <f t="shared" si="59"/>
        <v>0.47000000000000003</v>
      </c>
      <c r="K510" s="389">
        <f t="shared" si="59"/>
        <v>0.41000000000000003</v>
      </c>
      <c r="L510" s="720">
        <v>0.06</v>
      </c>
      <c r="M510" s="63" t="s">
        <v>3204</v>
      </c>
      <c r="N510" s="440">
        <v>4.4999999999999998E-2</v>
      </c>
      <c r="O510" s="390">
        <v>6.0000000000000001E-3</v>
      </c>
      <c r="P510" s="390">
        <v>0</v>
      </c>
      <c r="Q510" s="390">
        <v>0</v>
      </c>
      <c r="R510" s="390">
        <v>0</v>
      </c>
      <c r="S510" s="63" t="s">
        <v>476</v>
      </c>
      <c r="T510" s="63"/>
      <c r="U510" s="1039"/>
      <c r="V510" s="1039"/>
      <c r="W510" s="1039"/>
      <c r="X510" s="64" t="s">
        <v>2364</v>
      </c>
      <c r="Y510" s="439"/>
      <c r="Z510" s="439"/>
      <c r="AA510" s="439"/>
    </row>
    <row r="511" spans="1:27" ht="15" customHeight="1">
      <c r="A511" s="63">
        <f t="shared" ref="A511:A554" si="61">ROW()-3</f>
        <v>508</v>
      </c>
      <c r="B511" s="63" t="s">
        <v>1308</v>
      </c>
      <c r="C511" s="63" t="s">
        <v>2003</v>
      </c>
      <c r="D511" s="1234" t="s">
        <v>2005</v>
      </c>
      <c r="E511" s="64">
        <v>1969</v>
      </c>
      <c r="F511" s="65" t="s">
        <v>144</v>
      </c>
      <c r="G511" s="389">
        <f t="shared" si="59"/>
        <v>0.72</v>
      </c>
      <c r="H511" s="389">
        <f t="shared" si="59"/>
        <v>0.64</v>
      </c>
      <c r="I511" s="389">
        <f t="shared" si="59"/>
        <v>0.54999999999999993</v>
      </c>
      <c r="J511" s="389">
        <f t="shared" si="59"/>
        <v>0.47000000000000003</v>
      </c>
      <c r="K511" s="389">
        <f t="shared" si="59"/>
        <v>0.41000000000000003</v>
      </c>
      <c r="L511" s="720">
        <v>0.06</v>
      </c>
      <c r="M511" s="63" t="s">
        <v>3204</v>
      </c>
      <c r="N511" s="440">
        <v>4.4999999999999998E-2</v>
      </c>
      <c r="O511" s="390">
        <v>6.0000000000000001E-3</v>
      </c>
      <c r="P511" s="390">
        <v>0</v>
      </c>
      <c r="Q511" s="390">
        <v>0</v>
      </c>
      <c r="R511" s="390">
        <v>0</v>
      </c>
      <c r="S511" s="63" t="s">
        <v>476</v>
      </c>
      <c r="T511" s="63"/>
      <c r="U511" s="1039"/>
      <c r="V511" s="1039"/>
      <c r="W511" s="1039"/>
      <c r="X511" s="64" t="s">
        <v>2364</v>
      </c>
      <c r="Y511" s="439"/>
      <c r="Z511" s="439"/>
      <c r="AA511" s="439"/>
    </row>
    <row r="512" spans="1:27" ht="15" customHeight="1">
      <c r="A512" s="63">
        <f t="shared" si="61"/>
        <v>509</v>
      </c>
      <c r="B512" s="63" t="s">
        <v>1308</v>
      </c>
      <c r="C512" s="63" t="s">
        <v>2003</v>
      </c>
      <c r="D512" s="1234" t="s">
        <v>2006</v>
      </c>
      <c r="E512" s="64">
        <v>1969</v>
      </c>
      <c r="F512" s="65" t="s">
        <v>144</v>
      </c>
      <c r="G512" s="389">
        <f t="shared" si="59"/>
        <v>0.69</v>
      </c>
      <c r="H512" s="389">
        <f t="shared" si="59"/>
        <v>0.61</v>
      </c>
      <c r="I512" s="389">
        <f t="shared" si="59"/>
        <v>0.51999999999999991</v>
      </c>
      <c r="J512" s="389">
        <f t="shared" si="59"/>
        <v>0.44</v>
      </c>
      <c r="K512" s="389">
        <f t="shared" si="59"/>
        <v>0.38</v>
      </c>
      <c r="L512" s="720">
        <v>0.06</v>
      </c>
      <c r="M512" s="63" t="s">
        <v>3205</v>
      </c>
      <c r="N512" s="440">
        <v>4.4999999999999998E-2</v>
      </c>
      <c r="O512" s="390">
        <v>6.0000000000000001E-3</v>
      </c>
      <c r="P512" s="390">
        <v>0</v>
      </c>
      <c r="Q512" s="390">
        <v>0</v>
      </c>
      <c r="R512" s="390">
        <v>0</v>
      </c>
      <c r="S512" s="63" t="s">
        <v>476</v>
      </c>
      <c r="T512" s="63"/>
      <c r="U512" s="1039"/>
      <c r="V512" s="1039"/>
      <c r="W512" s="1039"/>
      <c r="X512" s="64" t="s">
        <v>2364</v>
      </c>
      <c r="Y512" s="439"/>
      <c r="Z512" s="439"/>
      <c r="AA512" s="439"/>
    </row>
    <row r="513" spans="1:27" ht="15" customHeight="1">
      <c r="A513" s="63">
        <f t="shared" si="61"/>
        <v>510</v>
      </c>
      <c r="B513" s="63" t="s">
        <v>1308</v>
      </c>
      <c r="C513" s="63" t="s">
        <v>2003</v>
      </c>
      <c r="D513" s="1234" t="s">
        <v>1450</v>
      </c>
      <c r="E513" s="64">
        <v>1969</v>
      </c>
      <c r="F513" s="65" t="s">
        <v>144</v>
      </c>
      <c r="G513" s="389">
        <f t="shared" si="59"/>
        <v>0.69</v>
      </c>
      <c r="H513" s="389">
        <f t="shared" si="59"/>
        <v>0.61</v>
      </c>
      <c r="I513" s="389">
        <f t="shared" si="59"/>
        <v>0.51999999999999991</v>
      </c>
      <c r="J513" s="389">
        <f t="shared" si="59"/>
        <v>0.44</v>
      </c>
      <c r="K513" s="389">
        <f t="shared" si="59"/>
        <v>0.38</v>
      </c>
      <c r="L513" s="720">
        <v>0.06</v>
      </c>
      <c r="M513" s="63" t="s">
        <v>3206</v>
      </c>
      <c r="N513" s="440">
        <v>4.4999999999999998E-2</v>
      </c>
      <c r="O513" s="390">
        <v>6.0000000000000001E-3</v>
      </c>
      <c r="P513" s="390">
        <v>0</v>
      </c>
      <c r="Q513" s="390">
        <v>0</v>
      </c>
      <c r="R513" s="390">
        <v>0</v>
      </c>
      <c r="S513" s="63" t="s">
        <v>476</v>
      </c>
      <c r="T513" s="63"/>
      <c r="U513" s="1039"/>
      <c r="V513" s="1039"/>
      <c r="W513" s="1039"/>
      <c r="X513" s="64" t="s">
        <v>2364</v>
      </c>
      <c r="Y513" s="439"/>
      <c r="Z513" s="439"/>
      <c r="AA513" s="439"/>
    </row>
    <row r="514" spans="1:27" ht="15" customHeight="1">
      <c r="A514" s="63">
        <f t="shared" si="61"/>
        <v>511</v>
      </c>
      <c r="B514" s="63" t="s">
        <v>1308</v>
      </c>
      <c r="C514" s="63" t="s">
        <v>2003</v>
      </c>
      <c r="D514" s="1234" t="s">
        <v>2245</v>
      </c>
      <c r="E514" s="64">
        <v>1969</v>
      </c>
      <c r="F514" s="65" t="s">
        <v>144</v>
      </c>
      <c r="G514" s="389">
        <f t="shared" si="59"/>
        <v>0.69</v>
      </c>
      <c r="H514" s="389">
        <f t="shared" si="59"/>
        <v>0.61</v>
      </c>
      <c r="I514" s="389">
        <f t="shared" si="59"/>
        <v>0.51999999999999991</v>
      </c>
      <c r="J514" s="389">
        <f t="shared" si="59"/>
        <v>0.44</v>
      </c>
      <c r="K514" s="389">
        <f t="shared" si="59"/>
        <v>0.38</v>
      </c>
      <c r="L514" s="720">
        <v>0.06</v>
      </c>
      <c r="M514" s="63" t="s">
        <v>3184</v>
      </c>
      <c r="N514" s="440">
        <v>4.4999999999999998E-2</v>
      </c>
      <c r="O514" s="390">
        <v>6.0000000000000001E-3</v>
      </c>
      <c r="P514" s="390">
        <v>0</v>
      </c>
      <c r="Q514" s="390">
        <v>0</v>
      </c>
      <c r="R514" s="390">
        <v>0</v>
      </c>
      <c r="S514" s="63" t="s">
        <v>476</v>
      </c>
      <c r="T514" s="63"/>
      <c r="U514" s="1039"/>
      <c r="V514" s="1039"/>
      <c r="W514" s="1039"/>
      <c r="X514" s="64" t="s">
        <v>2364</v>
      </c>
      <c r="Y514" s="439"/>
      <c r="Z514" s="439"/>
      <c r="AA514" s="439"/>
    </row>
    <row r="515" spans="1:27" ht="15" customHeight="1">
      <c r="A515" s="63">
        <f t="shared" si="61"/>
        <v>512</v>
      </c>
      <c r="B515" s="63" t="s">
        <v>1308</v>
      </c>
      <c r="C515" s="63" t="s">
        <v>2003</v>
      </c>
      <c r="D515" s="1234" t="s">
        <v>2398</v>
      </c>
      <c r="E515" s="64">
        <v>1969</v>
      </c>
      <c r="F515" s="65" t="s">
        <v>144</v>
      </c>
      <c r="G515" s="389">
        <f t="shared" ref="G515:K565" si="62">+INDEX($AW$4:$AW$138,MATCH(G$3&amp;$M515,$AT$4:$AT$138,0))</f>
        <v>0.69</v>
      </c>
      <c r="H515" s="389">
        <f t="shared" si="62"/>
        <v>0.61</v>
      </c>
      <c r="I515" s="389">
        <f t="shared" si="62"/>
        <v>0.51999999999999991</v>
      </c>
      <c r="J515" s="389">
        <f t="shared" si="62"/>
        <v>0.44</v>
      </c>
      <c r="K515" s="389">
        <f t="shared" si="62"/>
        <v>0.38</v>
      </c>
      <c r="L515" s="720">
        <v>0.06</v>
      </c>
      <c r="M515" s="63" t="s">
        <v>3207</v>
      </c>
      <c r="N515" s="440">
        <v>4.4999999999999998E-2</v>
      </c>
      <c r="O515" s="390">
        <v>6.0000000000000001E-3</v>
      </c>
      <c r="P515" s="390">
        <v>0</v>
      </c>
      <c r="Q515" s="390">
        <v>0</v>
      </c>
      <c r="R515" s="390">
        <v>0</v>
      </c>
      <c r="S515" s="63" t="s">
        <v>476</v>
      </c>
      <c r="T515" s="63"/>
      <c r="U515" s="1039"/>
      <c r="V515" s="1039"/>
      <c r="W515" s="1039"/>
      <c r="X515" s="64" t="s">
        <v>2364</v>
      </c>
      <c r="Y515" s="439"/>
      <c r="Z515" s="439"/>
      <c r="AA515" s="439"/>
    </row>
    <row r="516" spans="1:27" ht="15" customHeight="1">
      <c r="A516" s="63">
        <f t="shared" si="61"/>
        <v>513</v>
      </c>
      <c r="B516" s="63" t="s">
        <v>2332</v>
      </c>
      <c r="C516" s="63" t="s">
        <v>2003</v>
      </c>
      <c r="D516" s="63" t="s">
        <v>2246</v>
      </c>
      <c r="E516" s="64">
        <v>1969</v>
      </c>
      <c r="F516" s="65" t="s">
        <v>144</v>
      </c>
      <c r="G516" s="389">
        <f t="shared" si="62"/>
        <v>0.69</v>
      </c>
      <c r="H516" s="389">
        <f t="shared" si="62"/>
        <v>0.61</v>
      </c>
      <c r="I516" s="389">
        <f t="shared" si="62"/>
        <v>0.51999999999999991</v>
      </c>
      <c r="J516" s="389">
        <f t="shared" si="62"/>
        <v>0.44</v>
      </c>
      <c r="K516" s="389">
        <f t="shared" si="62"/>
        <v>0.38</v>
      </c>
      <c r="L516" s="720">
        <v>0.06</v>
      </c>
      <c r="M516" s="63" t="s">
        <v>3184</v>
      </c>
      <c r="N516" s="440">
        <v>4.4999999999999998E-2</v>
      </c>
      <c r="O516" s="390">
        <v>6.0000000000000001E-3</v>
      </c>
      <c r="P516" s="390">
        <v>0</v>
      </c>
      <c r="Q516" s="390">
        <v>0</v>
      </c>
      <c r="R516" s="390">
        <v>0</v>
      </c>
      <c r="S516" s="63" t="s">
        <v>476</v>
      </c>
      <c r="T516" s="63"/>
      <c r="U516" s="1039"/>
      <c r="V516" s="1039"/>
      <c r="W516" s="1039"/>
      <c r="X516" s="64" t="s">
        <v>2364</v>
      </c>
      <c r="Y516" s="439"/>
      <c r="Z516" s="439"/>
      <c r="AA516" s="439"/>
    </row>
    <row r="517" spans="1:27" ht="15" customHeight="1">
      <c r="A517" s="63">
        <f t="shared" si="61"/>
        <v>514</v>
      </c>
      <c r="B517" s="63" t="s">
        <v>1308</v>
      </c>
      <c r="C517" s="63" t="s">
        <v>2003</v>
      </c>
      <c r="D517" s="1234" t="s">
        <v>1602</v>
      </c>
      <c r="E517" s="64">
        <v>1969</v>
      </c>
      <c r="F517" s="65" t="s">
        <v>189</v>
      </c>
      <c r="G517" s="389">
        <f t="shared" si="62"/>
        <v>0.72</v>
      </c>
      <c r="H517" s="389">
        <f t="shared" si="62"/>
        <v>0.64</v>
      </c>
      <c r="I517" s="389">
        <f t="shared" si="62"/>
        <v>0.54999999999999993</v>
      </c>
      <c r="J517" s="389">
        <f t="shared" si="62"/>
        <v>0.47000000000000003</v>
      </c>
      <c r="K517" s="389">
        <f t="shared" si="62"/>
        <v>0.41000000000000003</v>
      </c>
      <c r="L517" s="720">
        <v>0.06</v>
      </c>
      <c r="M517" s="63" t="s">
        <v>3208</v>
      </c>
      <c r="N517" s="440">
        <v>4.4999999999999998E-2</v>
      </c>
      <c r="O517" s="390">
        <v>6.0000000000000001E-3</v>
      </c>
      <c r="P517" s="390">
        <v>0</v>
      </c>
      <c r="Q517" s="390">
        <v>0</v>
      </c>
      <c r="R517" s="390">
        <v>0</v>
      </c>
      <c r="S517" s="63" t="s">
        <v>476</v>
      </c>
      <c r="T517" s="63"/>
      <c r="U517" s="1039"/>
      <c r="V517" s="1039"/>
      <c r="W517" s="1039"/>
      <c r="X517" s="64" t="s">
        <v>2364</v>
      </c>
      <c r="Y517" s="439"/>
      <c r="Z517" s="439"/>
      <c r="AA517" s="439"/>
    </row>
    <row r="518" spans="1:27" ht="15" customHeight="1">
      <c r="A518" s="63">
        <f t="shared" si="61"/>
        <v>515</v>
      </c>
      <c r="B518" s="63" t="s">
        <v>1308</v>
      </c>
      <c r="C518" s="63" t="s">
        <v>2003</v>
      </c>
      <c r="D518" s="1234" t="s">
        <v>2007</v>
      </c>
      <c r="E518" s="64">
        <v>1969</v>
      </c>
      <c r="F518" s="65" t="s">
        <v>189</v>
      </c>
      <c r="G518" s="389">
        <f t="shared" si="62"/>
        <v>0.72</v>
      </c>
      <c r="H518" s="389">
        <f t="shared" si="62"/>
        <v>0.64</v>
      </c>
      <c r="I518" s="389">
        <f t="shared" si="62"/>
        <v>0.54999999999999993</v>
      </c>
      <c r="J518" s="389">
        <f t="shared" si="62"/>
        <v>0.47000000000000003</v>
      </c>
      <c r="K518" s="389">
        <f t="shared" si="62"/>
        <v>0.41000000000000003</v>
      </c>
      <c r="L518" s="720">
        <v>0.06</v>
      </c>
      <c r="M518" s="63" t="s">
        <v>3208</v>
      </c>
      <c r="N518" s="440">
        <v>4.4999999999999998E-2</v>
      </c>
      <c r="O518" s="390">
        <v>6.0000000000000001E-3</v>
      </c>
      <c r="P518" s="390">
        <v>0</v>
      </c>
      <c r="Q518" s="390">
        <v>0</v>
      </c>
      <c r="R518" s="390">
        <v>0</v>
      </c>
      <c r="S518" s="63" t="s">
        <v>476</v>
      </c>
      <c r="T518" s="63"/>
      <c r="U518" s="1039"/>
      <c r="V518" s="1039"/>
      <c r="W518" s="1039"/>
      <c r="X518" s="64" t="s">
        <v>2364</v>
      </c>
      <c r="Y518" s="439"/>
      <c r="Z518" s="439"/>
      <c r="AA518" s="439"/>
    </row>
    <row r="519" spans="1:27" ht="15" customHeight="1">
      <c r="A519" s="63">
        <f t="shared" si="61"/>
        <v>516</v>
      </c>
      <c r="B519" s="63" t="s">
        <v>1308</v>
      </c>
      <c r="C519" s="63" t="s">
        <v>2003</v>
      </c>
      <c r="D519" s="1234" t="s">
        <v>2247</v>
      </c>
      <c r="E519" s="64">
        <v>0</v>
      </c>
      <c r="F519" s="65" t="s">
        <v>621</v>
      </c>
      <c r="G519" s="389">
        <f t="shared" si="62"/>
        <v>0.72</v>
      </c>
      <c r="H519" s="389">
        <f t="shared" si="62"/>
        <v>0.64</v>
      </c>
      <c r="I519" s="389">
        <f t="shared" si="62"/>
        <v>0.54999999999999993</v>
      </c>
      <c r="J519" s="389">
        <f t="shared" si="62"/>
        <v>0.47000000000000003</v>
      </c>
      <c r="K519" s="389">
        <f t="shared" si="62"/>
        <v>0.41000000000000003</v>
      </c>
      <c r="L519" s="720">
        <v>0.06</v>
      </c>
      <c r="M519" s="63" t="s">
        <v>3208</v>
      </c>
      <c r="N519" s="440">
        <v>4.4999999999999998E-2</v>
      </c>
      <c r="O519" s="390">
        <v>6.0000000000000001E-3</v>
      </c>
      <c r="P519" s="390">
        <v>0</v>
      </c>
      <c r="Q519" s="390">
        <v>0</v>
      </c>
      <c r="R519" s="390">
        <v>0</v>
      </c>
      <c r="S519" s="63" t="s">
        <v>476</v>
      </c>
      <c r="T519" s="63"/>
      <c r="U519" s="1039"/>
      <c r="V519" s="1039"/>
      <c r="W519" s="1039"/>
      <c r="X519" s="64" t="s">
        <v>2364</v>
      </c>
      <c r="Y519" s="439"/>
      <c r="Z519" s="439"/>
      <c r="AA519" s="439"/>
    </row>
    <row r="520" spans="1:27" ht="15" customHeight="1">
      <c r="A520" s="63">
        <f t="shared" si="61"/>
        <v>517</v>
      </c>
      <c r="B520" s="63" t="s">
        <v>1308</v>
      </c>
      <c r="C520" s="63" t="s">
        <v>2003</v>
      </c>
      <c r="D520" s="1234" t="s">
        <v>2578</v>
      </c>
      <c r="E520" s="64">
        <v>0</v>
      </c>
      <c r="F520" s="65" t="s">
        <v>621</v>
      </c>
      <c r="G520" s="389">
        <f t="shared" si="62"/>
        <v>0.64999999999999991</v>
      </c>
      <c r="H520" s="389">
        <f t="shared" si="62"/>
        <v>0.56999999999999995</v>
      </c>
      <c r="I520" s="389">
        <f t="shared" si="62"/>
        <v>0.47999999999999987</v>
      </c>
      <c r="J520" s="389">
        <f t="shared" si="62"/>
        <v>0.39999999999999997</v>
      </c>
      <c r="K520" s="389">
        <f t="shared" si="62"/>
        <v>0.33999999999999997</v>
      </c>
      <c r="L520" s="720">
        <v>0.06</v>
      </c>
      <c r="M520" s="63" t="s">
        <v>3200</v>
      </c>
      <c r="N520" s="440">
        <v>4.4999999999999998E-2</v>
      </c>
      <c r="O520" s="390">
        <v>6.0000000000000001E-3</v>
      </c>
      <c r="P520" s="390">
        <v>0</v>
      </c>
      <c r="Q520" s="390">
        <v>0</v>
      </c>
      <c r="R520" s="390">
        <v>0</v>
      </c>
      <c r="S520" s="63" t="s">
        <v>476</v>
      </c>
      <c r="T520" s="63"/>
      <c r="U520" s="1039"/>
      <c r="V520" s="1039"/>
      <c r="W520" s="1039"/>
      <c r="X520" s="64" t="s">
        <v>2364</v>
      </c>
      <c r="Y520" s="439"/>
      <c r="Z520" s="439"/>
      <c r="AA520" s="439"/>
    </row>
    <row r="521" spans="1:27" ht="15" customHeight="1">
      <c r="A521" s="63">
        <f t="shared" si="61"/>
        <v>518</v>
      </c>
      <c r="B521" s="63" t="s">
        <v>1308</v>
      </c>
      <c r="C521" s="63" t="s">
        <v>2003</v>
      </c>
      <c r="D521" s="1234" t="s">
        <v>2579</v>
      </c>
      <c r="E521" s="64">
        <v>0</v>
      </c>
      <c r="F521" s="65" t="s">
        <v>621</v>
      </c>
      <c r="G521" s="389">
        <f t="shared" si="62"/>
        <v>0.64999999999999991</v>
      </c>
      <c r="H521" s="389">
        <f t="shared" si="62"/>
        <v>0.56999999999999995</v>
      </c>
      <c r="I521" s="389">
        <f t="shared" si="62"/>
        <v>0.47999999999999987</v>
      </c>
      <c r="J521" s="389">
        <f t="shared" si="62"/>
        <v>0.39999999999999997</v>
      </c>
      <c r="K521" s="389">
        <f t="shared" si="62"/>
        <v>0.33999999999999997</v>
      </c>
      <c r="L521" s="720">
        <v>0.06</v>
      </c>
      <c r="M521" s="63" t="s">
        <v>3200</v>
      </c>
      <c r="N521" s="440">
        <v>4.4999999999999998E-2</v>
      </c>
      <c r="O521" s="390">
        <v>6.0000000000000001E-3</v>
      </c>
      <c r="P521" s="390">
        <v>0</v>
      </c>
      <c r="Q521" s="390">
        <v>0</v>
      </c>
      <c r="R521" s="390">
        <v>0</v>
      </c>
      <c r="S521" s="63" t="s">
        <v>476</v>
      </c>
      <c r="T521" s="63"/>
      <c r="U521" s="1039"/>
      <c r="V521" s="1039"/>
      <c r="W521" s="1039"/>
      <c r="X521" s="64" t="s">
        <v>2364</v>
      </c>
      <c r="Y521" s="439"/>
      <c r="Z521" s="439"/>
      <c r="AA521" s="439"/>
    </row>
    <row r="522" spans="1:27" ht="15" customHeight="1">
      <c r="A522" s="63">
        <f t="shared" si="61"/>
        <v>519</v>
      </c>
      <c r="B522" s="63" t="s">
        <v>1308</v>
      </c>
      <c r="C522" s="63" t="s">
        <v>2399</v>
      </c>
      <c r="D522" s="1234" t="s">
        <v>2248</v>
      </c>
      <c r="E522" s="64">
        <v>1969</v>
      </c>
      <c r="F522" s="65" t="s">
        <v>189</v>
      </c>
      <c r="G522" s="389">
        <f t="shared" si="62"/>
        <v>0.72</v>
      </c>
      <c r="H522" s="389">
        <f t="shared" si="62"/>
        <v>0.64</v>
      </c>
      <c r="I522" s="389">
        <f t="shared" si="62"/>
        <v>0.54999999999999993</v>
      </c>
      <c r="J522" s="389">
        <f t="shared" si="62"/>
        <v>0.47000000000000003</v>
      </c>
      <c r="K522" s="389">
        <f t="shared" si="62"/>
        <v>0.41000000000000003</v>
      </c>
      <c r="L522" s="720">
        <v>0.06</v>
      </c>
      <c r="M522" s="63" t="s">
        <v>3183</v>
      </c>
      <c r="N522" s="440">
        <v>4.4999999999999998E-2</v>
      </c>
      <c r="O522" s="390">
        <v>6.0000000000000001E-3</v>
      </c>
      <c r="P522" s="390">
        <v>0</v>
      </c>
      <c r="Q522" s="390">
        <v>0</v>
      </c>
      <c r="R522" s="390">
        <v>0</v>
      </c>
      <c r="S522" s="63" t="s">
        <v>476</v>
      </c>
      <c r="T522" s="63"/>
      <c r="U522" s="1039"/>
      <c r="V522" s="1039"/>
      <c r="W522" s="1039"/>
      <c r="X522" s="64" t="s">
        <v>2364</v>
      </c>
      <c r="Y522" s="439"/>
      <c r="Z522" s="439"/>
      <c r="AA522" s="439"/>
    </row>
    <row r="523" spans="1:27" ht="15" customHeight="1">
      <c r="A523" s="63">
        <f t="shared" si="61"/>
        <v>520</v>
      </c>
      <c r="B523" s="63" t="s">
        <v>2332</v>
      </c>
      <c r="C523" s="63" t="s">
        <v>2003</v>
      </c>
      <c r="D523" s="1234" t="s">
        <v>2249</v>
      </c>
      <c r="E523" s="64">
        <v>1969</v>
      </c>
      <c r="F523" s="65" t="s">
        <v>189</v>
      </c>
      <c r="G523" s="389">
        <f t="shared" si="62"/>
        <v>0.72</v>
      </c>
      <c r="H523" s="389">
        <f t="shared" si="62"/>
        <v>0.64</v>
      </c>
      <c r="I523" s="389">
        <f t="shared" si="62"/>
        <v>0.54999999999999993</v>
      </c>
      <c r="J523" s="389">
        <f t="shared" si="62"/>
        <v>0.47000000000000003</v>
      </c>
      <c r="K523" s="389">
        <f t="shared" si="62"/>
        <v>0.41000000000000003</v>
      </c>
      <c r="L523" s="720">
        <v>0.06</v>
      </c>
      <c r="M523" s="63" t="s">
        <v>3183</v>
      </c>
      <c r="N523" s="440">
        <v>4.4999999999999998E-2</v>
      </c>
      <c r="O523" s="390">
        <v>6.0000000000000001E-3</v>
      </c>
      <c r="P523" s="390">
        <v>0</v>
      </c>
      <c r="Q523" s="390">
        <v>0</v>
      </c>
      <c r="R523" s="390">
        <v>0</v>
      </c>
      <c r="S523" s="63" t="s">
        <v>476</v>
      </c>
      <c r="T523" s="63"/>
      <c r="U523" s="1039"/>
      <c r="V523" s="1039"/>
      <c r="W523" s="1039"/>
      <c r="X523" s="64" t="s">
        <v>2364</v>
      </c>
      <c r="Y523" s="439"/>
      <c r="Z523" s="439"/>
      <c r="AA523" s="439"/>
    </row>
    <row r="524" spans="1:27" ht="15" customHeight="1">
      <c r="A524" s="63">
        <f t="shared" si="61"/>
        <v>521</v>
      </c>
      <c r="B524" s="63" t="s">
        <v>1308</v>
      </c>
      <c r="C524" s="63" t="s">
        <v>2003</v>
      </c>
      <c r="D524" s="1234" t="s">
        <v>2250</v>
      </c>
      <c r="E524" s="64">
        <v>1969</v>
      </c>
      <c r="F524" s="65" t="s">
        <v>189</v>
      </c>
      <c r="G524" s="389">
        <f t="shared" si="62"/>
        <v>0.72</v>
      </c>
      <c r="H524" s="389">
        <f t="shared" si="62"/>
        <v>0.64</v>
      </c>
      <c r="I524" s="389">
        <f t="shared" si="62"/>
        <v>0.54999999999999993</v>
      </c>
      <c r="J524" s="389">
        <f t="shared" si="62"/>
        <v>0.47000000000000003</v>
      </c>
      <c r="K524" s="389">
        <f t="shared" si="62"/>
        <v>0.41000000000000003</v>
      </c>
      <c r="L524" s="720">
        <v>0.06</v>
      </c>
      <c r="M524" s="63" t="s">
        <v>3183</v>
      </c>
      <c r="N524" s="440">
        <v>4.4999999999999998E-2</v>
      </c>
      <c r="O524" s="390">
        <v>6.0000000000000001E-3</v>
      </c>
      <c r="P524" s="390">
        <v>0</v>
      </c>
      <c r="Q524" s="390">
        <v>0</v>
      </c>
      <c r="R524" s="390">
        <v>0</v>
      </c>
      <c r="S524" s="63" t="s">
        <v>476</v>
      </c>
      <c r="T524" s="63"/>
      <c r="U524" s="1039"/>
      <c r="V524" s="1039"/>
      <c r="W524" s="1039"/>
      <c r="X524" s="64" t="s">
        <v>2364</v>
      </c>
      <c r="Y524" s="439"/>
      <c r="Z524" s="439"/>
      <c r="AA524" s="439"/>
    </row>
    <row r="525" spans="1:27" ht="15" customHeight="1">
      <c r="A525" s="63">
        <f t="shared" si="61"/>
        <v>522</v>
      </c>
      <c r="B525" s="63" t="s">
        <v>1308</v>
      </c>
      <c r="C525" s="63" t="s">
        <v>2003</v>
      </c>
      <c r="D525" s="1234" t="s">
        <v>2400</v>
      </c>
      <c r="E525" s="64">
        <v>1969</v>
      </c>
      <c r="F525" s="65" t="s">
        <v>189</v>
      </c>
      <c r="G525" s="389">
        <f t="shared" si="62"/>
        <v>0.72</v>
      </c>
      <c r="H525" s="389">
        <f t="shared" si="62"/>
        <v>0.64</v>
      </c>
      <c r="I525" s="389">
        <f t="shared" si="62"/>
        <v>0.54999999999999993</v>
      </c>
      <c r="J525" s="389">
        <f t="shared" si="62"/>
        <v>0.47000000000000003</v>
      </c>
      <c r="K525" s="389">
        <f t="shared" si="62"/>
        <v>0.41000000000000003</v>
      </c>
      <c r="L525" s="720">
        <v>0.06</v>
      </c>
      <c r="M525" s="63" t="s">
        <v>3183</v>
      </c>
      <c r="N525" s="440">
        <v>4.4999999999999998E-2</v>
      </c>
      <c r="O525" s="390">
        <v>6.0000000000000001E-3</v>
      </c>
      <c r="P525" s="390">
        <v>0</v>
      </c>
      <c r="Q525" s="390">
        <v>0</v>
      </c>
      <c r="R525" s="390">
        <v>0</v>
      </c>
      <c r="S525" s="63" t="s">
        <v>476</v>
      </c>
      <c r="T525" s="63"/>
      <c r="U525" s="1039"/>
      <c r="V525" s="1039"/>
      <c r="W525" s="1039"/>
      <c r="X525" s="64" t="s">
        <v>2364</v>
      </c>
      <c r="Y525" s="439"/>
      <c r="Z525" s="439"/>
      <c r="AA525" s="439"/>
    </row>
    <row r="526" spans="1:27" ht="15" customHeight="1">
      <c r="A526" s="63">
        <f t="shared" si="61"/>
        <v>523</v>
      </c>
      <c r="B526" s="63" t="s">
        <v>2332</v>
      </c>
      <c r="C526" s="63" t="s">
        <v>2003</v>
      </c>
      <c r="D526" s="1234" t="s">
        <v>1603</v>
      </c>
      <c r="E526" s="64">
        <v>1969</v>
      </c>
      <c r="F526" s="65" t="s">
        <v>189</v>
      </c>
      <c r="G526" s="389">
        <f t="shared" si="62"/>
        <v>0.72</v>
      </c>
      <c r="H526" s="389">
        <f t="shared" si="62"/>
        <v>0.64</v>
      </c>
      <c r="I526" s="389">
        <f t="shared" si="62"/>
        <v>0.54999999999999993</v>
      </c>
      <c r="J526" s="389">
        <f t="shared" si="62"/>
        <v>0.47000000000000003</v>
      </c>
      <c r="K526" s="389">
        <f t="shared" si="62"/>
        <v>0.41000000000000003</v>
      </c>
      <c r="L526" s="720">
        <v>0.06</v>
      </c>
      <c r="M526" s="63" t="s">
        <v>3185</v>
      </c>
      <c r="N526" s="440">
        <v>4.4999999999999998E-2</v>
      </c>
      <c r="O526" s="390">
        <v>6.0000000000000001E-3</v>
      </c>
      <c r="P526" s="390">
        <v>0</v>
      </c>
      <c r="Q526" s="390">
        <v>0</v>
      </c>
      <c r="R526" s="390">
        <v>0</v>
      </c>
      <c r="S526" s="63" t="s">
        <v>476</v>
      </c>
      <c r="T526" s="63"/>
      <c r="U526" s="1039"/>
      <c r="V526" s="1039"/>
      <c r="W526" s="1039"/>
      <c r="X526" s="64" t="s">
        <v>2364</v>
      </c>
      <c r="Y526" s="439"/>
      <c r="Z526" s="439"/>
      <c r="AA526" s="439"/>
    </row>
    <row r="527" spans="1:27" ht="15" customHeight="1">
      <c r="A527" s="63">
        <f t="shared" si="61"/>
        <v>524</v>
      </c>
      <c r="B527" s="63" t="s">
        <v>1308</v>
      </c>
      <c r="C527" s="63" t="s">
        <v>2003</v>
      </c>
      <c r="D527" s="1234" t="s">
        <v>2401</v>
      </c>
      <c r="E527" s="64">
        <v>1969</v>
      </c>
      <c r="F527" s="65" t="s">
        <v>189</v>
      </c>
      <c r="G527" s="389">
        <f t="shared" si="62"/>
        <v>0.72</v>
      </c>
      <c r="H527" s="389">
        <f t="shared" si="62"/>
        <v>0.64</v>
      </c>
      <c r="I527" s="389">
        <f t="shared" si="62"/>
        <v>0.54999999999999993</v>
      </c>
      <c r="J527" s="389">
        <f t="shared" si="62"/>
        <v>0.47000000000000003</v>
      </c>
      <c r="K527" s="389">
        <f t="shared" si="62"/>
        <v>0.41000000000000003</v>
      </c>
      <c r="L527" s="720">
        <v>0.06</v>
      </c>
      <c r="M527" s="63" t="s">
        <v>3185</v>
      </c>
      <c r="N527" s="440">
        <v>4.4999999999999998E-2</v>
      </c>
      <c r="O527" s="390">
        <v>6.0000000000000001E-3</v>
      </c>
      <c r="P527" s="390">
        <v>0</v>
      </c>
      <c r="Q527" s="390">
        <v>0</v>
      </c>
      <c r="R527" s="390">
        <v>0</v>
      </c>
      <c r="S527" s="63" t="s">
        <v>476</v>
      </c>
      <c r="T527" s="63"/>
      <c r="U527" s="1039"/>
      <c r="V527" s="1039"/>
      <c r="W527" s="1039"/>
      <c r="X527" s="64" t="s">
        <v>2364</v>
      </c>
      <c r="Y527" s="439"/>
      <c r="Z527" s="439"/>
      <c r="AA527" s="439"/>
    </row>
    <row r="528" spans="1:27" ht="15" customHeight="1">
      <c r="A528" s="63">
        <f t="shared" si="61"/>
        <v>525</v>
      </c>
      <c r="B528" s="63" t="s">
        <v>1308</v>
      </c>
      <c r="C528" s="63" t="s">
        <v>2003</v>
      </c>
      <c r="D528" s="1234" t="s">
        <v>2008</v>
      </c>
      <c r="E528" s="64">
        <v>1969</v>
      </c>
      <c r="F528" s="65" t="s">
        <v>189</v>
      </c>
      <c r="G528" s="389">
        <f t="shared" si="62"/>
        <v>0.72</v>
      </c>
      <c r="H528" s="389">
        <f t="shared" si="62"/>
        <v>0.64</v>
      </c>
      <c r="I528" s="389">
        <f t="shared" si="62"/>
        <v>0.54999999999999993</v>
      </c>
      <c r="J528" s="389">
        <f t="shared" si="62"/>
        <v>0.47000000000000003</v>
      </c>
      <c r="K528" s="389">
        <f t="shared" si="62"/>
        <v>0.41000000000000003</v>
      </c>
      <c r="L528" s="720">
        <v>0.06</v>
      </c>
      <c r="M528" s="63" t="s">
        <v>3185</v>
      </c>
      <c r="N528" s="440">
        <v>4.4999999999999998E-2</v>
      </c>
      <c r="O528" s="390">
        <v>6.0000000000000001E-3</v>
      </c>
      <c r="P528" s="390">
        <v>0</v>
      </c>
      <c r="Q528" s="390">
        <v>0</v>
      </c>
      <c r="R528" s="390">
        <v>0</v>
      </c>
      <c r="S528" s="63" t="s">
        <v>476</v>
      </c>
      <c r="T528" s="63"/>
      <c r="U528" s="1039"/>
      <c r="V528" s="1039"/>
      <c r="W528" s="1039"/>
      <c r="X528" s="64" t="s">
        <v>2364</v>
      </c>
      <c r="Y528" s="439"/>
      <c r="Z528" s="439"/>
      <c r="AA528" s="439"/>
    </row>
    <row r="529" spans="1:27" ht="15" customHeight="1">
      <c r="A529" s="63">
        <f t="shared" si="61"/>
        <v>526</v>
      </c>
      <c r="B529" s="63" t="s">
        <v>1308</v>
      </c>
      <c r="C529" s="63"/>
      <c r="D529" s="63"/>
      <c r="E529" s="64"/>
      <c r="F529" s="65"/>
      <c r="G529" s="389" t="e">
        <f t="shared" si="62"/>
        <v>#N/A</v>
      </c>
      <c r="H529" s="389" t="e">
        <f t="shared" si="62"/>
        <v>#N/A</v>
      </c>
      <c r="I529" s="389" t="e">
        <f t="shared" si="62"/>
        <v>#N/A</v>
      </c>
      <c r="J529" s="389" t="e">
        <f t="shared" si="62"/>
        <v>#N/A</v>
      </c>
      <c r="K529" s="389" t="e">
        <f t="shared" si="62"/>
        <v>#N/A</v>
      </c>
      <c r="L529" s="720"/>
      <c r="M529" s="63"/>
      <c r="N529" s="440"/>
      <c r="O529" s="390"/>
      <c r="P529" s="390">
        <v>0</v>
      </c>
      <c r="Q529" s="390">
        <v>0</v>
      </c>
      <c r="R529" s="390">
        <v>0</v>
      </c>
      <c r="S529" s="63" t="s">
        <v>476</v>
      </c>
      <c r="T529" s="63"/>
      <c r="U529" s="1039"/>
      <c r="V529" s="1039"/>
      <c r="W529" s="1039"/>
      <c r="X529" s="64" t="s">
        <v>2364</v>
      </c>
      <c r="Y529" s="439"/>
      <c r="Z529" s="439"/>
      <c r="AA529" s="439"/>
    </row>
    <row r="530" spans="1:27" ht="15" customHeight="1">
      <c r="A530" s="63">
        <f t="shared" si="61"/>
        <v>527</v>
      </c>
      <c r="B530" s="63" t="s">
        <v>1308</v>
      </c>
      <c r="C530" s="63"/>
      <c r="D530" s="63"/>
      <c r="E530" s="64"/>
      <c r="F530" s="65"/>
      <c r="G530" s="389" t="e">
        <f t="shared" si="62"/>
        <v>#N/A</v>
      </c>
      <c r="H530" s="389" t="e">
        <f t="shared" si="62"/>
        <v>#N/A</v>
      </c>
      <c r="I530" s="389" t="e">
        <f t="shared" si="62"/>
        <v>#N/A</v>
      </c>
      <c r="J530" s="389" t="e">
        <f t="shared" si="62"/>
        <v>#N/A</v>
      </c>
      <c r="K530" s="389" t="e">
        <f t="shared" si="62"/>
        <v>#N/A</v>
      </c>
      <c r="L530" s="720"/>
      <c r="M530" s="63"/>
      <c r="N530" s="440"/>
      <c r="O530" s="390"/>
      <c r="P530" s="390">
        <v>0</v>
      </c>
      <c r="Q530" s="390">
        <v>0</v>
      </c>
      <c r="R530" s="390">
        <v>0</v>
      </c>
      <c r="S530" s="63" t="s">
        <v>476</v>
      </c>
      <c r="T530" s="63"/>
      <c r="U530" s="1039"/>
      <c r="V530" s="1039"/>
      <c r="W530" s="1039"/>
      <c r="X530" s="64" t="s">
        <v>2364</v>
      </c>
      <c r="Y530" s="439"/>
      <c r="Z530" s="439"/>
      <c r="AA530" s="439"/>
    </row>
    <row r="531" spans="1:27" ht="15" customHeight="1">
      <c r="A531" s="63">
        <f t="shared" si="61"/>
        <v>528</v>
      </c>
      <c r="B531" s="63" t="s">
        <v>1308</v>
      </c>
      <c r="C531" s="63"/>
      <c r="D531" s="63"/>
      <c r="E531" s="64"/>
      <c r="F531" s="65"/>
      <c r="G531" s="389" t="e">
        <f t="shared" si="62"/>
        <v>#N/A</v>
      </c>
      <c r="H531" s="389" t="e">
        <f t="shared" si="62"/>
        <v>#N/A</v>
      </c>
      <c r="I531" s="389" t="e">
        <f t="shared" si="62"/>
        <v>#N/A</v>
      </c>
      <c r="J531" s="389" t="e">
        <f t="shared" si="62"/>
        <v>#N/A</v>
      </c>
      <c r="K531" s="389" t="e">
        <f t="shared" si="62"/>
        <v>#N/A</v>
      </c>
      <c r="L531" s="720"/>
      <c r="M531" s="63"/>
      <c r="N531" s="440"/>
      <c r="O531" s="390"/>
      <c r="P531" s="390">
        <v>0</v>
      </c>
      <c r="Q531" s="390">
        <v>0</v>
      </c>
      <c r="R531" s="390">
        <v>0</v>
      </c>
      <c r="S531" s="63" t="s">
        <v>476</v>
      </c>
      <c r="T531" s="63"/>
      <c r="U531" s="1039"/>
      <c r="V531" s="1039"/>
      <c r="W531" s="1039"/>
      <c r="X531" s="64" t="s">
        <v>2364</v>
      </c>
      <c r="Y531" s="439"/>
      <c r="Z531" s="439"/>
      <c r="AA531" s="439"/>
    </row>
    <row r="532" spans="1:27" ht="15" customHeight="1">
      <c r="A532" s="63">
        <f t="shared" si="61"/>
        <v>529</v>
      </c>
      <c r="B532" s="63" t="s">
        <v>1308</v>
      </c>
      <c r="C532" s="63"/>
      <c r="D532" s="63"/>
      <c r="E532" s="64"/>
      <c r="F532" s="65"/>
      <c r="G532" s="389" t="e">
        <f t="shared" si="62"/>
        <v>#N/A</v>
      </c>
      <c r="H532" s="389" t="e">
        <f t="shared" si="62"/>
        <v>#N/A</v>
      </c>
      <c r="I532" s="389" t="e">
        <f t="shared" si="62"/>
        <v>#N/A</v>
      </c>
      <c r="J532" s="389" t="e">
        <f t="shared" si="62"/>
        <v>#N/A</v>
      </c>
      <c r="K532" s="389" t="e">
        <f t="shared" si="62"/>
        <v>#N/A</v>
      </c>
      <c r="L532" s="720"/>
      <c r="M532" s="63"/>
      <c r="N532" s="440"/>
      <c r="O532" s="390"/>
      <c r="P532" s="390">
        <v>0</v>
      </c>
      <c r="Q532" s="390">
        <v>0</v>
      </c>
      <c r="R532" s="390">
        <v>0</v>
      </c>
      <c r="S532" s="63" t="s">
        <v>476</v>
      </c>
      <c r="T532" s="63"/>
      <c r="U532" s="1039"/>
      <c r="V532" s="1039"/>
      <c r="W532" s="1039"/>
      <c r="X532" s="64" t="s">
        <v>2364</v>
      </c>
      <c r="Y532" s="439"/>
      <c r="Z532" s="439"/>
      <c r="AA532" s="439"/>
    </row>
    <row r="533" spans="1:27" ht="15" customHeight="1">
      <c r="A533" s="63">
        <f t="shared" si="61"/>
        <v>530</v>
      </c>
      <c r="B533" s="63" t="s">
        <v>1308</v>
      </c>
      <c r="C533" s="63"/>
      <c r="D533" s="63"/>
      <c r="E533" s="64"/>
      <c r="F533" s="65"/>
      <c r="G533" s="389" t="e">
        <f t="shared" si="62"/>
        <v>#N/A</v>
      </c>
      <c r="H533" s="389" t="e">
        <f t="shared" si="62"/>
        <v>#N/A</v>
      </c>
      <c r="I533" s="389" t="e">
        <f t="shared" si="62"/>
        <v>#N/A</v>
      </c>
      <c r="J533" s="389" t="e">
        <f t="shared" si="62"/>
        <v>#N/A</v>
      </c>
      <c r="K533" s="389" t="e">
        <f t="shared" si="62"/>
        <v>#N/A</v>
      </c>
      <c r="L533" s="720"/>
      <c r="M533" s="63"/>
      <c r="N533" s="440"/>
      <c r="O533" s="390"/>
      <c r="P533" s="390">
        <v>0</v>
      </c>
      <c r="Q533" s="390">
        <v>0</v>
      </c>
      <c r="R533" s="390">
        <v>0</v>
      </c>
      <c r="S533" s="63" t="s">
        <v>476</v>
      </c>
      <c r="T533" s="63"/>
      <c r="U533" s="1039"/>
      <c r="V533" s="1039"/>
      <c r="W533" s="1039"/>
      <c r="X533" s="64" t="s">
        <v>2364</v>
      </c>
      <c r="Y533" s="439"/>
      <c r="Z533" s="439"/>
      <c r="AA533" s="439"/>
    </row>
    <row r="534" spans="1:27" ht="15" customHeight="1">
      <c r="A534" s="63">
        <f t="shared" si="61"/>
        <v>531</v>
      </c>
      <c r="B534" s="63" t="s">
        <v>1308</v>
      </c>
      <c r="C534" s="63"/>
      <c r="D534" s="63"/>
      <c r="E534" s="64"/>
      <c r="F534" s="65"/>
      <c r="G534" s="389" t="e">
        <f t="shared" si="62"/>
        <v>#N/A</v>
      </c>
      <c r="H534" s="389" t="e">
        <f t="shared" si="62"/>
        <v>#N/A</v>
      </c>
      <c r="I534" s="389" t="e">
        <f t="shared" si="62"/>
        <v>#N/A</v>
      </c>
      <c r="J534" s="389" t="e">
        <f t="shared" si="62"/>
        <v>#N/A</v>
      </c>
      <c r="K534" s="389" t="e">
        <f t="shared" si="62"/>
        <v>#N/A</v>
      </c>
      <c r="L534" s="720"/>
      <c r="M534" s="63"/>
      <c r="N534" s="440"/>
      <c r="O534" s="390"/>
      <c r="P534" s="390">
        <v>0</v>
      </c>
      <c r="Q534" s="390">
        <v>0</v>
      </c>
      <c r="R534" s="390">
        <v>0</v>
      </c>
      <c r="S534" s="63" t="s">
        <v>476</v>
      </c>
      <c r="T534" s="63"/>
      <c r="U534" s="1039"/>
      <c r="V534" s="1039"/>
      <c r="W534" s="1039"/>
      <c r="X534" s="64" t="s">
        <v>2364</v>
      </c>
      <c r="Y534" s="439"/>
      <c r="Z534" s="439"/>
      <c r="AA534" s="439"/>
    </row>
    <row r="535" spans="1:27" ht="15" customHeight="1">
      <c r="A535" s="63">
        <f t="shared" si="61"/>
        <v>532</v>
      </c>
      <c r="B535" s="63" t="s">
        <v>1308</v>
      </c>
      <c r="C535" s="63" t="s">
        <v>2032</v>
      </c>
      <c r="D535" s="1234" t="s">
        <v>2251</v>
      </c>
      <c r="E535" s="64">
        <v>2261</v>
      </c>
      <c r="F535" s="65" t="s">
        <v>189</v>
      </c>
      <c r="G535" s="389">
        <f t="shared" si="62"/>
        <v>0.67999999999999994</v>
      </c>
      <c r="H535" s="389">
        <f t="shared" si="62"/>
        <v>0.6</v>
      </c>
      <c r="I535" s="389">
        <f t="shared" si="62"/>
        <v>0.5099999999999999</v>
      </c>
      <c r="J535" s="389">
        <f t="shared" si="62"/>
        <v>0.43</v>
      </c>
      <c r="K535" s="389">
        <f t="shared" si="62"/>
        <v>0.37</v>
      </c>
      <c r="L535" s="720">
        <v>0.06</v>
      </c>
      <c r="M535" s="63" t="s">
        <v>3209</v>
      </c>
      <c r="N535" s="440">
        <v>4.4999999999999998E-2</v>
      </c>
      <c r="O535" s="390">
        <v>6.0000000000000001E-3</v>
      </c>
      <c r="P535" s="390">
        <v>0</v>
      </c>
      <c r="Q535" s="390">
        <v>0</v>
      </c>
      <c r="R535" s="390">
        <v>0</v>
      </c>
      <c r="S535" s="63" t="s">
        <v>476</v>
      </c>
      <c r="T535" s="63"/>
      <c r="U535" s="1039"/>
      <c r="V535" s="1039"/>
      <c r="W535" s="1039"/>
      <c r="X535" s="64" t="s">
        <v>2364</v>
      </c>
      <c r="Y535" s="439"/>
      <c r="Z535" s="439"/>
      <c r="AA535" s="439"/>
    </row>
    <row r="536" spans="1:27" ht="15" customHeight="1">
      <c r="A536" s="63">
        <f t="shared" si="61"/>
        <v>533</v>
      </c>
      <c r="B536" s="63" t="s">
        <v>1308</v>
      </c>
      <c r="C536" s="63" t="s">
        <v>2032</v>
      </c>
      <c r="D536" s="1234" t="s">
        <v>1403</v>
      </c>
      <c r="E536" s="64">
        <v>2956</v>
      </c>
      <c r="F536" s="65" t="s">
        <v>189</v>
      </c>
      <c r="G536" s="389">
        <f t="shared" si="62"/>
        <v>0.67999999999999994</v>
      </c>
      <c r="H536" s="389">
        <f t="shared" si="62"/>
        <v>0.6</v>
      </c>
      <c r="I536" s="389">
        <f t="shared" si="62"/>
        <v>0.5099999999999999</v>
      </c>
      <c r="J536" s="389">
        <f t="shared" si="62"/>
        <v>0.43</v>
      </c>
      <c r="K536" s="389">
        <f t="shared" si="62"/>
        <v>0.37</v>
      </c>
      <c r="L536" s="720">
        <v>0.06</v>
      </c>
      <c r="M536" s="63" t="s">
        <v>3209</v>
      </c>
      <c r="N536" s="440">
        <v>4.4999999999999998E-2</v>
      </c>
      <c r="O536" s="390">
        <v>6.0000000000000001E-3</v>
      </c>
      <c r="P536" s="390">
        <v>0</v>
      </c>
      <c r="Q536" s="390">
        <v>0</v>
      </c>
      <c r="R536" s="390">
        <v>0</v>
      </c>
      <c r="S536" s="63" t="s">
        <v>476</v>
      </c>
      <c r="T536" s="63"/>
      <c r="U536" s="1039"/>
      <c r="V536" s="1039"/>
      <c r="W536" s="1039"/>
      <c r="X536" s="64" t="s">
        <v>2364</v>
      </c>
      <c r="Y536" s="439"/>
      <c r="Z536" s="439"/>
      <c r="AA536" s="439"/>
    </row>
    <row r="537" spans="1:27" ht="15" customHeight="1">
      <c r="A537" s="63">
        <f t="shared" si="61"/>
        <v>534</v>
      </c>
      <c r="B537" s="63" t="s">
        <v>1308</v>
      </c>
      <c r="C537" s="63" t="s">
        <v>2032</v>
      </c>
      <c r="D537" s="63" t="s">
        <v>2402</v>
      </c>
      <c r="E537" s="64">
        <v>3339</v>
      </c>
      <c r="F537" s="65" t="s">
        <v>189</v>
      </c>
      <c r="G537" s="389">
        <f t="shared" si="62"/>
        <v>0.64999999999999991</v>
      </c>
      <c r="H537" s="389">
        <f t="shared" si="62"/>
        <v>0.56999999999999995</v>
      </c>
      <c r="I537" s="389">
        <f t="shared" si="62"/>
        <v>0.47999999999999987</v>
      </c>
      <c r="J537" s="389">
        <f t="shared" si="62"/>
        <v>0.39999999999999997</v>
      </c>
      <c r="K537" s="389">
        <f t="shared" si="62"/>
        <v>0.33999999999999997</v>
      </c>
      <c r="L537" s="720">
        <v>0.06</v>
      </c>
      <c r="M537" s="63" t="s">
        <v>3198</v>
      </c>
      <c r="N537" s="440">
        <v>4.4999999999999998E-2</v>
      </c>
      <c r="O537" s="390">
        <v>6.0000000000000001E-3</v>
      </c>
      <c r="P537" s="390">
        <v>0</v>
      </c>
      <c r="Q537" s="390">
        <v>0</v>
      </c>
      <c r="R537" s="390">
        <v>0</v>
      </c>
      <c r="S537" s="63" t="s">
        <v>476</v>
      </c>
      <c r="T537" s="63"/>
      <c r="U537" s="1039"/>
      <c r="V537" s="1039"/>
      <c r="W537" s="1039"/>
      <c r="X537" s="64" t="s">
        <v>2364</v>
      </c>
      <c r="Y537" s="439"/>
      <c r="Z537" s="439"/>
      <c r="AA537" s="439"/>
    </row>
    <row r="538" spans="1:27" ht="15" customHeight="1">
      <c r="A538" s="63">
        <f t="shared" si="61"/>
        <v>535</v>
      </c>
      <c r="B538" s="63" t="s">
        <v>1308</v>
      </c>
      <c r="C538" s="63" t="s">
        <v>2032</v>
      </c>
      <c r="D538" s="1234" t="s">
        <v>2252</v>
      </c>
      <c r="E538" s="64">
        <v>3496</v>
      </c>
      <c r="F538" s="65" t="s">
        <v>189</v>
      </c>
      <c r="G538" s="389">
        <f t="shared" si="62"/>
        <v>0.59</v>
      </c>
      <c r="H538" s="389">
        <f t="shared" si="62"/>
        <v>0.51</v>
      </c>
      <c r="I538" s="389">
        <f t="shared" si="62"/>
        <v>0.42</v>
      </c>
      <c r="J538" s="389">
        <f t="shared" si="62"/>
        <v>0.34</v>
      </c>
      <c r="K538" s="389">
        <f t="shared" si="62"/>
        <v>0.28000000000000003</v>
      </c>
      <c r="L538" s="720">
        <v>0.06</v>
      </c>
      <c r="M538" s="63" t="s">
        <v>3191</v>
      </c>
      <c r="N538" s="440">
        <v>4.4999999999999998E-2</v>
      </c>
      <c r="O538" s="390">
        <v>6.0000000000000001E-3</v>
      </c>
      <c r="P538" s="390">
        <v>0</v>
      </c>
      <c r="Q538" s="390">
        <v>0</v>
      </c>
      <c r="R538" s="390">
        <v>0</v>
      </c>
      <c r="S538" s="63" t="s">
        <v>476</v>
      </c>
      <c r="T538" s="63"/>
      <c r="U538" s="1039"/>
      <c r="V538" s="1039"/>
      <c r="W538" s="1039"/>
      <c r="X538" s="64" t="s">
        <v>2364</v>
      </c>
      <c r="Y538" s="439"/>
      <c r="Z538" s="439"/>
      <c r="AA538" s="439"/>
    </row>
    <row r="539" spans="1:27" ht="15" customHeight="1">
      <c r="A539" s="63">
        <f t="shared" si="61"/>
        <v>536</v>
      </c>
      <c r="B539" s="63" t="s">
        <v>1308</v>
      </c>
      <c r="C539" s="63" t="s">
        <v>2032</v>
      </c>
      <c r="D539" s="1234" t="s">
        <v>2403</v>
      </c>
      <c r="E539" s="64">
        <v>3496</v>
      </c>
      <c r="F539" s="65" t="s">
        <v>189</v>
      </c>
      <c r="G539" s="389">
        <f t="shared" si="62"/>
        <v>0.59</v>
      </c>
      <c r="H539" s="389">
        <f t="shared" si="62"/>
        <v>0.51</v>
      </c>
      <c r="I539" s="389">
        <f t="shared" si="62"/>
        <v>0.42</v>
      </c>
      <c r="J539" s="389">
        <f t="shared" si="62"/>
        <v>0.34</v>
      </c>
      <c r="K539" s="389">
        <f t="shared" si="62"/>
        <v>0.28000000000000003</v>
      </c>
      <c r="L539" s="720">
        <v>0.06</v>
      </c>
      <c r="M539" s="63" t="s">
        <v>3162</v>
      </c>
      <c r="N539" s="440">
        <v>4.4999999999999998E-2</v>
      </c>
      <c r="O539" s="390">
        <v>6.0000000000000001E-3</v>
      </c>
      <c r="P539" s="390">
        <v>0</v>
      </c>
      <c r="Q539" s="390">
        <v>0</v>
      </c>
      <c r="R539" s="390">
        <v>0</v>
      </c>
      <c r="S539" s="63" t="s">
        <v>476</v>
      </c>
      <c r="T539" s="63"/>
      <c r="U539" s="1039"/>
      <c r="V539" s="1039"/>
      <c r="W539" s="1039"/>
      <c r="X539" s="64" t="s">
        <v>2364</v>
      </c>
      <c r="Y539" s="439"/>
      <c r="Z539" s="439"/>
      <c r="AA539" s="439"/>
    </row>
    <row r="540" spans="1:27" ht="15" customHeight="1">
      <c r="A540" s="63">
        <f t="shared" si="61"/>
        <v>537</v>
      </c>
      <c r="B540" s="63" t="s">
        <v>1308</v>
      </c>
      <c r="C540" s="63" t="s">
        <v>2032</v>
      </c>
      <c r="D540" s="1234" t="s">
        <v>2253</v>
      </c>
      <c r="E540" s="64">
        <v>1996</v>
      </c>
      <c r="F540" s="65" t="s">
        <v>189</v>
      </c>
      <c r="G540" s="389">
        <f t="shared" si="62"/>
        <v>0.59</v>
      </c>
      <c r="H540" s="389">
        <f t="shared" si="62"/>
        <v>0.51</v>
      </c>
      <c r="I540" s="389">
        <f t="shared" si="62"/>
        <v>0.42</v>
      </c>
      <c r="J540" s="389">
        <f t="shared" si="62"/>
        <v>0.34</v>
      </c>
      <c r="K540" s="389">
        <f t="shared" si="62"/>
        <v>0.28000000000000003</v>
      </c>
      <c r="L540" s="720">
        <v>0.06</v>
      </c>
      <c r="M540" s="63" t="s">
        <v>3177</v>
      </c>
      <c r="N540" s="440">
        <v>4.4999999999999998E-2</v>
      </c>
      <c r="O540" s="390">
        <v>6.0000000000000001E-3</v>
      </c>
      <c r="P540" s="390">
        <v>0</v>
      </c>
      <c r="Q540" s="390">
        <v>0</v>
      </c>
      <c r="R540" s="390">
        <v>0</v>
      </c>
      <c r="S540" s="63" t="s">
        <v>476</v>
      </c>
      <c r="T540" s="63"/>
      <c r="U540" s="1039"/>
      <c r="V540" s="1039"/>
      <c r="W540" s="1039"/>
      <c r="X540" s="64" t="s">
        <v>2364</v>
      </c>
      <c r="Y540" s="439"/>
      <c r="Z540" s="439"/>
      <c r="AA540" s="439"/>
    </row>
    <row r="541" spans="1:27" ht="15" customHeight="1">
      <c r="A541" s="63">
        <f t="shared" si="61"/>
        <v>538</v>
      </c>
      <c r="B541" s="63" t="s">
        <v>1308</v>
      </c>
      <c r="C541" s="63" t="s">
        <v>2032</v>
      </c>
      <c r="D541" s="1234" t="s">
        <v>1404</v>
      </c>
      <c r="E541" s="64">
        <v>2261</v>
      </c>
      <c r="F541" s="65" t="s">
        <v>144</v>
      </c>
      <c r="G541" s="389">
        <f t="shared" si="62"/>
        <v>0.54</v>
      </c>
      <c r="H541" s="389">
        <f t="shared" si="62"/>
        <v>0.45999999999999996</v>
      </c>
      <c r="I541" s="389">
        <f t="shared" si="62"/>
        <v>0.37</v>
      </c>
      <c r="J541" s="389">
        <f t="shared" si="62"/>
        <v>0.28999999999999998</v>
      </c>
      <c r="K541" s="389">
        <f t="shared" si="62"/>
        <v>0.23</v>
      </c>
      <c r="L541" s="720">
        <v>0.06</v>
      </c>
      <c r="M541" s="63" t="s">
        <v>3178</v>
      </c>
      <c r="N541" s="440">
        <v>4.4999999999999998E-2</v>
      </c>
      <c r="O541" s="390">
        <v>6.0000000000000001E-3</v>
      </c>
      <c r="P541" s="390">
        <v>0</v>
      </c>
      <c r="Q541" s="390">
        <v>0</v>
      </c>
      <c r="R541" s="390">
        <v>0</v>
      </c>
      <c r="S541" s="63" t="s">
        <v>476</v>
      </c>
      <c r="T541" s="63"/>
      <c r="U541" s="1039"/>
      <c r="V541" s="1039"/>
      <c r="W541" s="1039"/>
      <c r="X541" s="64" t="s">
        <v>2364</v>
      </c>
      <c r="Y541" s="439"/>
      <c r="Z541" s="439"/>
      <c r="AA541" s="439"/>
    </row>
    <row r="542" spans="1:27" ht="15" customHeight="1">
      <c r="A542" s="63">
        <f t="shared" si="61"/>
        <v>539</v>
      </c>
      <c r="B542" s="63" t="s">
        <v>1308</v>
      </c>
      <c r="C542" s="63" t="s">
        <v>2032</v>
      </c>
      <c r="D542" s="1234" t="s">
        <v>1405</v>
      </c>
      <c r="E542" s="64">
        <v>2261</v>
      </c>
      <c r="F542" s="65" t="s">
        <v>144</v>
      </c>
      <c r="G542" s="389">
        <f t="shared" si="62"/>
        <v>0.54</v>
      </c>
      <c r="H542" s="389">
        <f t="shared" si="62"/>
        <v>0.45999999999999996</v>
      </c>
      <c r="I542" s="389">
        <f t="shared" si="62"/>
        <v>0.37</v>
      </c>
      <c r="J542" s="389">
        <f t="shared" si="62"/>
        <v>0.28999999999999998</v>
      </c>
      <c r="K542" s="389">
        <f t="shared" si="62"/>
        <v>0.23</v>
      </c>
      <c r="L542" s="720">
        <v>0.06</v>
      </c>
      <c r="M542" s="63" t="s">
        <v>3178</v>
      </c>
      <c r="N542" s="440">
        <v>4.4999999999999998E-2</v>
      </c>
      <c r="O542" s="390">
        <v>6.0000000000000001E-3</v>
      </c>
      <c r="P542" s="390">
        <v>0</v>
      </c>
      <c r="Q542" s="390">
        <v>0</v>
      </c>
      <c r="R542" s="390">
        <v>0</v>
      </c>
      <c r="S542" s="63" t="s">
        <v>476</v>
      </c>
      <c r="T542" s="63"/>
      <c r="U542" s="1039"/>
      <c r="V542" s="1039"/>
      <c r="W542" s="1039"/>
      <c r="X542" s="64" t="s">
        <v>2364</v>
      </c>
      <c r="Y542" s="439"/>
      <c r="Z542" s="439"/>
      <c r="AA542" s="439"/>
    </row>
    <row r="543" spans="1:27" ht="15" customHeight="1">
      <c r="A543" s="63">
        <f t="shared" si="61"/>
        <v>540</v>
      </c>
      <c r="B543" s="63" t="s">
        <v>1308</v>
      </c>
      <c r="C543" s="63" t="s">
        <v>2404</v>
      </c>
      <c r="D543" s="1234" t="s">
        <v>2254</v>
      </c>
      <c r="E543" s="64">
        <v>5038</v>
      </c>
      <c r="F543" s="65" t="s">
        <v>144</v>
      </c>
      <c r="G543" s="389">
        <f t="shared" si="62"/>
        <v>0.54</v>
      </c>
      <c r="H543" s="389">
        <f t="shared" si="62"/>
        <v>0.45999999999999996</v>
      </c>
      <c r="I543" s="389">
        <f t="shared" si="62"/>
        <v>0.37</v>
      </c>
      <c r="J543" s="389">
        <f t="shared" si="62"/>
        <v>0.28999999999999998</v>
      </c>
      <c r="K543" s="389">
        <f t="shared" si="62"/>
        <v>0.23</v>
      </c>
      <c r="L543" s="720">
        <v>0.06</v>
      </c>
      <c r="M543" s="63" t="s">
        <v>3178</v>
      </c>
      <c r="N543" s="440">
        <v>4.4999999999999998E-2</v>
      </c>
      <c r="O543" s="390">
        <v>6.0000000000000001E-3</v>
      </c>
      <c r="P543" s="390">
        <v>0</v>
      </c>
      <c r="Q543" s="390">
        <v>0</v>
      </c>
      <c r="R543" s="390">
        <v>0</v>
      </c>
      <c r="S543" s="63" t="s">
        <v>476</v>
      </c>
      <c r="T543" s="63"/>
      <c r="U543" s="1039"/>
      <c r="V543" s="1039"/>
      <c r="W543" s="1039"/>
      <c r="X543" s="64" t="s">
        <v>2364</v>
      </c>
      <c r="Y543" s="439"/>
      <c r="Z543" s="439"/>
      <c r="AA543" s="439"/>
    </row>
    <row r="544" spans="1:27" ht="15" customHeight="1">
      <c r="A544" s="63">
        <f t="shared" si="61"/>
        <v>541</v>
      </c>
      <c r="B544" s="63" t="s">
        <v>1308</v>
      </c>
      <c r="C544" s="63" t="s">
        <v>2032</v>
      </c>
      <c r="D544" s="1234" t="s">
        <v>1451</v>
      </c>
      <c r="E544" s="64">
        <v>5038</v>
      </c>
      <c r="F544" s="65" t="s">
        <v>144</v>
      </c>
      <c r="G544" s="389">
        <f t="shared" si="62"/>
        <v>0.54</v>
      </c>
      <c r="H544" s="389">
        <f t="shared" si="62"/>
        <v>0.45999999999999996</v>
      </c>
      <c r="I544" s="389">
        <f t="shared" si="62"/>
        <v>0.37</v>
      </c>
      <c r="J544" s="389">
        <f t="shared" si="62"/>
        <v>0.28999999999999998</v>
      </c>
      <c r="K544" s="389">
        <f t="shared" si="62"/>
        <v>0.23</v>
      </c>
      <c r="L544" s="720">
        <v>0.06</v>
      </c>
      <c r="M544" s="63" t="s">
        <v>3178</v>
      </c>
      <c r="N544" s="440">
        <v>4.4999999999999998E-2</v>
      </c>
      <c r="O544" s="390">
        <v>6.0000000000000001E-3</v>
      </c>
      <c r="P544" s="390">
        <v>0</v>
      </c>
      <c r="Q544" s="390">
        <v>0</v>
      </c>
      <c r="R544" s="390">
        <v>0</v>
      </c>
      <c r="S544" s="63" t="s">
        <v>476</v>
      </c>
      <c r="T544" s="63"/>
      <c r="U544" s="1039"/>
      <c r="V544" s="1039"/>
      <c r="W544" s="1039"/>
      <c r="X544" s="64" t="s">
        <v>2364</v>
      </c>
      <c r="Y544" s="439"/>
      <c r="Z544" s="439"/>
      <c r="AA544" s="439"/>
    </row>
    <row r="545" spans="1:27" ht="15" customHeight="1">
      <c r="A545" s="63">
        <f t="shared" si="61"/>
        <v>542</v>
      </c>
      <c r="B545" s="63" t="s">
        <v>1308</v>
      </c>
      <c r="C545" s="63" t="s">
        <v>2032</v>
      </c>
      <c r="D545" s="63" t="s">
        <v>1406</v>
      </c>
      <c r="E545" s="64">
        <v>0</v>
      </c>
      <c r="F545" s="65" t="s">
        <v>2033</v>
      </c>
      <c r="G545" s="389">
        <f t="shared" si="62"/>
        <v>0.54</v>
      </c>
      <c r="H545" s="389">
        <f t="shared" si="62"/>
        <v>0.45999999999999996</v>
      </c>
      <c r="I545" s="389">
        <f t="shared" si="62"/>
        <v>0.37</v>
      </c>
      <c r="J545" s="389">
        <f t="shared" si="62"/>
        <v>0.28999999999999998</v>
      </c>
      <c r="K545" s="389">
        <f t="shared" si="62"/>
        <v>0.23</v>
      </c>
      <c r="L545" s="720">
        <v>0.06</v>
      </c>
      <c r="M545" s="63" t="s">
        <v>3178</v>
      </c>
      <c r="N545" s="440">
        <v>4.4999999999999998E-2</v>
      </c>
      <c r="O545" s="390">
        <v>6.0000000000000001E-3</v>
      </c>
      <c r="P545" s="390">
        <v>0</v>
      </c>
      <c r="Q545" s="390">
        <v>0</v>
      </c>
      <c r="R545" s="390">
        <v>0</v>
      </c>
      <c r="S545" s="63" t="s">
        <v>476</v>
      </c>
      <c r="T545" s="63"/>
      <c r="U545" s="1039"/>
      <c r="V545" s="1039"/>
      <c r="W545" s="1039"/>
      <c r="X545" s="64" t="s">
        <v>2364</v>
      </c>
      <c r="Y545" s="439"/>
      <c r="Z545" s="439"/>
      <c r="AA545" s="439"/>
    </row>
    <row r="546" spans="1:27" ht="15" customHeight="1">
      <c r="A546" s="63">
        <f t="shared" si="61"/>
        <v>543</v>
      </c>
      <c r="B546" s="63" t="s">
        <v>1308</v>
      </c>
      <c r="C546" s="63" t="s">
        <v>2032</v>
      </c>
      <c r="D546" s="63" t="s">
        <v>1407</v>
      </c>
      <c r="E546" s="64">
        <v>0</v>
      </c>
      <c r="F546" s="65" t="s">
        <v>621</v>
      </c>
      <c r="G546" s="389">
        <f t="shared" si="62"/>
        <v>0.54</v>
      </c>
      <c r="H546" s="389">
        <f t="shared" si="62"/>
        <v>0.45999999999999996</v>
      </c>
      <c r="I546" s="389">
        <f t="shared" si="62"/>
        <v>0.37</v>
      </c>
      <c r="J546" s="389">
        <f t="shared" si="62"/>
        <v>0.28999999999999998</v>
      </c>
      <c r="K546" s="389">
        <f t="shared" si="62"/>
        <v>0.23</v>
      </c>
      <c r="L546" s="720">
        <v>0.06</v>
      </c>
      <c r="M546" s="63" t="s">
        <v>3178</v>
      </c>
      <c r="N546" s="440">
        <v>4.4999999999999998E-2</v>
      </c>
      <c r="O546" s="390">
        <v>6.0000000000000001E-3</v>
      </c>
      <c r="P546" s="390">
        <v>0</v>
      </c>
      <c r="Q546" s="390">
        <v>0</v>
      </c>
      <c r="R546" s="390">
        <v>0</v>
      </c>
      <c r="S546" s="63" t="s">
        <v>476</v>
      </c>
      <c r="T546" s="63"/>
      <c r="U546" s="1039"/>
      <c r="V546" s="1039"/>
      <c r="W546" s="1039"/>
      <c r="X546" s="64" t="s">
        <v>2364</v>
      </c>
      <c r="Y546" s="439"/>
      <c r="Z546" s="439"/>
      <c r="AA546" s="439"/>
    </row>
    <row r="547" spans="1:27" ht="15" customHeight="1">
      <c r="A547" s="63">
        <f t="shared" si="61"/>
        <v>544</v>
      </c>
      <c r="B547" s="63" t="s">
        <v>1308</v>
      </c>
      <c r="C547" s="63" t="s">
        <v>2032</v>
      </c>
      <c r="D547" s="63" t="s">
        <v>2405</v>
      </c>
      <c r="E547" s="64">
        <v>0</v>
      </c>
      <c r="F547" s="65" t="s">
        <v>2034</v>
      </c>
      <c r="G547" s="389">
        <f t="shared" si="62"/>
        <v>0.54</v>
      </c>
      <c r="H547" s="389">
        <f t="shared" si="62"/>
        <v>0.45999999999999996</v>
      </c>
      <c r="I547" s="389">
        <f t="shared" si="62"/>
        <v>0.37</v>
      </c>
      <c r="J547" s="389">
        <f t="shared" si="62"/>
        <v>0.28999999999999998</v>
      </c>
      <c r="K547" s="389">
        <f t="shared" si="62"/>
        <v>0.23</v>
      </c>
      <c r="L547" s="720">
        <v>0.06</v>
      </c>
      <c r="M547" s="63" t="s">
        <v>3178</v>
      </c>
      <c r="N547" s="440">
        <v>4.4999999999999998E-2</v>
      </c>
      <c r="O547" s="390">
        <v>6.0000000000000001E-3</v>
      </c>
      <c r="P547" s="390">
        <v>0</v>
      </c>
      <c r="Q547" s="390">
        <v>0</v>
      </c>
      <c r="R547" s="390">
        <v>0</v>
      </c>
      <c r="S547" s="63" t="s">
        <v>476</v>
      </c>
      <c r="T547" s="63"/>
      <c r="U547" s="1039"/>
      <c r="V547" s="1039"/>
      <c r="W547" s="1039"/>
      <c r="X547" s="64" t="s">
        <v>2364</v>
      </c>
      <c r="Y547" s="439"/>
      <c r="Z547" s="439"/>
      <c r="AA547" s="439"/>
    </row>
    <row r="548" spans="1:27" ht="15" customHeight="1">
      <c r="A548" s="63">
        <f t="shared" si="61"/>
        <v>545</v>
      </c>
      <c r="B548" s="63" t="s">
        <v>1308</v>
      </c>
      <c r="C548" s="63" t="s">
        <v>2032</v>
      </c>
      <c r="D548" s="63" t="s">
        <v>2255</v>
      </c>
      <c r="E548" s="64">
        <v>0</v>
      </c>
      <c r="F548" s="65" t="s">
        <v>2034</v>
      </c>
      <c r="G548" s="389">
        <f t="shared" si="62"/>
        <v>0.54</v>
      </c>
      <c r="H548" s="389">
        <f t="shared" si="62"/>
        <v>0.45999999999999996</v>
      </c>
      <c r="I548" s="389">
        <f t="shared" si="62"/>
        <v>0.37</v>
      </c>
      <c r="J548" s="389">
        <f t="shared" si="62"/>
        <v>0.28999999999999998</v>
      </c>
      <c r="K548" s="389">
        <f t="shared" si="62"/>
        <v>0.23</v>
      </c>
      <c r="L548" s="720">
        <v>0.06</v>
      </c>
      <c r="M548" s="63" t="s">
        <v>3178</v>
      </c>
      <c r="N548" s="440">
        <v>4.4999999999999998E-2</v>
      </c>
      <c r="O548" s="390">
        <v>6.0000000000000001E-3</v>
      </c>
      <c r="P548" s="390">
        <v>0</v>
      </c>
      <c r="Q548" s="390">
        <v>0</v>
      </c>
      <c r="R548" s="390">
        <v>0</v>
      </c>
      <c r="S548" s="63" t="s">
        <v>476</v>
      </c>
      <c r="T548" s="63"/>
      <c r="U548" s="1039"/>
      <c r="V548" s="1039"/>
      <c r="W548" s="1039"/>
      <c r="X548" s="64" t="s">
        <v>2364</v>
      </c>
      <c r="Y548" s="439"/>
      <c r="Z548" s="439"/>
      <c r="AA548" s="439"/>
    </row>
    <row r="549" spans="1:27" ht="15" customHeight="1">
      <c r="A549" s="63">
        <f t="shared" si="61"/>
        <v>546</v>
      </c>
      <c r="B549" s="63" t="s">
        <v>1308</v>
      </c>
      <c r="C549" s="63" t="s">
        <v>2032</v>
      </c>
      <c r="D549" s="63" t="s">
        <v>2406</v>
      </c>
      <c r="E549" s="64">
        <v>0</v>
      </c>
      <c r="F549" s="65" t="s">
        <v>2034</v>
      </c>
      <c r="G549" s="389">
        <f t="shared" si="62"/>
        <v>0.54</v>
      </c>
      <c r="H549" s="389">
        <f t="shared" si="62"/>
        <v>0.45999999999999996</v>
      </c>
      <c r="I549" s="389">
        <f t="shared" si="62"/>
        <v>0.37</v>
      </c>
      <c r="J549" s="389">
        <f t="shared" si="62"/>
        <v>0.28999999999999998</v>
      </c>
      <c r="K549" s="389">
        <f t="shared" si="62"/>
        <v>0.23</v>
      </c>
      <c r="L549" s="720">
        <v>0.06</v>
      </c>
      <c r="M549" s="63" t="s">
        <v>3178</v>
      </c>
      <c r="N549" s="440">
        <v>4.4999999999999998E-2</v>
      </c>
      <c r="O549" s="390">
        <v>6.0000000000000001E-3</v>
      </c>
      <c r="P549" s="390">
        <v>0</v>
      </c>
      <c r="Q549" s="390">
        <v>0</v>
      </c>
      <c r="R549" s="390">
        <v>0</v>
      </c>
      <c r="S549" s="63" t="s">
        <v>476</v>
      </c>
      <c r="T549" s="63"/>
      <c r="U549" s="1039"/>
      <c r="V549" s="1039"/>
      <c r="W549" s="1039"/>
      <c r="X549" s="64" t="s">
        <v>2364</v>
      </c>
      <c r="Y549" s="439"/>
      <c r="Z549" s="439"/>
      <c r="AA549" s="439"/>
    </row>
    <row r="550" spans="1:27" ht="15" customHeight="1">
      <c r="A550" s="63">
        <f t="shared" si="61"/>
        <v>547</v>
      </c>
      <c r="B550" s="63" t="s">
        <v>1308</v>
      </c>
      <c r="C550" s="63" t="s">
        <v>2032</v>
      </c>
      <c r="D550" s="63" t="s">
        <v>2256</v>
      </c>
      <c r="E550" s="64">
        <v>0</v>
      </c>
      <c r="F550" s="65" t="s">
        <v>621</v>
      </c>
      <c r="G550" s="389">
        <f t="shared" si="62"/>
        <v>0.54</v>
      </c>
      <c r="H550" s="389">
        <f t="shared" si="62"/>
        <v>0.45999999999999996</v>
      </c>
      <c r="I550" s="389">
        <f t="shared" si="62"/>
        <v>0.37</v>
      </c>
      <c r="J550" s="389">
        <f t="shared" si="62"/>
        <v>0.28999999999999998</v>
      </c>
      <c r="K550" s="389">
        <f t="shared" si="62"/>
        <v>0.23</v>
      </c>
      <c r="L550" s="720">
        <v>0.06</v>
      </c>
      <c r="M550" s="63" t="s">
        <v>3178</v>
      </c>
      <c r="N550" s="440">
        <v>4.4999999999999998E-2</v>
      </c>
      <c r="O550" s="390">
        <v>6.0000000000000001E-3</v>
      </c>
      <c r="P550" s="390">
        <v>0</v>
      </c>
      <c r="Q550" s="390">
        <v>0</v>
      </c>
      <c r="R550" s="390">
        <v>0</v>
      </c>
      <c r="S550" s="63" t="s">
        <v>476</v>
      </c>
      <c r="T550" s="63"/>
      <c r="U550" s="1039"/>
      <c r="V550" s="1039"/>
      <c r="W550" s="1039"/>
      <c r="X550" s="64" t="s">
        <v>2364</v>
      </c>
      <c r="Y550" s="439"/>
      <c r="Z550" s="439"/>
      <c r="AA550" s="439"/>
    </row>
    <row r="551" spans="1:27" ht="15" customHeight="1">
      <c r="A551" s="63">
        <f t="shared" si="61"/>
        <v>548</v>
      </c>
      <c r="B551" s="63" t="s">
        <v>1308</v>
      </c>
      <c r="C551" s="63" t="s">
        <v>2032</v>
      </c>
      <c r="D551" s="63" t="s">
        <v>2407</v>
      </c>
      <c r="E551" s="64">
        <v>0</v>
      </c>
      <c r="F551" s="65" t="s">
        <v>621</v>
      </c>
      <c r="G551" s="389">
        <f t="shared" si="62"/>
        <v>0.54</v>
      </c>
      <c r="H551" s="389">
        <f t="shared" si="62"/>
        <v>0.45999999999999996</v>
      </c>
      <c r="I551" s="389">
        <f t="shared" si="62"/>
        <v>0.37</v>
      </c>
      <c r="J551" s="389">
        <f t="shared" si="62"/>
        <v>0.28999999999999998</v>
      </c>
      <c r="K551" s="389">
        <f t="shared" si="62"/>
        <v>0.23</v>
      </c>
      <c r="L551" s="720">
        <v>0.06</v>
      </c>
      <c r="M551" s="63" t="s">
        <v>3178</v>
      </c>
      <c r="N551" s="440">
        <v>4.4999999999999998E-2</v>
      </c>
      <c r="O551" s="390">
        <v>6.0000000000000001E-3</v>
      </c>
      <c r="P551" s="390">
        <v>0</v>
      </c>
      <c r="Q551" s="390">
        <v>0</v>
      </c>
      <c r="R551" s="390">
        <v>0</v>
      </c>
      <c r="S551" s="63" t="s">
        <v>476</v>
      </c>
      <c r="T551" s="63"/>
      <c r="U551" s="1039"/>
      <c r="V551" s="1039"/>
      <c r="W551" s="1039"/>
      <c r="X551" s="64" t="s">
        <v>2364</v>
      </c>
      <c r="Y551" s="439"/>
      <c r="Z551" s="439"/>
      <c r="AA551" s="439"/>
    </row>
    <row r="552" spans="1:27" ht="15" customHeight="1">
      <c r="A552" s="63">
        <f t="shared" si="61"/>
        <v>549</v>
      </c>
      <c r="B552" s="63" t="s">
        <v>1308</v>
      </c>
      <c r="C552" s="63" t="s">
        <v>2404</v>
      </c>
      <c r="D552" s="63" t="s">
        <v>1408</v>
      </c>
      <c r="E552" s="64">
        <v>0</v>
      </c>
      <c r="F552" s="65" t="s">
        <v>621</v>
      </c>
      <c r="G552" s="389">
        <f t="shared" si="62"/>
        <v>0.54</v>
      </c>
      <c r="H552" s="389">
        <f t="shared" si="62"/>
        <v>0.45999999999999996</v>
      </c>
      <c r="I552" s="389">
        <f t="shared" si="62"/>
        <v>0.37</v>
      </c>
      <c r="J552" s="389">
        <f t="shared" si="62"/>
        <v>0.28999999999999998</v>
      </c>
      <c r="K552" s="389">
        <f t="shared" si="62"/>
        <v>0.23</v>
      </c>
      <c r="L552" s="720">
        <v>0.06</v>
      </c>
      <c r="M552" s="63" t="s">
        <v>3178</v>
      </c>
      <c r="N552" s="440">
        <v>4.4999999999999998E-2</v>
      </c>
      <c r="O552" s="390">
        <v>6.0000000000000001E-3</v>
      </c>
      <c r="P552" s="390">
        <v>0</v>
      </c>
      <c r="Q552" s="390">
        <v>0</v>
      </c>
      <c r="R552" s="390">
        <v>0</v>
      </c>
      <c r="S552" s="63" t="s">
        <v>476</v>
      </c>
      <c r="T552" s="63"/>
      <c r="U552" s="1039"/>
      <c r="V552" s="1039"/>
      <c r="W552" s="1039"/>
      <c r="X552" s="64" t="s">
        <v>2364</v>
      </c>
      <c r="Y552" s="439"/>
      <c r="Z552" s="439"/>
      <c r="AA552" s="439"/>
    </row>
    <row r="553" spans="1:27" ht="15" customHeight="1">
      <c r="A553" s="63">
        <f t="shared" si="61"/>
        <v>550</v>
      </c>
      <c r="B553" s="63" t="s">
        <v>1308</v>
      </c>
      <c r="C553" s="63" t="s">
        <v>2032</v>
      </c>
      <c r="D553" s="63" t="s">
        <v>1463</v>
      </c>
      <c r="E553" s="64">
        <v>0</v>
      </c>
      <c r="F553" s="65" t="s">
        <v>2034</v>
      </c>
      <c r="G553" s="389">
        <f t="shared" si="62"/>
        <v>0.54</v>
      </c>
      <c r="H553" s="389">
        <f t="shared" si="62"/>
        <v>0.45999999999999996</v>
      </c>
      <c r="I553" s="389">
        <f t="shared" si="62"/>
        <v>0.37</v>
      </c>
      <c r="J553" s="389">
        <f t="shared" si="62"/>
        <v>0.28999999999999998</v>
      </c>
      <c r="K553" s="389">
        <f t="shared" si="62"/>
        <v>0.23</v>
      </c>
      <c r="L553" s="720">
        <v>0.06</v>
      </c>
      <c r="M553" s="63" t="s">
        <v>3178</v>
      </c>
      <c r="N553" s="440">
        <v>4.4999999999999998E-2</v>
      </c>
      <c r="O553" s="390">
        <v>6.0000000000000001E-3</v>
      </c>
      <c r="P553" s="390">
        <v>0</v>
      </c>
      <c r="Q553" s="390">
        <v>0</v>
      </c>
      <c r="R553" s="390">
        <v>0</v>
      </c>
      <c r="S553" s="63" t="s">
        <v>476</v>
      </c>
      <c r="T553" s="63"/>
      <c r="U553" s="1039"/>
      <c r="V553" s="1039"/>
      <c r="W553" s="1039"/>
      <c r="X553" s="64" t="s">
        <v>2364</v>
      </c>
      <c r="Y553" s="439"/>
      <c r="Z553" s="439"/>
      <c r="AA553" s="439"/>
    </row>
    <row r="554" spans="1:27" ht="15" customHeight="1">
      <c r="A554" s="63">
        <f t="shared" si="61"/>
        <v>551</v>
      </c>
      <c r="B554" s="63" t="s">
        <v>1308</v>
      </c>
      <c r="C554" s="63" t="s">
        <v>2032</v>
      </c>
      <c r="D554" s="1234" t="s">
        <v>2408</v>
      </c>
      <c r="E554" s="64">
        <v>2694</v>
      </c>
      <c r="F554" s="65" t="s">
        <v>189</v>
      </c>
      <c r="G554" s="389">
        <f t="shared" si="62"/>
        <v>0.67999999999999994</v>
      </c>
      <c r="H554" s="389">
        <f t="shared" si="62"/>
        <v>0.6</v>
      </c>
      <c r="I554" s="389">
        <f t="shared" si="62"/>
        <v>0.5099999999999999</v>
      </c>
      <c r="J554" s="389">
        <f t="shared" si="62"/>
        <v>0.43</v>
      </c>
      <c r="K554" s="389">
        <f t="shared" si="62"/>
        <v>0.37</v>
      </c>
      <c r="L554" s="720">
        <v>0.06</v>
      </c>
      <c r="M554" s="63" t="s">
        <v>3166</v>
      </c>
      <c r="N554" s="440">
        <v>4.4999999999999998E-2</v>
      </c>
      <c r="O554" s="390">
        <v>6.0000000000000001E-3</v>
      </c>
      <c r="P554" s="390">
        <v>0</v>
      </c>
      <c r="Q554" s="390">
        <v>0</v>
      </c>
      <c r="R554" s="390">
        <v>0</v>
      </c>
      <c r="S554" s="63" t="s">
        <v>476</v>
      </c>
      <c r="T554" s="63"/>
      <c r="U554" s="1039"/>
      <c r="V554" s="1039"/>
      <c r="W554" s="1039"/>
      <c r="X554" s="64" t="s">
        <v>2364</v>
      </c>
      <c r="Y554" s="439"/>
      <c r="Z554" s="439"/>
      <c r="AA554" s="439"/>
    </row>
    <row r="555" spans="1:27" ht="15" customHeight="1">
      <c r="A555" s="63">
        <f t="shared" ref="A555:A611" si="63">ROW()-3</f>
        <v>552</v>
      </c>
      <c r="B555" s="63" t="s">
        <v>1308</v>
      </c>
      <c r="C555" s="63"/>
      <c r="D555" s="63"/>
      <c r="E555" s="64"/>
      <c r="F555" s="65"/>
      <c r="G555" s="389" t="e">
        <f t="shared" si="62"/>
        <v>#N/A</v>
      </c>
      <c r="H555" s="389" t="e">
        <f t="shared" si="62"/>
        <v>#N/A</v>
      </c>
      <c r="I555" s="389" t="e">
        <f t="shared" si="62"/>
        <v>#N/A</v>
      </c>
      <c r="J555" s="389" t="e">
        <f t="shared" si="62"/>
        <v>#N/A</v>
      </c>
      <c r="K555" s="389" t="e">
        <f t="shared" si="62"/>
        <v>#N/A</v>
      </c>
      <c r="L555" s="720"/>
      <c r="M555" s="63"/>
      <c r="N555" s="440"/>
      <c r="O555" s="390"/>
      <c r="P555" s="390">
        <v>0</v>
      </c>
      <c r="Q555" s="390">
        <v>0</v>
      </c>
      <c r="R555" s="390">
        <v>0</v>
      </c>
      <c r="S555" s="63" t="s">
        <v>476</v>
      </c>
      <c r="T555" s="63"/>
      <c r="U555" s="1039"/>
      <c r="V555" s="1039"/>
      <c r="W555" s="1039"/>
      <c r="X555" s="64" t="s">
        <v>2364</v>
      </c>
      <c r="Y555" s="439"/>
      <c r="Z555" s="439"/>
      <c r="AA555" s="439"/>
    </row>
    <row r="556" spans="1:27" ht="15" customHeight="1">
      <c r="A556" s="63">
        <f t="shared" si="63"/>
        <v>553</v>
      </c>
      <c r="B556" s="63" t="s">
        <v>1308</v>
      </c>
      <c r="C556" s="63"/>
      <c r="D556" s="63"/>
      <c r="E556" s="64"/>
      <c r="F556" s="65"/>
      <c r="G556" s="389" t="e">
        <f t="shared" si="62"/>
        <v>#N/A</v>
      </c>
      <c r="H556" s="389" t="e">
        <f t="shared" si="62"/>
        <v>#N/A</v>
      </c>
      <c r="I556" s="389" t="e">
        <f t="shared" si="62"/>
        <v>#N/A</v>
      </c>
      <c r="J556" s="389" t="e">
        <f t="shared" si="62"/>
        <v>#N/A</v>
      </c>
      <c r="K556" s="389" t="e">
        <f t="shared" si="62"/>
        <v>#N/A</v>
      </c>
      <c r="L556" s="720"/>
      <c r="M556" s="63"/>
      <c r="N556" s="440"/>
      <c r="O556" s="390"/>
      <c r="P556" s="390">
        <v>0</v>
      </c>
      <c r="Q556" s="390">
        <v>0</v>
      </c>
      <c r="R556" s="390">
        <v>0</v>
      </c>
      <c r="S556" s="63" t="s">
        <v>476</v>
      </c>
      <c r="T556" s="63"/>
      <c r="U556" s="1039"/>
      <c r="V556" s="1039"/>
      <c r="W556" s="1039"/>
      <c r="X556" s="64" t="s">
        <v>2364</v>
      </c>
      <c r="Y556" s="439"/>
      <c r="Z556" s="439"/>
      <c r="AA556" s="439"/>
    </row>
    <row r="557" spans="1:27" ht="15" customHeight="1">
      <c r="A557" s="63">
        <f t="shared" si="63"/>
        <v>554</v>
      </c>
      <c r="B557" s="63" t="s">
        <v>1308</v>
      </c>
      <c r="C557" s="63"/>
      <c r="D557" s="63"/>
      <c r="E557" s="64"/>
      <c r="F557" s="65"/>
      <c r="G557" s="389" t="e">
        <f t="shared" si="62"/>
        <v>#N/A</v>
      </c>
      <c r="H557" s="389" t="e">
        <f t="shared" si="62"/>
        <v>#N/A</v>
      </c>
      <c r="I557" s="389" t="e">
        <f t="shared" si="62"/>
        <v>#N/A</v>
      </c>
      <c r="J557" s="389" t="e">
        <f t="shared" si="62"/>
        <v>#N/A</v>
      </c>
      <c r="K557" s="389" t="e">
        <f t="shared" si="62"/>
        <v>#N/A</v>
      </c>
      <c r="L557" s="720"/>
      <c r="M557" s="63"/>
      <c r="N557" s="440"/>
      <c r="O557" s="390"/>
      <c r="P557" s="390">
        <v>0</v>
      </c>
      <c r="Q557" s="390">
        <v>0</v>
      </c>
      <c r="R557" s="390">
        <v>0</v>
      </c>
      <c r="S557" s="63" t="s">
        <v>476</v>
      </c>
      <c r="T557" s="63"/>
      <c r="U557" s="1039"/>
      <c r="V557" s="1039"/>
      <c r="W557" s="1039"/>
      <c r="X557" s="64" t="s">
        <v>2364</v>
      </c>
      <c r="Y557" s="439"/>
      <c r="Z557" s="439"/>
      <c r="AA557" s="439"/>
    </row>
    <row r="558" spans="1:27" ht="15" customHeight="1">
      <c r="A558" s="63">
        <f t="shared" si="63"/>
        <v>555</v>
      </c>
      <c r="B558" s="63" t="s">
        <v>1308</v>
      </c>
      <c r="C558" s="63"/>
      <c r="D558" s="63"/>
      <c r="E558" s="64"/>
      <c r="F558" s="65"/>
      <c r="G558" s="389" t="e">
        <f t="shared" si="62"/>
        <v>#N/A</v>
      </c>
      <c r="H558" s="389" t="e">
        <f t="shared" si="62"/>
        <v>#N/A</v>
      </c>
      <c r="I558" s="389" t="e">
        <f t="shared" si="62"/>
        <v>#N/A</v>
      </c>
      <c r="J558" s="389" t="e">
        <f t="shared" si="62"/>
        <v>#N/A</v>
      </c>
      <c r="K558" s="389" t="e">
        <f t="shared" si="62"/>
        <v>#N/A</v>
      </c>
      <c r="L558" s="720"/>
      <c r="M558" s="63"/>
      <c r="N558" s="440"/>
      <c r="O558" s="390"/>
      <c r="P558" s="390">
        <v>0</v>
      </c>
      <c r="Q558" s="390">
        <v>0</v>
      </c>
      <c r="R558" s="390">
        <v>0</v>
      </c>
      <c r="S558" s="63" t="s">
        <v>476</v>
      </c>
      <c r="T558" s="63"/>
      <c r="U558" s="1039"/>
      <c r="V558" s="1039"/>
      <c r="W558" s="1039"/>
      <c r="X558" s="64" t="s">
        <v>2364</v>
      </c>
      <c r="Y558" s="439"/>
      <c r="Z558" s="439"/>
      <c r="AA558" s="439"/>
    </row>
    <row r="559" spans="1:27" ht="15" customHeight="1">
      <c r="A559" s="63">
        <f t="shared" si="63"/>
        <v>556</v>
      </c>
      <c r="B559" s="63" t="s">
        <v>1308</v>
      </c>
      <c r="C559" s="63"/>
      <c r="D559" s="63"/>
      <c r="E559" s="64"/>
      <c r="F559" s="65"/>
      <c r="G559" s="389" t="e">
        <f t="shared" si="62"/>
        <v>#N/A</v>
      </c>
      <c r="H559" s="389" t="e">
        <f t="shared" si="62"/>
        <v>#N/A</v>
      </c>
      <c r="I559" s="389" t="e">
        <f t="shared" si="62"/>
        <v>#N/A</v>
      </c>
      <c r="J559" s="389" t="e">
        <f t="shared" si="62"/>
        <v>#N/A</v>
      </c>
      <c r="K559" s="389" t="e">
        <f t="shared" si="62"/>
        <v>#N/A</v>
      </c>
      <c r="L559" s="720"/>
      <c r="M559" s="63"/>
      <c r="N559" s="440"/>
      <c r="O559" s="390"/>
      <c r="P559" s="390">
        <v>0</v>
      </c>
      <c r="Q559" s="390">
        <v>0</v>
      </c>
      <c r="R559" s="390">
        <v>0</v>
      </c>
      <c r="S559" s="63" t="s">
        <v>476</v>
      </c>
      <c r="T559" s="63"/>
      <c r="U559" s="1039"/>
      <c r="V559" s="1039"/>
      <c r="W559" s="1039"/>
      <c r="X559" s="64" t="s">
        <v>2364</v>
      </c>
      <c r="Y559" s="439"/>
      <c r="Z559" s="439"/>
      <c r="AA559" s="439"/>
    </row>
    <row r="560" spans="1:27" ht="15" customHeight="1">
      <c r="A560" s="63">
        <f t="shared" si="63"/>
        <v>557</v>
      </c>
      <c r="B560" s="63" t="s">
        <v>2332</v>
      </c>
      <c r="C560" s="63" t="s">
        <v>2257</v>
      </c>
      <c r="D560" s="1234" t="s">
        <v>2409</v>
      </c>
      <c r="E560" s="64">
        <v>1498</v>
      </c>
      <c r="F560" s="65" t="s">
        <v>144</v>
      </c>
      <c r="G560" s="389">
        <f t="shared" si="62"/>
        <v>0.65999999999999992</v>
      </c>
      <c r="H560" s="389">
        <f t="shared" si="62"/>
        <v>0.57999999999999996</v>
      </c>
      <c r="I560" s="389">
        <f t="shared" si="62"/>
        <v>0.48999999999999988</v>
      </c>
      <c r="J560" s="389">
        <f t="shared" si="62"/>
        <v>0.41</v>
      </c>
      <c r="K560" s="389">
        <f t="shared" si="62"/>
        <v>0.35</v>
      </c>
      <c r="L560" s="720">
        <v>0.06</v>
      </c>
      <c r="M560" s="63" t="s">
        <v>3161</v>
      </c>
      <c r="N560" s="440">
        <v>4.4999999999999998E-2</v>
      </c>
      <c r="O560" s="390">
        <v>6.0000000000000001E-3</v>
      </c>
      <c r="P560" s="390">
        <v>0</v>
      </c>
      <c r="Q560" s="390">
        <v>0</v>
      </c>
      <c r="R560" s="390">
        <v>0</v>
      </c>
      <c r="S560" s="63" t="s">
        <v>476</v>
      </c>
      <c r="T560" s="63"/>
      <c r="U560" s="1039"/>
      <c r="V560" s="1039"/>
      <c r="W560" s="1039"/>
      <c r="X560" s="64" t="s">
        <v>2364</v>
      </c>
      <c r="Y560" s="439"/>
      <c r="Z560" s="439"/>
      <c r="AA560" s="439"/>
    </row>
    <row r="561" spans="1:27" ht="15" customHeight="1">
      <c r="A561" s="63">
        <f t="shared" si="63"/>
        <v>558</v>
      </c>
      <c r="B561" s="63" t="s">
        <v>1308</v>
      </c>
      <c r="C561" s="63" t="s">
        <v>2257</v>
      </c>
      <c r="D561" s="1234" t="s">
        <v>2258</v>
      </c>
      <c r="E561" s="64">
        <v>1498</v>
      </c>
      <c r="F561" s="65" t="s">
        <v>144</v>
      </c>
      <c r="G561" s="389">
        <f t="shared" si="62"/>
        <v>0.65999999999999992</v>
      </c>
      <c r="H561" s="389">
        <f t="shared" si="62"/>
        <v>0.57999999999999996</v>
      </c>
      <c r="I561" s="389">
        <f t="shared" si="62"/>
        <v>0.48999999999999988</v>
      </c>
      <c r="J561" s="389">
        <f t="shared" si="62"/>
        <v>0.41</v>
      </c>
      <c r="K561" s="389">
        <f t="shared" si="62"/>
        <v>0.35</v>
      </c>
      <c r="L561" s="720">
        <v>0.06</v>
      </c>
      <c r="M561" s="63" t="s">
        <v>3161</v>
      </c>
      <c r="N561" s="440">
        <v>4.4999999999999998E-2</v>
      </c>
      <c r="O561" s="390">
        <v>6.0000000000000001E-3</v>
      </c>
      <c r="P561" s="390">
        <v>0</v>
      </c>
      <c r="Q561" s="390">
        <v>0</v>
      </c>
      <c r="R561" s="390">
        <v>0</v>
      </c>
      <c r="S561" s="63" t="s">
        <v>476</v>
      </c>
      <c r="T561" s="63"/>
      <c r="U561" s="1039"/>
      <c r="V561" s="1039"/>
      <c r="W561" s="1039"/>
      <c r="X561" s="64" t="s">
        <v>2364</v>
      </c>
      <c r="Y561" s="439"/>
      <c r="Z561" s="439"/>
      <c r="AA561" s="439"/>
    </row>
    <row r="562" spans="1:27" ht="15" customHeight="1">
      <c r="A562" s="63">
        <f t="shared" si="63"/>
        <v>559</v>
      </c>
      <c r="B562" s="63" t="s">
        <v>1308</v>
      </c>
      <c r="C562" s="63" t="s">
        <v>2257</v>
      </c>
      <c r="D562" s="1234" t="s">
        <v>2410</v>
      </c>
      <c r="E562" s="64">
        <v>1968</v>
      </c>
      <c r="F562" s="65" t="s">
        <v>144</v>
      </c>
      <c r="G562" s="389">
        <f t="shared" si="62"/>
        <v>0.64999999999999991</v>
      </c>
      <c r="H562" s="389">
        <f t="shared" si="62"/>
        <v>0.56999999999999995</v>
      </c>
      <c r="I562" s="389">
        <f t="shared" si="62"/>
        <v>0.47999999999999987</v>
      </c>
      <c r="J562" s="389">
        <f t="shared" si="62"/>
        <v>0.39999999999999997</v>
      </c>
      <c r="K562" s="389">
        <f t="shared" si="62"/>
        <v>0.33999999999999997</v>
      </c>
      <c r="L562" s="720">
        <v>0.06</v>
      </c>
      <c r="M562" s="63" t="s">
        <v>3200</v>
      </c>
      <c r="N562" s="440">
        <v>4.4999999999999998E-2</v>
      </c>
      <c r="O562" s="390">
        <v>6.0000000000000001E-3</v>
      </c>
      <c r="P562" s="390">
        <v>0</v>
      </c>
      <c r="Q562" s="390">
        <v>0</v>
      </c>
      <c r="R562" s="390">
        <v>0</v>
      </c>
      <c r="S562" s="63" t="s">
        <v>476</v>
      </c>
      <c r="T562" s="63"/>
      <c r="U562" s="1039"/>
      <c r="V562" s="1039"/>
      <c r="W562" s="1039"/>
      <c r="X562" s="64" t="s">
        <v>2364</v>
      </c>
      <c r="Y562" s="439"/>
      <c r="Z562" s="439"/>
      <c r="AA562" s="439"/>
    </row>
    <row r="563" spans="1:27" ht="15" customHeight="1">
      <c r="A563" s="63">
        <f t="shared" si="63"/>
        <v>560</v>
      </c>
      <c r="B563" s="63" t="s">
        <v>1308</v>
      </c>
      <c r="C563" s="63" t="s">
        <v>2257</v>
      </c>
      <c r="D563" s="1234" t="s">
        <v>2259</v>
      </c>
      <c r="E563" s="64">
        <v>1968</v>
      </c>
      <c r="F563" s="65" t="s">
        <v>144</v>
      </c>
      <c r="G563" s="389">
        <f t="shared" si="62"/>
        <v>0.64999999999999991</v>
      </c>
      <c r="H563" s="389">
        <f t="shared" si="62"/>
        <v>0.56999999999999995</v>
      </c>
      <c r="I563" s="389">
        <f t="shared" si="62"/>
        <v>0.47999999999999987</v>
      </c>
      <c r="J563" s="389">
        <f t="shared" si="62"/>
        <v>0.39999999999999997</v>
      </c>
      <c r="K563" s="389">
        <f t="shared" si="62"/>
        <v>0.33999999999999997</v>
      </c>
      <c r="L563" s="720">
        <v>0.06</v>
      </c>
      <c r="M563" s="63" t="s">
        <v>3200</v>
      </c>
      <c r="N563" s="440">
        <v>4.4999999999999998E-2</v>
      </c>
      <c r="O563" s="390">
        <v>6.0000000000000001E-3</v>
      </c>
      <c r="P563" s="390">
        <v>0</v>
      </c>
      <c r="Q563" s="390">
        <v>0</v>
      </c>
      <c r="R563" s="390">
        <v>0</v>
      </c>
      <c r="S563" s="63" t="s">
        <v>476</v>
      </c>
      <c r="T563" s="63"/>
      <c r="U563" s="1039"/>
      <c r="V563" s="1039"/>
      <c r="W563" s="1039"/>
      <c r="X563" s="64" t="s">
        <v>2364</v>
      </c>
      <c r="Y563" s="439"/>
      <c r="Z563" s="439"/>
      <c r="AA563" s="439"/>
    </row>
    <row r="564" spans="1:27" ht="15" customHeight="1">
      <c r="A564" s="63">
        <f t="shared" si="63"/>
        <v>561</v>
      </c>
      <c r="B564" s="63" t="s">
        <v>1308</v>
      </c>
      <c r="C564" s="63" t="s">
        <v>2257</v>
      </c>
      <c r="D564" s="1234" t="s">
        <v>2260</v>
      </c>
      <c r="E564" s="64">
        <v>1968</v>
      </c>
      <c r="F564" s="65" t="s">
        <v>144</v>
      </c>
      <c r="G564" s="389">
        <f t="shared" si="62"/>
        <v>0.64999999999999991</v>
      </c>
      <c r="H564" s="389">
        <f t="shared" si="62"/>
        <v>0.56999999999999995</v>
      </c>
      <c r="I564" s="389">
        <f t="shared" si="62"/>
        <v>0.47999999999999987</v>
      </c>
      <c r="J564" s="389">
        <f t="shared" si="62"/>
        <v>0.39999999999999997</v>
      </c>
      <c r="K564" s="389">
        <f t="shared" si="62"/>
        <v>0.33999999999999997</v>
      </c>
      <c r="L564" s="720">
        <v>0.06</v>
      </c>
      <c r="M564" s="63" t="s">
        <v>3200</v>
      </c>
      <c r="N564" s="440">
        <v>4.4999999999999998E-2</v>
      </c>
      <c r="O564" s="390">
        <v>6.0000000000000001E-3</v>
      </c>
      <c r="P564" s="390">
        <v>0</v>
      </c>
      <c r="Q564" s="390">
        <v>0</v>
      </c>
      <c r="R564" s="390">
        <v>0</v>
      </c>
      <c r="S564" s="63" t="s">
        <v>476</v>
      </c>
      <c r="T564" s="63"/>
      <c r="U564" s="1039"/>
      <c r="V564" s="1039"/>
      <c r="W564" s="1039"/>
      <c r="X564" s="64" t="s">
        <v>2364</v>
      </c>
      <c r="Y564" s="439"/>
      <c r="Z564" s="439"/>
      <c r="AA564" s="439"/>
    </row>
    <row r="565" spans="1:27" ht="15" customHeight="1">
      <c r="A565" s="63">
        <f t="shared" si="63"/>
        <v>562</v>
      </c>
      <c r="B565" s="63" t="s">
        <v>1308</v>
      </c>
      <c r="C565" s="63" t="s">
        <v>2257</v>
      </c>
      <c r="D565" s="1234" t="s">
        <v>2261</v>
      </c>
      <c r="E565" s="64">
        <v>1968</v>
      </c>
      <c r="F565" s="65" t="s">
        <v>189</v>
      </c>
      <c r="G565" s="389">
        <f t="shared" si="62"/>
        <v>0.72</v>
      </c>
      <c r="H565" s="389">
        <f t="shared" si="62"/>
        <v>0.64</v>
      </c>
      <c r="I565" s="389">
        <f t="shared" si="62"/>
        <v>0.54999999999999993</v>
      </c>
      <c r="J565" s="389">
        <f t="shared" si="62"/>
        <v>0.47000000000000003</v>
      </c>
      <c r="K565" s="389">
        <f t="shared" si="62"/>
        <v>0.41000000000000003</v>
      </c>
      <c r="L565" s="720">
        <v>0.06</v>
      </c>
      <c r="M565" s="63" t="s">
        <v>3183</v>
      </c>
      <c r="N565" s="440">
        <v>4.4999999999999998E-2</v>
      </c>
      <c r="O565" s="390">
        <v>6.0000000000000001E-3</v>
      </c>
      <c r="P565" s="390">
        <v>0</v>
      </c>
      <c r="Q565" s="390">
        <v>0</v>
      </c>
      <c r="R565" s="390">
        <v>0</v>
      </c>
      <c r="S565" s="63" t="s">
        <v>476</v>
      </c>
      <c r="T565" s="63"/>
      <c r="U565" s="1039"/>
      <c r="V565" s="1039"/>
      <c r="W565" s="1039"/>
      <c r="X565" s="64" t="s">
        <v>2364</v>
      </c>
      <c r="Y565" s="439"/>
      <c r="Z565" s="439"/>
      <c r="AA565" s="439"/>
    </row>
    <row r="566" spans="1:27" ht="15" customHeight="1">
      <c r="A566" s="63">
        <f t="shared" si="63"/>
        <v>563</v>
      </c>
      <c r="B566" s="63" t="s">
        <v>2332</v>
      </c>
      <c r="C566" s="63" t="s">
        <v>2257</v>
      </c>
      <c r="D566" s="63" t="s">
        <v>2262</v>
      </c>
      <c r="E566" s="64">
        <v>1968</v>
      </c>
      <c r="F566" s="65" t="s">
        <v>189</v>
      </c>
      <c r="G566" s="389">
        <f t="shared" ref="G566:K616" si="64">+INDEX($AW$4:$AW$138,MATCH(G$3&amp;$M566,$AT$4:$AT$138,0))</f>
        <v>0.72</v>
      </c>
      <c r="H566" s="389">
        <f t="shared" si="64"/>
        <v>0.64</v>
      </c>
      <c r="I566" s="389">
        <f t="shared" si="64"/>
        <v>0.54999999999999993</v>
      </c>
      <c r="J566" s="389">
        <f t="shared" si="64"/>
        <v>0.47000000000000003</v>
      </c>
      <c r="K566" s="389">
        <f t="shared" si="64"/>
        <v>0.41000000000000003</v>
      </c>
      <c r="L566" s="720">
        <v>0.06</v>
      </c>
      <c r="M566" s="63" t="s">
        <v>3185</v>
      </c>
      <c r="N566" s="440">
        <v>4.4999999999999998E-2</v>
      </c>
      <c r="O566" s="390">
        <v>6.0000000000000001E-3</v>
      </c>
      <c r="P566" s="390">
        <v>0</v>
      </c>
      <c r="Q566" s="390">
        <v>0</v>
      </c>
      <c r="R566" s="390">
        <v>0</v>
      </c>
      <c r="S566" s="63" t="s">
        <v>476</v>
      </c>
      <c r="T566" s="63"/>
      <c r="U566" s="1039"/>
      <c r="V566" s="1039"/>
      <c r="W566" s="1039"/>
      <c r="X566" s="64" t="s">
        <v>2364</v>
      </c>
      <c r="Y566" s="439"/>
      <c r="Z566" s="439"/>
      <c r="AA566" s="439"/>
    </row>
    <row r="567" spans="1:27" ht="15" customHeight="1">
      <c r="A567" s="63">
        <f t="shared" si="63"/>
        <v>564</v>
      </c>
      <c r="B567" s="63" t="s">
        <v>1308</v>
      </c>
      <c r="C567" s="63" t="s">
        <v>2257</v>
      </c>
      <c r="D567" s="1234" t="s">
        <v>2263</v>
      </c>
      <c r="E567" s="64">
        <v>1968</v>
      </c>
      <c r="F567" s="65" t="s">
        <v>189</v>
      </c>
      <c r="G567" s="389">
        <f t="shared" si="64"/>
        <v>0.72</v>
      </c>
      <c r="H567" s="389">
        <f t="shared" si="64"/>
        <v>0.64</v>
      </c>
      <c r="I567" s="389">
        <f t="shared" si="64"/>
        <v>0.54999999999999993</v>
      </c>
      <c r="J567" s="389">
        <f t="shared" si="64"/>
        <v>0.47000000000000003</v>
      </c>
      <c r="K567" s="389">
        <f t="shared" si="64"/>
        <v>0.41000000000000003</v>
      </c>
      <c r="L567" s="720">
        <v>0.06</v>
      </c>
      <c r="M567" s="63" t="s">
        <v>3183</v>
      </c>
      <c r="N567" s="440">
        <v>4.4999999999999998E-2</v>
      </c>
      <c r="O567" s="390">
        <v>6.0000000000000001E-3</v>
      </c>
      <c r="P567" s="390">
        <v>0</v>
      </c>
      <c r="Q567" s="390">
        <v>0</v>
      </c>
      <c r="R567" s="390">
        <v>0</v>
      </c>
      <c r="S567" s="63" t="s">
        <v>476</v>
      </c>
      <c r="T567" s="63"/>
      <c r="U567" s="1039"/>
      <c r="V567" s="1039"/>
      <c r="W567" s="1039"/>
      <c r="X567" s="64" t="s">
        <v>2364</v>
      </c>
      <c r="Y567" s="439"/>
      <c r="Z567" s="439"/>
      <c r="AA567" s="439"/>
    </row>
    <row r="568" spans="1:27" ht="15" customHeight="1">
      <c r="A568" s="63">
        <f t="shared" si="63"/>
        <v>565</v>
      </c>
      <c r="B568" s="63" t="s">
        <v>1308</v>
      </c>
      <c r="C568" s="63" t="s">
        <v>2257</v>
      </c>
      <c r="D568" s="63" t="s">
        <v>2264</v>
      </c>
      <c r="E568" s="64">
        <v>1968</v>
      </c>
      <c r="F568" s="65" t="s">
        <v>189</v>
      </c>
      <c r="G568" s="389">
        <f t="shared" si="64"/>
        <v>0.72</v>
      </c>
      <c r="H568" s="389">
        <f t="shared" si="64"/>
        <v>0.64</v>
      </c>
      <c r="I568" s="389">
        <f t="shared" si="64"/>
        <v>0.54999999999999993</v>
      </c>
      <c r="J568" s="389">
        <f t="shared" si="64"/>
        <v>0.47000000000000003</v>
      </c>
      <c r="K568" s="389">
        <f t="shared" si="64"/>
        <v>0.41000000000000003</v>
      </c>
      <c r="L568" s="720">
        <v>0.06</v>
      </c>
      <c r="M568" s="63" t="s">
        <v>3183</v>
      </c>
      <c r="N568" s="440">
        <v>4.4999999999999998E-2</v>
      </c>
      <c r="O568" s="390">
        <v>6.0000000000000001E-3</v>
      </c>
      <c r="P568" s="390">
        <v>0</v>
      </c>
      <c r="Q568" s="390">
        <v>0</v>
      </c>
      <c r="R568" s="390">
        <v>0</v>
      </c>
      <c r="S568" s="63" t="s">
        <v>476</v>
      </c>
      <c r="T568" s="63"/>
      <c r="U568" s="1039"/>
      <c r="V568" s="1039"/>
      <c r="W568" s="1039"/>
      <c r="X568" s="64" t="s">
        <v>2364</v>
      </c>
      <c r="Y568" s="439"/>
      <c r="Z568" s="439"/>
      <c r="AA568" s="439"/>
    </row>
    <row r="569" spans="1:27" ht="15" customHeight="1">
      <c r="A569" s="63">
        <f t="shared" si="63"/>
        <v>566</v>
      </c>
      <c r="B569" s="63" t="s">
        <v>1308</v>
      </c>
      <c r="C569" s="63" t="s">
        <v>2257</v>
      </c>
      <c r="D569" s="63" t="s">
        <v>2411</v>
      </c>
      <c r="E569" s="64">
        <v>1968</v>
      </c>
      <c r="F569" s="65" t="s">
        <v>189</v>
      </c>
      <c r="G569" s="389">
        <f t="shared" si="64"/>
        <v>0.72</v>
      </c>
      <c r="H569" s="389">
        <f t="shared" si="64"/>
        <v>0.64</v>
      </c>
      <c r="I569" s="389">
        <f t="shared" si="64"/>
        <v>0.54999999999999993</v>
      </c>
      <c r="J569" s="389">
        <f t="shared" si="64"/>
        <v>0.47000000000000003</v>
      </c>
      <c r="K569" s="389">
        <f t="shared" si="64"/>
        <v>0.41000000000000003</v>
      </c>
      <c r="L569" s="720">
        <v>0.06</v>
      </c>
      <c r="M569" s="63" t="s">
        <v>3183</v>
      </c>
      <c r="N569" s="440">
        <v>4.4999999999999998E-2</v>
      </c>
      <c r="O569" s="390">
        <v>6.0000000000000001E-3</v>
      </c>
      <c r="P569" s="390">
        <v>0</v>
      </c>
      <c r="Q569" s="390">
        <v>0</v>
      </c>
      <c r="R569" s="390">
        <v>0</v>
      </c>
      <c r="S569" s="63" t="s">
        <v>476</v>
      </c>
      <c r="T569" s="63"/>
      <c r="U569" s="1039"/>
      <c r="V569" s="1039"/>
      <c r="W569" s="1039"/>
      <c r="X569" s="64" t="s">
        <v>2364</v>
      </c>
      <c r="Y569" s="439"/>
      <c r="Z569" s="439"/>
      <c r="AA569" s="439"/>
    </row>
    <row r="570" spans="1:27" ht="15" customHeight="1">
      <c r="A570" s="63">
        <f t="shared" si="63"/>
        <v>567</v>
      </c>
      <c r="B570" s="63" t="s">
        <v>1308</v>
      </c>
      <c r="C570" s="63" t="s">
        <v>2257</v>
      </c>
      <c r="D570" s="1234" t="s">
        <v>2265</v>
      </c>
      <c r="E570" s="64">
        <v>1984</v>
      </c>
      <c r="F570" s="65" t="s">
        <v>189</v>
      </c>
      <c r="G570" s="389">
        <f t="shared" si="64"/>
        <v>0.72</v>
      </c>
      <c r="H570" s="389">
        <f t="shared" si="64"/>
        <v>0.64</v>
      </c>
      <c r="I570" s="389">
        <f t="shared" si="64"/>
        <v>0.54999999999999993</v>
      </c>
      <c r="J570" s="389">
        <f t="shared" si="64"/>
        <v>0.47000000000000003</v>
      </c>
      <c r="K570" s="389">
        <f t="shared" si="64"/>
        <v>0.41000000000000003</v>
      </c>
      <c r="L570" s="720">
        <v>0.06</v>
      </c>
      <c r="M570" s="63" t="s">
        <v>3183</v>
      </c>
      <c r="N570" s="440">
        <v>4.4999999999999998E-2</v>
      </c>
      <c r="O570" s="390">
        <v>6.0000000000000001E-3</v>
      </c>
      <c r="P570" s="390">
        <v>0</v>
      </c>
      <c r="Q570" s="390">
        <v>0</v>
      </c>
      <c r="R570" s="390">
        <v>0</v>
      </c>
      <c r="S570" s="63" t="s">
        <v>476</v>
      </c>
      <c r="T570" s="63"/>
      <c r="U570" s="1039"/>
      <c r="V570" s="1039"/>
      <c r="W570" s="1039"/>
      <c r="X570" s="64" t="s">
        <v>2364</v>
      </c>
      <c r="Y570" s="439"/>
      <c r="Z570" s="439"/>
      <c r="AA570" s="439"/>
    </row>
    <row r="571" spans="1:27" ht="15" customHeight="1">
      <c r="A571" s="63">
        <f t="shared" si="63"/>
        <v>568</v>
      </c>
      <c r="B571" s="63" t="s">
        <v>2332</v>
      </c>
      <c r="C571" s="63" t="s">
        <v>2257</v>
      </c>
      <c r="D571" s="1234" t="s">
        <v>2266</v>
      </c>
      <c r="E571" s="64">
        <v>1968</v>
      </c>
      <c r="F571" s="65" t="s">
        <v>144</v>
      </c>
      <c r="G571" s="389">
        <f t="shared" si="64"/>
        <v>0.72</v>
      </c>
      <c r="H571" s="389">
        <f t="shared" si="64"/>
        <v>0.64</v>
      </c>
      <c r="I571" s="389">
        <f t="shared" si="64"/>
        <v>0.54999999999999993</v>
      </c>
      <c r="J571" s="389">
        <f t="shared" si="64"/>
        <v>0.47000000000000003</v>
      </c>
      <c r="K571" s="389">
        <f t="shared" si="64"/>
        <v>0.41000000000000003</v>
      </c>
      <c r="L571" s="720">
        <v>0.06</v>
      </c>
      <c r="M571" s="63" t="s">
        <v>3183</v>
      </c>
      <c r="N571" s="440">
        <v>4.4999999999999998E-2</v>
      </c>
      <c r="O571" s="390">
        <v>6.0000000000000001E-3</v>
      </c>
      <c r="P571" s="390">
        <v>0</v>
      </c>
      <c r="Q571" s="390">
        <v>0</v>
      </c>
      <c r="R571" s="390">
        <v>0</v>
      </c>
      <c r="S571" s="63" t="s">
        <v>476</v>
      </c>
      <c r="T571" s="63"/>
      <c r="U571" s="1039"/>
      <c r="V571" s="1039"/>
      <c r="W571" s="1039"/>
      <c r="X571" s="64" t="s">
        <v>2364</v>
      </c>
      <c r="Y571" s="439"/>
      <c r="Z571" s="439"/>
      <c r="AA571" s="439"/>
    </row>
    <row r="572" spans="1:27" ht="15" customHeight="1">
      <c r="A572" s="63">
        <f t="shared" si="63"/>
        <v>569</v>
      </c>
      <c r="B572" s="63" t="s">
        <v>1308</v>
      </c>
      <c r="C572" s="63" t="s">
        <v>2257</v>
      </c>
      <c r="D572" s="1234" t="s">
        <v>1464</v>
      </c>
      <c r="E572" s="64">
        <v>1968</v>
      </c>
      <c r="F572" s="65" t="s">
        <v>144</v>
      </c>
      <c r="G572" s="389">
        <f t="shared" si="64"/>
        <v>0.72</v>
      </c>
      <c r="H572" s="389">
        <f t="shared" si="64"/>
        <v>0.64</v>
      </c>
      <c r="I572" s="389">
        <f t="shared" si="64"/>
        <v>0.54999999999999993</v>
      </c>
      <c r="J572" s="389">
        <f t="shared" si="64"/>
        <v>0.47000000000000003</v>
      </c>
      <c r="K572" s="389">
        <f t="shared" si="64"/>
        <v>0.41000000000000003</v>
      </c>
      <c r="L572" s="720">
        <v>0.06</v>
      </c>
      <c r="M572" s="63" t="s">
        <v>3183</v>
      </c>
      <c r="N572" s="440">
        <v>4.4999999999999998E-2</v>
      </c>
      <c r="O572" s="390">
        <v>6.0000000000000001E-3</v>
      </c>
      <c r="P572" s="390">
        <v>0</v>
      </c>
      <c r="Q572" s="390">
        <v>0</v>
      </c>
      <c r="R572" s="390">
        <v>0</v>
      </c>
      <c r="S572" s="63" t="s">
        <v>476</v>
      </c>
      <c r="T572" s="63"/>
      <c r="U572" s="1039"/>
      <c r="V572" s="1039"/>
      <c r="W572" s="1039"/>
      <c r="X572" s="64" t="s">
        <v>2364</v>
      </c>
      <c r="Y572" s="439"/>
      <c r="Z572" s="439"/>
      <c r="AA572" s="439"/>
    </row>
    <row r="573" spans="1:27" ht="15" customHeight="1">
      <c r="A573" s="63">
        <f t="shared" si="63"/>
        <v>570</v>
      </c>
      <c r="B573" s="63" t="s">
        <v>1308</v>
      </c>
      <c r="C573" s="63" t="s">
        <v>2257</v>
      </c>
      <c r="D573" s="1234" t="s">
        <v>2267</v>
      </c>
      <c r="E573" s="64">
        <v>1984</v>
      </c>
      <c r="F573" s="65" t="s">
        <v>144</v>
      </c>
      <c r="G573" s="389">
        <f t="shared" si="64"/>
        <v>0.69</v>
      </c>
      <c r="H573" s="389">
        <f t="shared" si="64"/>
        <v>0.61</v>
      </c>
      <c r="I573" s="389">
        <f t="shared" si="64"/>
        <v>0.51999999999999991</v>
      </c>
      <c r="J573" s="389">
        <f t="shared" si="64"/>
        <v>0.44</v>
      </c>
      <c r="K573" s="389">
        <f t="shared" si="64"/>
        <v>0.38</v>
      </c>
      <c r="L573" s="720">
        <v>0.06</v>
      </c>
      <c r="M573" s="63" t="s">
        <v>3184</v>
      </c>
      <c r="N573" s="440">
        <v>4.4999999999999998E-2</v>
      </c>
      <c r="O573" s="390">
        <v>6.0000000000000001E-3</v>
      </c>
      <c r="P573" s="390">
        <v>0</v>
      </c>
      <c r="Q573" s="390">
        <v>0</v>
      </c>
      <c r="R573" s="390">
        <v>0</v>
      </c>
      <c r="S573" s="63" t="s">
        <v>476</v>
      </c>
      <c r="T573" s="63"/>
      <c r="U573" s="1039"/>
      <c r="V573" s="1039"/>
      <c r="W573" s="1039"/>
      <c r="X573" s="64" t="s">
        <v>2364</v>
      </c>
      <c r="Y573" s="439"/>
      <c r="Z573" s="439"/>
      <c r="AA573" s="439"/>
    </row>
    <row r="574" spans="1:27" ht="15" customHeight="1">
      <c r="A574" s="63">
        <f t="shared" si="63"/>
        <v>571</v>
      </c>
      <c r="B574" s="63" t="s">
        <v>1308</v>
      </c>
      <c r="C574" s="63" t="s">
        <v>2257</v>
      </c>
      <c r="D574" s="63" t="s">
        <v>1452</v>
      </c>
      <c r="E574" s="64">
        <v>2967</v>
      </c>
      <c r="F574" s="65" t="s">
        <v>620</v>
      </c>
      <c r="G574" s="389">
        <f t="shared" si="64"/>
        <v>0.67999999999999994</v>
      </c>
      <c r="H574" s="389">
        <f t="shared" si="64"/>
        <v>0.6</v>
      </c>
      <c r="I574" s="389">
        <f t="shared" si="64"/>
        <v>0.5099999999999999</v>
      </c>
      <c r="J574" s="389">
        <f t="shared" si="64"/>
        <v>0.43</v>
      </c>
      <c r="K574" s="389">
        <f t="shared" si="64"/>
        <v>0.37</v>
      </c>
      <c r="L574" s="720">
        <v>0.06</v>
      </c>
      <c r="M574" s="63" t="s">
        <v>3166</v>
      </c>
      <c r="N574" s="440">
        <v>4.4999999999999998E-2</v>
      </c>
      <c r="O574" s="390">
        <v>6.0000000000000001E-3</v>
      </c>
      <c r="P574" s="390">
        <v>0</v>
      </c>
      <c r="Q574" s="390">
        <v>0</v>
      </c>
      <c r="R574" s="390">
        <v>0</v>
      </c>
      <c r="S574" s="63" t="s">
        <v>476</v>
      </c>
      <c r="T574" s="63"/>
      <c r="U574" s="1039"/>
      <c r="V574" s="1039"/>
      <c r="W574" s="1039"/>
      <c r="X574" s="64" t="s">
        <v>2364</v>
      </c>
      <c r="Y574" s="439"/>
      <c r="Z574" s="439"/>
      <c r="AA574" s="439"/>
    </row>
    <row r="575" spans="1:27" ht="15" customHeight="1">
      <c r="A575" s="63">
        <f t="shared" si="63"/>
        <v>572</v>
      </c>
      <c r="B575" s="63" t="s">
        <v>1308</v>
      </c>
      <c r="C575" s="63" t="s">
        <v>2257</v>
      </c>
      <c r="D575" s="1234" t="s">
        <v>2268</v>
      </c>
      <c r="E575" s="64">
        <v>2967</v>
      </c>
      <c r="F575" s="65" t="s">
        <v>1870</v>
      </c>
      <c r="G575" s="389">
        <f t="shared" si="64"/>
        <v>0.67999999999999994</v>
      </c>
      <c r="H575" s="389">
        <f t="shared" si="64"/>
        <v>0.6</v>
      </c>
      <c r="I575" s="389">
        <f t="shared" si="64"/>
        <v>0.5099999999999999</v>
      </c>
      <c r="J575" s="389">
        <f t="shared" si="64"/>
        <v>0.43</v>
      </c>
      <c r="K575" s="389">
        <f t="shared" si="64"/>
        <v>0.37</v>
      </c>
      <c r="L575" s="720">
        <v>0.06</v>
      </c>
      <c r="M575" s="63" t="s">
        <v>3166</v>
      </c>
      <c r="N575" s="440">
        <v>4.4999999999999998E-2</v>
      </c>
      <c r="O575" s="390">
        <v>6.0000000000000001E-3</v>
      </c>
      <c r="P575" s="390">
        <v>0</v>
      </c>
      <c r="Q575" s="390">
        <v>0</v>
      </c>
      <c r="R575" s="390">
        <v>0</v>
      </c>
      <c r="S575" s="63" t="s">
        <v>476</v>
      </c>
      <c r="T575" s="63"/>
      <c r="U575" s="1039"/>
      <c r="V575" s="1039"/>
      <c r="W575" s="1039"/>
      <c r="X575" s="64" t="s">
        <v>2364</v>
      </c>
      <c r="Y575" s="439"/>
      <c r="Z575" s="439"/>
      <c r="AA575" s="439"/>
    </row>
    <row r="576" spans="1:27" ht="15" customHeight="1">
      <c r="A576" s="63">
        <f t="shared" si="63"/>
        <v>573</v>
      </c>
      <c r="B576" s="63" t="s">
        <v>1308</v>
      </c>
      <c r="C576" s="63" t="s">
        <v>2257</v>
      </c>
      <c r="D576" s="1234" t="s">
        <v>2412</v>
      </c>
      <c r="E576" s="64">
        <v>2967</v>
      </c>
      <c r="F576" s="65" t="s">
        <v>2035</v>
      </c>
      <c r="G576" s="389">
        <f t="shared" si="64"/>
        <v>0.67999999999999994</v>
      </c>
      <c r="H576" s="389">
        <f t="shared" si="64"/>
        <v>0.6</v>
      </c>
      <c r="I576" s="389">
        <f t="shared" si="64"/>
        <v>0.5099999999999999</v>
      </c>
      <c r="J576" s="389">
        <f t="shared" si="64"/>
        <v>0.43</v>
      </c>
      <c r="K576" s="389">
        <f t="shared" si="64"/>
        <v>0.37</v>
      </c>
      <c r="L576" s="720">
        <v>0.06</v>
      </c>
      <c r="M576" s="63" t="s">
        <v>3166</v>
      </c>
      <c r="N576" s="440">
        <v>4.4999999999999998E-2</v>
      </c>
      <c r="O576" s="390">
        <v>6.0000000000000001E-3</v>
      </c>
      <c r="P576" s="390">
        <v>0</v>
      </c>
      <c r="Q576" s="390">
        <v>0</v>
      </c>
      <c r="R576" s="390">
        <v>0</v>
      </c>
      <c r="S576" s="63" t="s">
        <v>476</v>
      </c>
      <c r="T576" s="63"/>
      <c r="U576" s="1039"/>
      <c r="V576" s="1039"/>
      <c r="W576" s="1039"/>
      <c r="X576" s="64" t="s">
        <v>2364</v>
      </c>
      <c r="Y576" s="439"/>
      <c r="Z576" s="439"/>
      <c r="AA576" s="439"/>
    </row>
    <row r="577" spans="1:27" ht="15" customHeight="1">
      <c r="A577" s="63">
        <f t="shared" si="63"/>
        <v>574</v>
      </c>
      <c r="B577" s="63" t="s">
        <v>1308</v>
      </c>
      <c r="C577" s="63" t="s">
        <v>2257</v>
      </c>
      <c r="D577" s="63" t="s">
        <v>2269</v>
      </c>
      <c r="E577" s="64">
        <v>0</v>
      </c>
      <c r="F577" s="65" t="s">
        <v>621</v>
      </c>
      <c r="G577" s="389">
        <f t="shared" si="64"/>
        <v>0.69</v>
      </c>
      <c r="H577" s="389">
        <f t="shared" si="64"/>
        <v>0.61</v>
      </c>
      <c r="I577" s="389">
        <f t="shared" si="64"/>
        <v>0.51999999999999991</v>
      </c>
      <c r="J577" s="389">
        <f t="shared" si="64"/>
        <v>0.44</v>
      </c>
      <c r="K577" s="389">
        <f t="shared" si="64"/>
        <v>0.38</v>
      </c>
      <c r="L577" s="720">
        <v>0.06</v>
      </c>
      <c r="M577" s="63" t="s">
        <v>3184</v>
      </c>
      <c r="N577" s="440">
        <v>4.4999999999999998E-2</v>
      </c>
      <c r="O577" s="390">
        <v>6.0000000000000001E-3</v>
      </c>
      <c r="P577" s="390">
        <v>0</v>
      </c>
      <c r="Q577" s="390">
        <v>0</v>
      </c>
      <c r="R577" s="390">
        <v>0</v>
      </c>
      <c r="S577" s="63" t="s">
        <v>476</v>
      </c>
      <c r="T577" s="63"/>
      <c r="U577" s="1039"/>
      <c r="V577" s="1039"/>
      <c r="W577" s="1039"/>
      <c r="X577" s="64" t="s">
        <v>2364</v>
      </c>
      <c r="Y577" s="439"/>
      <c r="Z577" s="439"/>
      <c r="AA577" s="439"/>
    </row>
    <row r="578" spans="1:27" ht="15" customHeight="1">
      <c r="A578" s="63">
        <f t="shared" si="63"/>
        <v>575</v>
      </c>
      <c r="B578" s="63" t="s">
        <v>1308</v>
      </c>
      <c r="C578" s="63" t="s">
        <v>2257</v>
      </c>
      <c r="D578" s="63" t="s">
        <v>2413</v>
      </c>
      <c r="E578" s="64">
        <v>0</v>
      </c>
      <c r="F578" s="65" t="s">
        <v>621</v>
      </c>
      <c r="G578" s="389">
        <f t="shared" si="64"/>
        <v>0.69</v>
      </c>
      <c r="H578" s="389">
        <f t="shared" si="64"/>
        <v>0.61</v>
      </c>
      <c r="I578" s="389">
        <f t="shared" si="64"/>
        <v>0.51999999999999991</v>
      </c>
      <c r="J578" s="389">
        <f t="shared" si="64"/>
        <v>0.44</v>
      </c>
      <c r="K578" s="389">
        <f t="shared" si="64"/>
        <v>0.38</v>
      </c>
      <c r="L578" s="720">
        <v>0.06</v>
      </c>
      <c r="M578" s="63" t="s">
        <v>3184</v>
      </c>
      <c r="N578" s="440">
        <v>4.4999999999999998E-2</v>
      </c>
      <c r="O578" s="390">
        <v>6.0000000000000001E-3</v>
      </c>
      <c r="P578" s="390">
        <v>0</v>
      </c>
      <c r="Q578" s="390">
        <v>0</v>
      </c>
      <c r="R578" s="390">
        <v>0</v>
      </c>
      <c r="S578" s="63" t="s">
        <v>476</v>
      </c>
      <c r="T578" s="63"/>
      <c r="U578" s="1039"/>
      <c r="V578" s="1039"/>
      <c r="W578" s="1039"/>
      <c r="X578" s="64" t="s">
        <v>2364</v>
      </c>
      <c r="Y578" s="439"/>
      <c r="Z578" s="439"/>
      <c r="AA578" s="439"/>
    </row>
    <row r="579" spans="1:27" ht="15" customHeight="1">
      <c r="A579" s="63">
        <f t="shared" si="63"/>
        <v>576</v>
      </c>
      <c r="B579" s="63" t="s">
        <v>2332</v>
      </c>
      <c r="C579" s="63" t="s">
        <v>2257</v>
      </c>
      <c r="D579" s="63" t="s">
        <v>2414</v>
      </c>
      <c r="E579" s="64">
        <v>0</v>
      </c>
      <c r="F579" s="65" t="s">
        <v>2036</v>
      </c>
      <c r="G579" s="389">
        <f t="shared" si="64"/>
        <v>0.69</v>
      </c>
      <c r="H579" s="389">
        <f t="shared" si="64"/>
        <v>0.61</v>
      </c>
      <c r="I579" s="389">
        <f t="shared" si="64"/>
        <v>0.51999999999999991</v>
      </c>
      <c r="J579" s="389">
        <f t="shared" si="64"/>
        <v>0.44</v>
      </c>
      <c r="K579" s="389">
        <f t="shared" si="64"/>
        <v>0.38</v>
      </c>
      <c r="L579" s="720">
        <v>0.06</v>
      </c>
      <c r="M579" s="63" t="s">
        <v>3184</v>
      </c>
      <c r="N579" s="440">
        <v>4.4999999999999998E-2</v>
      </c>
      <c r="O579" s="390">
        <v>6.0000000000000001E-3</v>
      </c>
      <c r="P579" s="390">
        <v>0</v>
      </c>
      <c r="Q579" s="390">
        <v>0</v>
      </c>
      <c r="R579" s="390">
        <v>0</v>
      </c>
      <c r="S579" s="63" t="s">
        <v>476</v>
      </c>
      <c r="T579" s="63"/>
      <c r="U579" s="1039"/>
      <c r="V579" s="1039"/>
      <c r="W579" s="1039"/>
      <c r="X579" s="64" t="s">
        <v>2364</v>
      </c>
      <c r="Y579" s="439"/>
      <c r="Z579" s="439"/>
      <c r="AA579" s="439"/>
    </row>
    <row r="580" spans="1:27" ht="15" customHeight="1">
      <c r="A580" s="63">
        <f t="shared" si="63"/>
        <v>577</v>
      </c>
      <c r="B580" s="63" t="s">
        <v>1308</v>
      </c>
      <c r="C580" s="63" t="s">
        <v>2257</v>
      </c>
      <c r="D580" s="63" t="s">
        <v>2270</v>
      </c>
      <c r="E580" s="64">
        <v>0</v>
      </c>
      <c r="F580" s="65" t="s">
        <v>621</v>
      </c>
      <c r="G580" s="389">
        <f t="shared" si="64"/>
        <v>0.69</v>
      </c>
      <c r="H580" s="389">
        <f t="shared" si="64"/>
        <v>0.61</v>
      </c>
      <c r="I580" s="389">
        <f t="shared" si="64"/>
        <v>0.51999999999999991</v>
      </c>
      <c r="J580" s="389">
        <f t="shared" si="64"/>
        <v>0.44</v>
      </c>
      <c r="K580" s="389">
        <f t="shared" si="64"/>
        <v>0.38</v>
      </c>
      <c r="L580" s="720">
        <v>0.06</v>
      </c>
      <c r="M580" s="63" t="s">
        <v>3184</v>
      </c>
      <c r="N580" s="440">
        <v>4.4999999999999998E-2</v>
      </c>
      <c r="O580" s="390">
        <v>6.0000000000000001E-3</v>
      </c>
      <c r="P580" s="390">
        <v>0</v>
      </c>
      <c r="Q580" s="390">
        <v>0</v>
      </c>
      <c r="R580" s="390">
        <v>0</v>
      </c>
      <c r="S580" s="63" t="s">
        <v>476</v>
      </c>
      <c r="T580" s="63"/>
      <c r="U580" s="1039"/>
      <c r="V580" s="1039"/>
      <c r="W580" s="1039"/>
      <c r="X580" s="64" t="s">
        <v>2364</v>
      </c>
      <c r="Y580" s="439"/>
      <c r="Z580" s="439"/>
      <c r="AA580" s="439"/>
    </row>
    <row r="581" spans="1:27" ht="15" customHeight="1">
      <c r="A581" s="63">
        <f t="shared" si="63"/>
        <v>578</v>
      </c>
      <c r="B581" s="63" t="s">
        <v>1308</v>
      </c>
      <c r="C581" s="63" t="s">
        <v>2257</v>
      </c>
      <c r="D581" s="63" t="s">
        <v>2415</v>
      </c>
      <c r="E581" s="64">
        <v>0</v>
      </c>
      <c r="F581" s="65" t="s">
        <v>621</v>
      </c>
      <c r="G581" s="389">
        <f t="shared" si="64"/>
        <v>0.69</v>
      </c>
      <c r="H581" s="389">
        <f t="shared" si="64"/>
        <v>0.61</v>
      </c>
      <c r="I581" s="389">
        <f t="shared" si="64"/>
        <v>0.51999999999999991</v>
      </c>
      <c r="J581" s="389">
        <f t="shared" si="64"/>
        <v>0.44</v>
      </c>
      <c r="K581" s="389">
        <f t="shared" si="64"/>
        <v>0.38</v>
      </c>
      <c r="L581" s="720">
        <v>0.06</v>
      </c>
      <c r="M581" s="63" t="s">
        <v>3184</v>
      </c>
      <c r="N581" s="440">
        <v>4.4999999999999998E-2</v>
      </c>
      <c r="O581" s="390">
        <v>6.0000000000000001E-3</v>
      </c>
      <c r="P581" s="390">
        <v>0</v>
      </c>
      <c r="Q581" s="390">
        <v>0</v>
      </c>
      <c r="R581" s="390">
        <v>0</v>
      </c>
      <c r="S581" s="63" t="s">
        <v>476</v>
      </c>
      <c r="T581" s="63"/>
      <c r="U581" s="1039"/>
      <c r="V581" s="1039"/>
      <c r="W581" s="1039"/>
      <c r="X581" s="64" t="s">
        <v>2364</v>
      </c>
      <c r="Y581" s="439"/>
      <c r="Z581" s="439"/>
      <c r="AA581" s="439"/>
    </row>
    <row r="582" spans="1:27" ht="15" customHeight="1">
      <c r="A582" s="63">
        <f t="shared" si="63"/>
        <v>579</v>
      </c>
      <c r="B582" s="63" t="s">
        <v>1308</v>
      </c>
      <c r="C582" s="63"/>
      <c r="D582" s="63"/>
      <c r="E582" s="64"/>
      <c r="F582" s="65"/>
      <c r="G582" s="389" t="e">
        <f t="shared" si="64"/>
        <v>#N/A</v>
      </c>
      <c r="H582" s="389" t="e">
        <f t="shared" si="64"/>
        <v>#N/A</v>
      </c>
      <c r="I582" s="389" t="e">
        <f t="shared" si="64"/>
        <v>#N/A</v>
      </c>
      <c r="J582" s="389" t="e">
        <f t="shared" si="64"/>
        <v>#N/A</v>
      </c>
      <c r="K582" s="389" t="e">
        <f t="shared" si="64"/>
        <v>#N/A</v>
      </c>
      <c r="L582" s="720"/>
      <c r="M582" s="63"/>
      <c r="N582" s="440"/>
      <c r="O582" s="390"/>
      <c r="P582" s="390">
        <v>0</v>
      </c>
      <c r="Q582" s="390">
        <v>0</v>
      </c>
      <c r="R582" s="390">
        <v>0</v>
      </c>
      <c r="S582" s="63" t="s">
        <v>476</v>
      </c>
      <c r="T582" s="63"/>
      <c r="U582" s="1039"/>
      <c r="V582" s="1039"/>
      <c r="W582" s="1039"/>
      <c r="X582" s="64" t="s">
        <v>2364</v>
      </c>
      <c r="Y582" s="439"/>
      <c r="Z582" s="439"/>
      <c r="AA582" s="439"/>
    </row>
    <row r="583" spans="1:27" ht="15" customHeight="1">
      <c r="A583" s="63">
        <f t="shared" si="63"/>
        <v>580</v>
      </c>
      <c r="B583" s="63" t="s">
        <v>1308</v>
      </c>
      <c r="C583" s="63"/>
      <c r="D583" s="63"/>
      <c r="E583" s="64"/>
      <c r="F583" s="65"/>
      <c r="G583" s="389" t="e">
        <f t="shared" si="64"/>
        <v>#N/A</v>
      </c>
      <c r="H583" s="389" t="e">
        <f t="shared" si="64"/>
        <v>#N/A</v>
      </c>
      <c r="I583" s="389" t="e">
        <f t="shared" si="64"/>
        <v>#N/A</v>
      </c>
      <c r="J583" s="389" t="e">
        <f t="shared" si="64"/>
        <v>#N/A</v>
      </c>
      <c r="K583" s="389" t="e">
        <f t="shared" si="64"/>
        <v>#N/A</v>
      </c>
      <c r="L583" s="720"/>
      <c r="M583" s="63"/>
      <c r="N583" s="440"/>
      <c r="O583" s="390"/>
      <c r="P583" s="390">
        <v>0</v>
      </c>
      <c r="Q583" s="390">
        <v>0</v>
      </c>
      <c r="R583" s="390">
        <v>0</v>
      </c>
      <c r="S583" s="63" t="s">
        <v>476</v>
      </c>
      <c r="T583" s="63"/>
      <c r="U583" s="1039"/>
      <c r="V583" s="1039"/>
      <c r="W583" s="1039"/>
      <c r="X583" s="64" t="s">
        <v>2364</v>
      </c>
      <c r="Y583" s="439"/>
      <c r="Z583" s="439"/>
      <c r="AA583" s="439"/>
    </row>
    <row r="584" spans="1:27" ht="15" customHeight="1">
      <c r="A584" s="63">
        <f t="shared" si="63"/>
        <v>581</v>
      </c>
      <c r="B584" s="63" t="s">
        <v>1308</v>
      </c>
      <c r="C584" s="63"/>
      <c r="D584" s="63"/>
      <c r="E584" s="64"/>
      <c r="F584" s="65"/>
      <c r="G584" s="389" t="e">
        <f t="shared" si="64"/>
        <v>#N/A</v>
      </c>
      <c r="H584" s="389" t="e">
        <f t="shared" si="64"/>
        <v>#N/A</v>
      </c>
      <c r="I584" s="389" t="e">
        <f t="shared" si="64"/>
        <v>#N/A</v>
      </c>
      <c r="J584" s="389" t="e">
        <f t="shared" si="64"/>
        <v>#N/A</v>
      </c>
      <c r="K584" s="389" t="e">
        <f t="shared" si="64"/>
        <v>#N/A</v>
      </c>
      <c r="L584" s="720"/>
      <c r="M584" s="63"/>
      <c r="N584" s="440"/>
      <c r="O584" s="390"/>
      <c r="P584" s="390">
        <v>0</v>
      </c>
      <c r="Q584" s="390">
        <v>0</v>
      </c>
      <c r="R584" s="390">
        <v>0</v>
      </c>
      <c r="S584" s="63" t="s">
        <v>476</v>
      </c>
      <c r="T584" s="63"/>
      <c r="U584" s="1039"/>
      <c r="V584" s="1039"/>
      <c r="W584" s="1039"/>
      <c r="X584" s="64" t="s">
        <v>2364</v>
      </c>
      <c r="Y584" s="439"/>
      <c r="Z584" s="439"/>
      <c r="AA584" s="439"/>
    </row>
    <row r="585" spans="1:27" ht="15" customHeight="1">
      <c r="A585" s="63">
        <f t="shared" si="63"/>
        <v>582</v>
      </c>
      <c r="B585" s="63" t="s">
        <v>1308</v>
      </c>
      <c r="C585" s="63"/>
      <c r="D585" s="63"/>
      <c r="E585" s="64"/>
      <c r="F585" s="65"/>
      <c r="G585" s="389" t="e">
        <f t="shared" si="64"/>
        <v>#N/A</v>
      </c>
      <c r="H585" s="389" t="e">
        <f t="shared" si="64"/>
        <v>#N/A</v>
      </c>
      <c r="I585" s="389" t="e">
        <f t="shared" si="64"/>
        <v>#N/A</v>
      </c>
      <c r="J585" s="389" t="e">
        <f t="shared" si="64"/>
        <v>#N/A</v>
      </c>
      <c r="K585" s="389" t="e">
        <f t="shared" si="64"/>
        <v>#N/A</v>
      </c>
      <c r="L585" s="720"/>
      <c r="M585" s="63"/>
      <c r="N585" s="440"/>
      <c r="O585" s="390"/>
      <c r="P585" s="390">
        <v>0</v>
      </c>
      <c r="Q585" s="390">
        <v>0</v>
      </c>
      <c r="R585" s="390">
        <v>0</v>
      </c>
      <c r="S585" s="63" t="s">
        <v>476</v>
      </c>
      <c r="T585" s="63"/>
      <c r="U585" s="1039"/>
      <c r="V585" s="1039"/>
      <c r="W585" s="1039"/>
      <c r="X585" s="64" t="s">
        <v>2364</v>
      </c>
      <c r="Y585" s="439"/>
      <c r="Z585" s="439"/>
      <c r="AA585" s="439"/>
    </row>
    <row r="586" spans="1:27" ht="15" customHeight="1">
      <c r="A586" s="63">
        <f t="shared" si="63"/>
        <v>583</v>
      </c>
      <c r="B586" s="63" t="s">
        <v>1308</v>
      </c>
      <c r="C586" s="63"/>
      <c r="D586" s="63"/>
      <c r="E586" s="64"/>
      <c r="F586" s="65"/>
      <c r="G586" s="389" t="e">
        <f t="shared" si="64"/>
        <v>#N/A</v>
      </c>
      <c r="H586" s="389" t="e">
        <f t="shared" si="64"/>
        <v>#N/A</v>
      </c>
      <c r="I586" s="389" t="e">
        <f t="shared" si="64"/>
        <v>#N/A</v>
      </c>
      <c r="J586" s="389" t="e">
        <f t="shared" si="64"/>
        <v>#N/A</v>
      </c>
      <c r="K586" s="389" t="e">
        <f t="shared" si="64"/>
        <v>#N/A</v>
      </c>
      <c r="L586" s="720"/>
      <c r="M586" s="63"/>
      <c r="N586" s="440"/>
      <c r="O586" s="390"/>
      <c r="P586" s="390">
        <v>0</v>
      </c>
      <c r="Q586" s="390">
        <v>0</v>
      </c>
      <c r="R586" s="390">
        <v>0</v>
      </c>
      <c r="S586" s="63" t="s">
        <v>476</v>
      </c>
      <c r="T586" s="63"/>
      <c r="U586" s="1039"/>
      <c r="V586" s="1039"/>
      <c r="W586" s="1039"/>
      <c r="X586" s="64" t="s">
        <v>2364</v>
      </c>
      <c r="Y586" s="439"/>
      <c r="Z586" s="439"/>
      <c r="AA586" s="439"/>
    </row>
    <row r="587" spans="1:27" ht="15" customHeight="1">
      <c r="A587" s="63">
        <f t="shared" si="63"/>
        <v>584</v>
      </c>
      <c r="B587" s="63" t="s">
        <v>1308</v>
      </c>
      <c r="C587" s="63" t="s">
        <v>2271</v>
      </c>
      <c r="D587" s="1234" t="s">
        <v>2272</v>
      </c>
      <c r="E587" s="64">
        <v>3604</v>
      </c>
      <c r="F587" s="65" t="s">
        <v>189</v>
      </c>
      <c r="G587" s="389">
        <f t="shared" si="64"/>
        <v>0.65999999999999992</v>
      </c>
      <c r="H587" s="389">
        <f t="shared" si="64"/>
        <v>0.57999999999999996</v>
      </c>
      <c r="I587" s="389">
        <f t="shared" si="64"/>
        <v>0.48999999999999988</v>
      </c>
      <c r="J587" s="389">
        <f t="shared" si="64"/>
        <v>0.41</v>
      </c>
      <c r="K587" s="389">
        <f t="shared" si="64"/>
        <v>0.35</v>
      </c>
      <c r="L587" s="720">
        <v>0.06</v>
      </c>
      <c r="M587" s="63" t="s">
        <v>3161</v>
      </c>
      <c r="N587" s="440">
        <v>4.4999999999999998E-2</v>
      </c>
      <c r="O587" s="390">
        <v>6.0000000000000001E-3</v>
      </c>
      <c r="P587" s="390">
        <v>0</v>
      </c>
      <c r="Q587" s="390">
        <v>0</v>
      </c>
      <c r="R587" s="390">
        <v>0</v>
      </c>
      <c r="S587" s="63" t="s">
        <v>476</v>
      </c>
      <c r="T587" s="63"/>
      <c r="U587" s="1039"/>
      <c r="V587" s="1039"/>
      <c r="W587" s="1039"/>
      <c r="X587" s="64" t="s">
        <v>2364</v>
      </c>
      <c r="Y587" s="439"/>
      <c r="Z587" s="439"/>
      <c r="AA587" s="439"/>
    </row>
    <row r="588" spans="1:27" ht="15" customHeight="1">
      <c r="A588" s="63">
        <f t="shared" si="63"/>
        <v>585</v>
      </c>
      <c r="B588" s="63" t="s">
        <v>1308</v>
      </c>
      <c r="C588" s="63" t="s">
        <v>2416</v>
      </c>
      <c r="D588" s="1234" t="s">
        <v>1667</v>
      </c>
      <c r="E588" s="64">
        <v>1995</v>
      </c>
      <c r="F588" s="65" t="s">
        <v>189</v>
      </c>
      <c r="G588" s="389">
        <f t="shared" si="64"/>
        <v>0.65999999999999992</v>
      </c>
      <c r="H588" s="389">
        <f t="shared" si="64"/>
        <v>0.57999999999999996</v>
      </c>
      <c r="I588" s="389">
        <f t="shared" si="64"/>
        <v>0.48999999999999988</v>
      </c>
      <c r="J588" s="389">
        <f t="shared" si="64"/>
        <v>0.41</v>
      </c>
      <c r="K588" s="389">
        <f t="shared" si="64"/>
        <v>0.35</v>
      </c>
      <c r="L588" s="720">
        <v>0.06</v>
      </c>
      <c r="M588" s="63" t="s">
        <v>3161</v>
      </c>
      <c r="N588" s="440">
        <v>4.4999999999999998E-2</v>
      </c>
      <c r="O588" s="390">
        <v>6.0000000000000001E-3</v>
      </c>
      <c r="P588" s="390">
        <v>0</v>
      </c>
      <c r="Q588" s="390">
        <v>0</v>
      </c>
      <c r="R588" s="390">
        <v>0</v>
      </c>
      <c r="S588" s="63" t="s">
        <v>476</v>
      </c>
      <c r="T588" s="63"/>
      <c r="U588" s="1039"/>
      <c r="V588" s="1039"/>
      <c r="W588" s="1039"/>
      <c r="X588" s="64" t="s">
        <v>2364</v>
      </c>
      <c r="Y588" s="439"/>
      <c r="Z588" s="439"/>
      <c r="AA588" s="439"/>
    </row>
    <row r="589" spans="1:27" ht="15" customHeight="1">
      <c r="A589" s="63">
        <f t="shared" si="63"/>
        <v>586</v>
      </c>
      <c r="B589" s="63" t="s">
        <v>1308</v>
      </c>
      <c r="C589" s="63" t="s">
        <v>2271</v>
      </c>
      <c r="D589" s="1234" t="s">
        <v>2273</v>
      </c>
      <c r="E589" s="64">
        <v>1995</v>
      </c>
      <c r="F589" s="65" t="s">
        <v>189</v>
      </c>
      <c r="G589" s="389">
        <f t="shared" si="64"/>
        <v>0.65999999999999992</v>
      </c>
      <c r="H589" s="389">
        <f t="shared" si="64"/>
        <v>0.57999999999999996</v>
      </c>
      <c r="I589" s="389">
        <f t="shared" si="64"/>
        <v>0.48999999999999988</v>
      </c>
      <c r="J589" s="389">
        <f t="shared" si="64"/>
        <v>0.41</v>
      </c>
      <c r="K589" s="389">
        <f t="shared" si="64"/>
        <v>0.35</v>
      </c>
      <c r="L589" s="720">
        <v>0.06</v>
      </c>
      <c r="M589" s="63" t="s">
        <v>3161</v>
      </c>
      <c r="N589" s="440">
        <v>4.4999999999999998E-2</v>
      </c>
      <c r="O589" s="390">
        <v>6.0000000000000001E-3</v>
      </c>
      <c r="P589" s="390">
        <v>0</v>
      </c>
      <c r="Q589" s="390">
        <v>0</v>
      </c>
      <c r="R589" s="390">
        <v>0</v>
      </c>
      <c r="S589" s="63" t="s">
        <v>476</v>
      </c>
      <c r="T589" s="63"/>
      <c r="U589" s="1039"/>
      <c r="V589" s="1039"/>
      <c r="W589" s="1039"/>
      <c r="X589" s="64" t="s">
        <v>2364</v>
      </c>
      <c r="Y589" s="439"/>
      <c r="Z589" s="439"/>
      <c r="AA589" s="439"/>
    </row>
    <row r="590" spans="1:27" ht="15" customHeight="1">
      <c r="A590" s="63">
        <f t="shared" si="63"/>
        <v>587</v>
      </c>
      <c r="B590" s="63" t="s">
        <v>1308</v>
      </c>
      <c r="C590" s="63" t="s">
        <v>2271</v>
      </c>
      <c r="D590" s="1234" t="s">
        <v>2274</v>
      </c>
      <c r="E590" s="64">
        <v>3604</v>
      </c>
      <c r="F590" s="65" t="s">
        <v>189</v>
      </c>
      <c r="G590" s="389">
        <f t="shared" si="64"/>
        <v>0.65999999999999992</v>
      </c>
      <c r="H590" s="389">
        <f t="shared" si="64"/>
        <v>0.57999999999999996</v>
      </c>
      <c r="I590" s="389">
        <f t="shared" si="64"/>
        <v>0.48999999999999988</v>
      </c>
      <c r="J590" s="389">
        <f t="shared" si="64"/>
        <v>0.41</v>
      </c>
      <c r="K590" s="389">
        <f t="shared" si="64"/>
        <v>0.35</v>
      </c>
      <c r="L590" s="720">
        <v>0.06</v>
      </c>
      <c r="M590" s="63" t="s">
        <v>3161</v>
      </c>
      <c r="N590" s="440">
        <v>4.4999999999999998E-2</v>
      </c>
      <c r="O590" s="390">
        <v>6.0000000000000001E-3</v>
      </c>
      <c r="P590" s="390">
        <v>0</v>
      </c>
      <c r="Q590" s="390">
        <v>0</v>
      </c>
      <c r="R590" s="390">
        <v>0</v>
      </c>
      <c r="S590" s="63" t="s">
        <v>476</v>
      </c>
      <c r="T590" s="63"/>
      <c r="U590" s="1039"/>
      <c r="V590" s="1039"/>
      <c r="W590" s="1039"/>
      <c r="X590" s="64" t="s">
        <v>2364</v>
      </c>
      <c r="Y590" s="439"/>
      <c r="Z590" s="439"/>
      <c r="AA590" s="439"/>
    </row>
    <row r="591" spans="1:27" ht="15" customHeight="1">
      <c r="A591" s="63">
        <f t="shared" si="63"/>
        <v>588</v>
      </c>
      <c r="B591" s="63" t="s">
        <v>1308</v>
      </c>
      <c r="C591" s="63" t="s">
        <v>2271</v>
      </c>
      <c r="D591" s="1234" t="s">
        <v>2275</v>
      </c>
      <c r="E591" s="64">
        <v>3604</v>
      </c>
      <c r="F591" s="65" t="s">
        <v>189</v>
      </c>
      <c r="G591" s="389">
        <f t="shared" si="64"/>
        <v>0.65999999999999992</v>
      </c>
      <c r="H591" s="389">
        <f t="shared" si="64"/>
        <v>0.57999999999999996</v>
      </c>
      <c r="I591" s="389">
        <f t="shared" si="64"/>
        <v>0.48999999999999988</v>
      </c>
      <c r="J591" s="389">
        <f t="shared" si="64"/>
        <v>0.41</v>
      </c>
      <c r="K591" s="389">
        <f t="shared" si="64"/>
        <v>0.35</v>
      </c>
      <c r="L591" s="720">
        <v>0.06</v>
      </c>
      <c r="M591" s="63" t="s">
        <v>3161</v>
      </c>
      <c r="N591" s="440">
        <v>4.4999999999999998E-2</v>
      </c>
      <c r="O591" s="390">
        <v>6.0000000000000001E-3</v>
      </c>
      <c r="P591" s="390">
        <v>0</v>
      </c>
      <c r="Q591" s="390">
        <v>0</v>
      </c>
      <c r="R591" s="390">
        <v>0</v>
      </c>
      <c r="S591" s="63" t="s">
        <v>476</v>
      </c>
      <c r="T591" s="63"/>
      <c r="U591" s="1039"/>
      <c r="V591" s="1039"/>
      <c r="W591" s="1039"/>
      <c r="X591" s="64" t="s">
        <v>2364</v>
      </c>
      <c r="Y591" s="439"/>
      <c r="Z591" s="439"/>
      <c r="AA591" s="439"/>
    </row>
    <row r="592" spans="1:27" ht="15" customHeight="1">
      <c r="A592" s="63">
        <f t="shared" si="63"/>
        <v>589</v>
      </c>
      <c r="B592" s="63" t="s">
        <v>1308</v>
      </c>
      <c r="C592" s="63" t="s">
        <v>2271</v>
      </c>
      <c r="D592" s="1234" t="s">
        <v>1409</v>
      </c>
      <c r="E592" s="64">
        <v>3604</v>
      </c>
      <c r="F592" s="65" t="s">
        <v>189</v>
      </c>
      <c r="G592" s="389">
        <f t="shared" si="64"/>
        <v>0.65999999999999992</v>
      </c>
      <c r="H592" s="389">
        <f t="shared" si="64"/>
        <v>0.57999999999999996</v>
      </c>
      <c r="I592" s="389">
        <f t="shared" si="64"/>
        <v>0.48999999999999988</v>
      </c>
      <c r="J592" s="389">
        <f t="shared" si="64"/>
        <v>0.41</v>
      </c>
      <c r="K592" s="389">
        <f t="shared" si="64"/>
        <v>0.35</v>
      </c>
      <c r="L592" s="720">
        <v>0.06</v>
      </c>
      <c r="M592" s="63" t="s">
        <v>3161</v>
      </c>
      <c r="N592" s="440">
        <v>4.4999999999999998E-2</v>
      </c>
      <c r="O592" s="390">
        <v>6.0000000000000001E-3</v>
      </c>
      <c r="P592" s="390">
        <v>0</v>
      </c>
      <c r="Q592" s="390">
        <v>0</v>
      </c>
      <c r="R592" s="390">
        <v>0</v>
      </c>
      <c r="S592" s="63" t="s">
        <v>476</v>
      </c>
      <c r="T592" s="63"/>
      <c r="U592" s="1039"/>
      <c r="V592" s="1039"/>
      <c r="W592" s="1039"/>
      <c r="X592" s="64" t="s">
        <v>2364</v>
      </c>
      <c r="Y592" s="439"/>
      <c r="Z592" s="439"/>
      <c r="AA592" s="439"/>
    </row>
    <row r="593" spans="1:27" ht="15" customHeight="1">
      <c r="A593" s="63">
        <f t="shared" si="63"/>
        <v>590</v>
      </c>
      <c r="B593" s="63" t="s">
        <v>1308</v>
      </c>
      <c r="C593" s="63" t="s">
        <v>2271</v>
      </c>
      <c r="D593" s="1234" t="s">
        <v>1465</v>
      </c>
      <c r="E593" s="64">
        <v>3604</v>
      </c>
      <c r="F593" s="65" t="s">
        <v>189</v>
      </c>
      <c r="G593" s="389">
        <f t="shared" si="64"/>
        <v>0.65999999999999992</v>
      </c>
      <c r="H593" s="389">
        <f t="shared" si="64"/>
        <v>0.57999999999999996</v>
      </c>
      <c r="I593" s="389">
        <f t="shared" si="64"/>
        <v>0.48999999999999988</v>
      </c>
      <c r="J593" s="389">
        <f t="shared" si="64"/>
        <v>0.41</v>
      </c>
      <c r="K593" s="389">
        <f t="shared" si="64"/>
        <v>0.35</v>
      </c>
      <c r="L593" s="720">
        <v>0.06</v>
      </c>
      <c r="M593" s="63" t="s">
        <v>3161</v>
      </c>
      <c r="N593" s="440">
        <v>4.4999999999999998E-2</v>
      </c>
      <c r="O593" s="390">
        <v>6.0000000000000001E-3</v>
      </c>
      <c r="P593" s="390">
        <v>0</v>
      </c>
      <c r="Q593" s="390">
        <v>0</v>
      </c>
      <c r="R593" s="390">
        <v>0</v>
      </c>
      <c r="S593" s="63" t="s">
        <v>476</v>
      </c>
      <c r="T593" s="63"/>
      <c r="U593" s="1039"/>
      <c r="V593" s="1039"/>
      <c r="W593" s="1039"/>
      <c r="X593" s="64" t="s">
        <v>2364</v>
      </c>
      <c r="Y593" s="439"/>
      <c r="Z593" s="439"/>
      <c r="AA593" s="439"/>
    </row>
    <row r="594" spans="1:27" ht="15" customHeight="1">
      <c r="A594" s="63">
        <f t="shared" si="63"/>
        <v>591</v>
      </c>
      <c r="B594" s="63" t="s">
        <v>1308</v>
      </c>
      <c r="C594" s="63" t="s">
        <v>2271</v>
      </c>
      <c r="D594" s="63" t="s">
        <v>2276</v>
      </c>
      <c r="E594" s="64">
        <v>1332</v>
      </c>
      <c r="F594" s="65" t="s">
        <v>189</v>
      </c>
      <c r="G594" s="389">
        <f t="shared" si="64"/>
        <v>0.65999999999999992</v>
      </c>
      <c r="H594" s="389">
        <f t="shared" si="64"/>
        <v>0.57999999999999996</v>
      </c>
      <c r="I594" s="389">
        <f t="shared" si="64"/>
        <v>0.48999999999999988</v>
      </c>
      <c r="J594" s="389">
        <f t="shared" si="64"/>
        <v>0.41</v>
      </c>
      <c r="K594" s="389">
        <f t="shared" si="64"/>
        <v>0.35</v>
      </c>
      <c r="L594" s="720">
        <v>0.06</v>
      </c>
      <c r="M594" s="63" t="s">
        <v>3161</v>
      </c>
      <c r="N594" s="440">
        <v>4.4999999999999998E-2</v>
      </c>
      <c r="O594" s="390">
        <v>6.0000000000000001E-3</v>
      </c>
      <c r="P594" s="390">
        <v>0</v>
      </c>
      <c r="Q594" s="390">
        <v>0</v>
      </c>
      <c r="R594" s="390">
        <v>0</v>
      </c>
      <c r="S594" s="63" t="s">
        <v>476</v>
      </c>
      <c r="T594" s="63"/>
      <c r="U594" s="1039"/>
      <c r="V594" s="1039"/>
      <c r="W594" s="1039"/>
      <c r="X594" s="64" t="s">
        <v>2364</v>
      </c>
      <c r="Y594" s="439"/>
      <c r="Z594" s="439"/>
      <c r="AA594" s="439"/>
    </row>
    <row r="595" spans="1:27" ht="15" customHeight="1">
      <c r="A595" s="63">
        <f t="shared" si="63"/>
        <v>592</v>
      </c>
      <c r="B595" s="63" t="s">
        <v>1308</v>
      </c>
      <c r="C595" s="63" t="s">
        <v>2271</v>
      </c>
      <c r="D595" s="1234" t="s">
        <v>2277</v>
      </c>
      <c r="E595" s="64">
        <v>1332</v>
      </c>
      <c r="F595" s="65" t="s">
        <v>189</v>
      </c>
      <c r="G595" s="389">
        <f t="shared" si="64"/>
        <v>0.65999999999999992</v>
      </c>
      <c r="H595" s="389">
        <f t="shared" si="64"/>
        <v>0.57999999999999996</v>
      </c>
      <c r="I595" s="389">
        <f t="shared" si="64"/>
        <v>0.48999999999999988</v>
      </c>
      <c r="J595" s="389">
        <f t="shared" si="64"/>
        <v>0.41</v>
      </c>
      <c r="K595" s="389">
        <f t="shared" si="64"/>
        <v>0.35</v>
      </c>
      <c r="L595" s="720">
        <v>0.06</v>
      </c>
      <c r="M595" s="63" t="s">
        <v>3161</v>
      </c>
      <c r="N595" s="440">
        <v>4.4999999999999998E-2</v>
      </c>
      <c r="O595" s="390">
        <v>6.0000000000000001E-3</v>
      </c>
      <c r="P595" s="390">
        <v>0</v>
      </c>
      <c r="Q595" s="390">
        <v>0</v>
      </c>
      <c r="R595" s="390">
        <v>0</v>
      </c>
      <c r="S595" s="63" t="s">
        <v>476</v>
      </c>
      <c r="T595" s="63"/>
      <c r="U595" s="1039"/>
      <c r="V595" s="1039"/>
      <c r="W595" s="1039"/>
      <c r="X595" s="64" t="s">
        <v>2364</v>
      </c>
      <c r="Y595" s="439"/>
      <c r="Z595" s="439"/>
      <c r="AA595" s="439"/>
    </row>
    <row r="596" spans="1:27" ht="15" customHeight="1">
      <c r="A596" s="63">
        <f t="shared" si="63"/>
        <v>593</v>
      </c>
      <c r="B596" s="63" t="s">
        <v>1308</v>
      </c>
      <c r="C596" s="63" t="s">
        <v>2271</v>
      </c>
      <c r="D596" s="63" t="s">
        <v>2417</v>
      </c>
      <c r="E596" s="64">
        <v>1332</v>
      </c>
      <c r="F596" s="65" t="s">
        <v>189</v>
      </c>
      <c r="G596" s="389">
        <f t="shared" si="64"/>
        <v>0.65999999999999992</v>
      </c>
      <c r="H596" s="389">
        <f t="shared" si="64"/>
        <v>0.57999999999999996</v>
      </c>
      <c r="I596" s="389">
        <f t="shared" si="64"/>
        <v>0.48999999999999988</v>
      </c>
      <c r="J596" s="389">
        <f t="shared" si="64"/>
        <v>0.41</v>
      </c>
      <c r="K596" s="389">
        <f t="shared" si="64"/>
        <v>0.35</v>
      </c>
      <c r="L596" s="720">
        <v>0.06</v>
      </c>
      <c r="M596" s="63" t="s">
        <v>3161</v>
      </c>
      <c r="N596" s="440">
        <v>4.4999999999999998E-2</v>
      </c>
      <c r="O596" s="390">
        <v>6.0000000000000001E-3</v>
      </c>
      <c r="P596" s="390">
        <v>0</v>
      </c>
      <c r="Q596" s="390">
        <v>0</v>
      </c>
      <c r="R596" s="390">
        <v>0</v>
      </c>
      <c r="S596" s="63" t="s">
        <v>476</v>
      </c>
      <c r="T596" s="63"/>
      <c r="U596" s="1039"/>
      <c r="V596" s="1039"/>
      <c r="W596" s="1039"/>
      <c r="X596" s="64" t="s">
        <v>2364</v>
      </c>
      <c r="Y596" s="439"/>
      <c r="Z596" s="439"/>
      <c r="AA596" s="439"/>
    </row>
    <row r="597" spans="1:27" ht="15" customHeight="1">
      <c r="A597" s="63">
        <f t="shared" si="63"/>
        <v>594</v>
      </c>
      <c r="B597" s="63" t="s">
        <v>1308</v>
      </c>
      <c r="C597" s="63" t="s">
        <v>2271</v>
      </c>
      <c r="D597" s="1234" t="s">
        <v>1410</v>
      </c>
      <c r="E597" s="64">
        <v>1995</v>
      </c>
      <c r="F597" s="65" t="s">
        <v>189</v>
      </c>
      <c r="G597" s="389">
        <f t="shared" si="64"/>
        <v>0.65999999999999992</v>
      </c>
      <c r="H597" s="389">
        <f t="shared" si="64"/>
        <v>0.57999999999999996</v>
      </c>
      <c r="I597" s="389">
        <f t="shared" si="64"/>
        <v>0.48999999999999988</v>
      </c>
      <c r="J597" s="389">
        <f t="shared" si="64"/>
        <v>0.41</v>
      </c>
      <c r="K597" s="389">
        <f t="shared" si="64"/>
        <v>0.35</v>
      </c>
      <c r="L597" s="720">
        <v>0.06</v>
      </c>
      <c r="M597" s="63" t="s">
        <v>3161</v>
      </c>
      <c r="N597" s="440">
        <v>4.4999999999999998E-2</v>
      </c>
      <c r="O597" s="390">
        <v>6.0000000000000001E-3</v>
      </c>
      <c r="P597" s="390">
        <v>0</v>
      </c>
      <c r="Q597" s="390">
        <v>0</v>
      </c>
      <c r="R597" s="390">
        <v>0</v>
      </c>
      <c r="S597" s="63" t="s">
        <v>476</v>
      </c>
      <c r="T597" s="63"/>
      <c r="U597" s="1039"/>
      <c r="V597" s="1039"/>
      <c r="W597" s="1039"/>
      <c r="X597" s="64" t="s">
        <v>2364</v>
      </c>
      <c r="Y597" s="439"/>
      <c r="Z597" s="439"/>
      <c r="AA597" s="439"/>
    </row>
    <row r="598" spans="1:27" ht="15" customHeight="1">
      <c r="A598" s="63">
        <f t="shared" si="63"/>
        <v>595</v>
      </c>
      <c r="B598" s="63" t="s">
        <v>2332</v>
      </c>
      <c r="C598" s="63" t="s">
        <v>2271</v>
      </c>
      <c r="D598" s="1234" t="s">
        <v>1411</v>
      </c>
      <c r="E598" s="64">
        <v>1995</v>
      </c>
      <c r="F598" s="65" t="s">
        <v>189</v>
      </c>
      <c r="G598" s="389">
        <f t="shared" si="64"/>
        <v>0.65999999999999992</v>
      </c>
      <c r="H598" s="389">
        <f t="shared" si="64"/>
        <v>0.57999999999999996</v>
      </c>
      <c r="I598" s="389">
        <f t="shared" si="64"/>
        <v>0.48999999999999988</v>
      </c>
      <c r="J598" s="389">
        <f t="shared" si="64"/>
        <v>0.41</v>
      </c>
      <c r="K598" s="389">
        <f t="shared" si="64"/>
        <v>0.35</v>
      </c>
      <c r="L598" s="720">
        <v>0.06</v>
      </c>
      <c r="M598" s="63" t="s">
        <v>3161</v>
      </c>
      <c r="N598" s="440">
        <v>4.4999999999999998E-2</v>
      </c>
      <c r="O598" s="390">
        <v>6.0000000000000001E-3</v>
      </c>
      <c r="P598" s="390">
        <v>0</v>
      </c>
      <c r="Q598" s="390">
        <v>0</v>
      </c>
      <c r="R598" s="390">
        <v>0</v>
      </c>
      <c r="S598" s="63" t="s">
        <v>476</v>
      </c>
      <c r="T598" s="63"/>
      <c r="U598" s="1039"/>
      <c r="V598" s="1039"/>
      <c r="W598" s="1039"/>
      <c r="X598" s="64" t="s">
        <v>2364</v>
      </c>
      <c r="Y598" s="439"/>
      <c r="Z598" s="439"/>
      <c r="AA598" s="439"/>
    </row>
    <row r="599" spans="1:27" ht="15" customHeight="1">
      <c r="A599" s="63">
        <f t="shared" si="63"/>
        <v>596</v>
      </c>
      <c r="B599" s="63" t="s">
        <v>1308</v>
      </c>
      <c r="C599" s="63" t="s">
        <v>2271</v>
      </c>
      <c r="D599" s="63" t="s">
        <v>2278</v>
      </c>
      <c r="E599" s="64">
        <v>1995</v>
      </c>
      <c r="F599" s="65" t="s">
        <v>189</v>
      </c>
      <c r="G599" s="389">
        <f t="shared" si="64"/>
        <v>0.69</v>
      </c>
      <c r="H599" s="389">
        <f t="shared" si="64"/>
        <v>0.61</v>
      </c>
      <c r="I599" s="389">
        <f t="shared" si="64"/>
        <v>0.51999999999999991</v>
      </c>
      <c r="J599" s="389">
        <f t="shared" si="64"/>
        <v>0.44</v>
      </c>
      <c r="K599" s="389">
        <f t="shared" si="64"/>
        <v>0.38</v>
      </c>
      <c r="L599" s="720">
        <v>0.06</v>
      </c>
      <c r="M599" s="63" t="s">
        <v>3205</v>
      </c>
      <c r="N599" s="440">
        <v>4.4999999999999998E-2</v>
      </c>
      <c r="O599" s="390">
        <v>6.0000000000000001E-3</v>
      </c>
      <c r="P599" s="390">
        <v>0</v>
      </c>
      <c r="Q599" s="390">
        <v>0</v>
      </c>
      <c r="R599" s="390">
        <v>0</v>
      </c>
      <c r="S599" s="63" t="s">
        <v>476</v>
      </c>
      <c r="T599" s="63"/>
      <c r="U599" s="1039"/>
      <c r="V599" s="1039"/>
      <c r="W599" s="1039"/>
      <c r="X599" s="64" t="s">
        <v>2364</v>
      </c>
      <c r="Y599" s="439"/>
      <c r="Z599" s="439"/>
      <c r="AA599" s="439"/>
    </row>
    <row r="600" spans="1:27" ht="15" customHeight="1">
      <c r="A600" s="63">
        <f t="shared" si="63"/>
        <v>597</v>
      </c>
      <c r="B600" s="63" t="s">
        <v>1308</v>
      </c>
      <c r="C600" s="63" t="s">
        <v>2271</v>
      </c>
      <c r="D600" s="1234" t="s">
        <v>2601</v>
      </c>
      <c r="E600" s="64">
        <v>1995</v>
      </c>
      <c r="F600" s="65" t="s">
        <v>189</v>
      </c>
      <c r="G600" s="389">
        <f t="shared" si="64"/>
        <v>0.69</v>
      </c>
      <c r="H600" s="389">
        <f t="shared" si="64"/>
        <v>0.61</v>
      </c>
      <c r="I600" s="389">
        <f t="shared" si="64"/>
        <v>0.51999999999999991</v>
      </c>
      <c r="J600" s="389">
        <f t="shared" si="64"/>
        <v>0.44</v>
      </c>
      <c r="K600" s="389">
        <f t="shared" si="64"/>
        <v>0.38</v>
      </c>
      <c r="L600" s="720">
        <v>0.06</v>
      </c>
      <c r="M600" s="63" t="s">
        <v>3205</v>
      </c>
      <c r="N600" s="440">
        <v>4.4999999999999998E-2</v>
      </c>
      <c r="O600" s="390">
        <v>6.0000000000000001E-3</v>
      </c>
      <c r="P600" s="390">
        <v>0</v>
      </c>
      <c r="Q600" s="390">
        <v>0</v>
      </c>
      <c r="R600" s="390">
        <v>0</v>
      </c>
      <c r="S600" s="63" t="s">
        <v>476</v>
      </c>
      <c r="T600" s="63"/>
      <c r="U600" s="1039"/>
      <c r="V600" s="1039"/>
      <c r="W600" s="1039"/>
      <c r="X600" s="64" t="s">
        <v>2364</v>
      </c>
      <c r="Y600" s="439"/>
      <c r="Z600" s="439"/>
      <c r="AA600" s="439"/>
    </row>
    <row r="601" spans="1:27" ht="15" customHeight="1">
      <c r="A601" s="63">
        <f t="shared" si="63"/>
        <v>598</v>
      </c>
      <c r="B601" s="63" t="s">
        <v>1308</v>
      </c>
      <c r="C601" s="63" t="s">
        <v>2271</v>
      </c>
      <c r="D601" s="63" t="s">
        <v>2279</v>
      </c>
      <c r="E601" s="64">
        <v>1995</v>
      </c>
      <c r="F601" s="65" t="s">
        <v>189</v>
      </c>
      <c r="G601" s="389">
        <f t="shared" si="64"/>
        <v>0.69</v>
      </c>
      <c r="H601" s="389">
        <f t="shared" si="64"/>
        <v>0.61</v>
      </c>
      <c r="I601" s="389">
        <f t="shared" si="64"/>
        <v>0.51999999999999991</v>
      </c>
      <c r="J601" s="389">
        <f t="shared" si="64"/>
        <v>0.44</v>
      </c>
      <c r="K601" s="389">
        <f t="shared" si="64"/>
        <v>0.38</v>
      </c>
      <c r="L601" s="720">
        <v>0.06</v>
      </c>
      <c r="M601" s="63" t="s">
        <v>3205</v>
      </c>
      <c r="N601" s="440">
        <v>4.4999999999999998E-2</v>
      </c>
      <c r="O601" s="390">
        <v>6.0000000000000001E-3</v>
      </c>
      <c r="P601" s="390">
        <v>0</v>
      </c>
      <c r="Q601" s="390">
        <v>0</v>
      </c>
      <c r="R601" s="390">
        <v>0</v>
      </c>
      <c r="S601" s="63" t="s">
        <v>476</v>
      </c>
      <c r="T601" s="63"/>
      <c r="U601" s="1039"/>
      <c r="V601" s="1039"/>
      <c r="W601" s="1039"/>
      <c r="X601" s="64" t="s">
        <v>2364</v>
      </c>
      <c r="Y601" s="439"/>
      <c r="Z601" s="439"/>
      <c r="AA601" s="439"/>
    </row>
    <row r="602" spans="1:27" ht="15" customHeight="1">
      <c r="A602" s="63">
        <f t="shared" si="63"/>
        <v>599</v>
      </c>
      <c r="B602" s="63" t="s">
        <v>1308</v>
      </c>
      <c r="C602" s="63" t="s">
        <v>2271</v>
      </c>
      <c r="D602" s="63" t="s">
        <v>1412</v>
      </c>
      <c r="E602" s="64">
        <v>1995</v>
      </c>
      <c r="F602" s="65" t="s">
        <v>189</v>
      </c>
      <c r="G602" s="389">
        <f t="shared" si="64"/>
        <v>0.69</v>
      </c>
      <c r="H602" s="389">
        <f t="shared" si="64"/>
        <v>0.61</v>
      </c>
      <c r="I602" s="389">
        <f t="shared" si="64"/>
        <v>0.51999999999999991</v>
      </c>
      <c r="J602" s="389">
        <f t="shared" si="64"/>
        <v>0.44</v>
      </c>
      <c r="K602" s="389">
        <f t="shared" si="64"/>
        <v>0.38</v>
      </c>
      <c r="L602" s="720">
        <v>0.06</v>
      </c>
      <c r="M602" s="63" t="s">
        <v>3205</v>
      </c>
      <c r="N602" s="440">
        <v>4.4999999999999998E-2</v>
      </c>
      <c r="O602" s="390">
        <v>6.0000000000000001E-3</v>
      </c>
      <c r="P602" s="390">
        <v>0</v>
      </c>
      <c r="Q602" s="390">
        <v>0</v>
      </c>
      <c r="R602" s="390">
        <v>0</v>
      </c>
      <c r="S602" s="63" t="s">
        <v>476</v>
      </c>
      <c r="T602" s="63"/>
      <c r="U602" s="1039"/>
      <c r="V602" s="1039"/>
      <c r="W602" s="1039"/>
      <c r="X602" s="64" t="s">
        <v>2364</v>
      </c>
      <c r="Y602" s="439"/>
      <c r="Z602" s="439"/>
      <c r="AA602" s="439"/>
    </row>
    <row r="603" spans="1:27" ht="15" customHeight="1">
      <c r="A603" s="63">
        <f t="shared" si="63"/>
        <v>600</v>
      </c>
      <c r="B603" s="63" t="s">
        <v>1308</v>
      </c>
      <c r="C603" s="63" t="s">
        <v>2271</v>
      </c>
      <c r="D603" s="63" t="s">
        <v>2280</v>
      </c>
      <c r="E603" s="64">
        <v>1995</v>
      </c>
      <c r="F603" s="65" t="s">
        <v>189</v>
      </c>
      <c r="G603" s="389">
        <f t="shared" si="64"/>
        <v>0.69</v>
      </c>
      <c r="H603" s="389">
        <f t="shared" si="64"/>
        <v>0.61</v>
      </c>
      <c r="I603" s="389">
        <f t="shared" si="64"/>
        <v>0.51999999999999991</v>
      </c>
      <c r="J603" s="389">
        <f t="shared" si="64"/>
        <v>0.44</v>
      </c>
      <c r="K603" s="389">
        <f t="shared" si="64"/>
        <v>0.38</v>
      </c>
      <c r="L603" s="720">
        <v>0.06</v>
      </c>
      <c r="M603" s="63" t="s">
        <v>3205</v>
      </c>
      <c r="N603" s="440">
        <v>4.4999999999999998E-2</v>
      </c>
      <c r="O603" s="390">
        <v>6.0000000000000001E-3</v>
      </c>
      <c r="P603" s="390">
        <v>0</v>
      </c>
      <c r="Q603" s="390">
        <v>0</v>
      </c>
      <c r="R603" s="390">
        <v>0</v>
      </c>
      <c r="S603" s="63" t="s">
        <v>476</v>
      </c>
      <c r="T603" s="63"/>
      <c r="U603" s="1039"/>
      <c r="V603" s="1039"/>
      <c r="W603" s="1039"/>
      <c r="X603" s="64" t="s">
        <v>2364</v>
      </c>
      <c r="Y603" s="439"/>
      <c r="Z603" s="439"/>
      <c r="AA603" s="439"/>
    </row>
    <row r="604" spans="1:27" ht="15" customHeight="1">
      <c r="A604" s="63">
        <f t="shared" si="63"/>
        <v>601</v>
      </c>
      <c r="B604" s="63" t="s">
        <v>1308</v>
      </c>
      <c r="C604" s="63" t="s">
        <v>2271</v>
      </c>
      <c r="D604" s="63" t="s">
        <v>1413</v>
      </c>
      <c r="E604" s="64">
        <v>1995</v>
      </c>
      <c r="F604" s="65" t="s">
        <v>189</v>
      </c>
      <c r="G604" s="389">
        <f t="shared" si="64"/>
        <v>0.69</v>
      </c>
      <c r="H604" s="389">
        <f t="shared" si="64"/>
        <v>0.61</v>
      </c>
      <c r="I604" s="389">
        <f t="shared" si="64"/>
        <v>0.51999999999999991</v>
      </c>
      <c r="J604" s="389">
        <f t="shared" si="64"/>
        <v>0.44</v>
      </c>
      <c r="K604" s="389">
        <f t="shared" si="64"/>
        <v>0.38</v>
      </c>
      <c r="L604" s="720">
        <v>0.06</v>
      </c>
      <c r="M604" s="63" t="s">
        <v>3205</v>
      </c>
      <c r="N604" s="440">
        <v>4.4999999999999998E-2</v>
      </c>
      <c r="O604" s="390">
        <v>6.0000000000000001E-3</v>
      </c>
      <c r="P604" s="390">
        <v>0</v>
      </c>
      <c r="Q604" s="390">
        <v>0</v>
      </c>
      <c r="R604" s="390">
        <v>0</v>
      </c>
      <c r="S604" s="63" t="s">
        <v>476</v>
      </c>
      <c r="T604" s="63"/>
      <c r="U604" s="1039"/>
      <c r="V604" s="1039"/>
      <c r="W604" s="1039"/>
      <c r="X604" s="64" t="s">
        <v>2364</v>
      </c>
      <c r="Y604" s="439"/>
      <c r="Z604" s="439"/>
      <c r="AA604" s="439"/>
    </row>
    <row r="605" spans="1:27" ht="15" customHeight="1">
      <c r="A605" s="63">
        <f t="shared" si="63"/>
        <v>602</v>
      </c>
      <c r="B605" s="63" t="s">
        <v>1308</v>
      </c>
      <c r="C605" s="63" t="s">
        <v>2606</v>
      </c>
      <c r="D605" s="1234" t="s">
        <v>2602</v>
      </c>
      <c r="E605" s="64">
        <v>1995</v>
      </c>
      <c r="F605" s="65" t="s">
        <v>189</v>
      </c>
      <c r="G605" s="389">
        <f t="shared" si="64"/>
        <v>0.65999999999999992</v>
      </c>
      <c r="H605" s="389">
        <f t="shared" si="64"/>
        <v>0.57999999999999996</v>
      </c>
      <c r="I605" s="389">
        <f t="shared" si="64"/>
        <v>0.48999999999999988</v>
      </c>
      <c r="J605" s="389">
        <f t="shared" si="64"/>
        <v>0.41</v>
      </c>
      <c r="K605" s="389">
        <f t="shared" si="64"/>
        <v>0.35</v>
      </c>
      <c r="L605" s="720">
        <v>0.06</v>
      </c>
      <c r="M605" s="63" t="s">
        <v>3161</v>
      </c>
      <c r="N605" s="440">
        <v>4.4999999999999998E-2</v>
      </c>
      <c r="O605" s="390">
        <v>6.0000000000000001E-3</v>
      </c>
      <c r="P605" s="390">
        <v>0</v>
      </c>
      <c r="Q605" s="390">
        <v>0</v>
      </c>
      <c r="R605" s="390">
        <v>0</v>
      </c>
      <c r="S605" s="63" t="s">
        <v>476</v>
      </c>
      <c r="T605" s="63"/>
      <c r="U605" s="1039"/>
      <c r="V605" s="1039"/>
      <c r="W605" s="1039"/>
      <c r="X605" s="64" t="s">
        <v>2364</v>
      </c>
      <c r="Y605" s="439"/>
      <c r="Z605" s="439"/>
      <c r="AA605" s="439"/>
    </row>
    <row r="606" spans="1:27" ht="15" customHeight="1">
      <c r="A606" s="63">
        <f t="shared" si="63"/>
        <v>603</v>
      </c>
      <c r="B606" s="63" t="s">
        <v>1308</v>
      </c>
      <c r="C606" s="63" t="s">
        <v>2606</v>
      </c>
      <c r="D606" s="1234" t="s">
        <v>2603</v>
      </c>
      <c r="E606" s="64">
        <v>1995</v>
      </c>
      <c r="F606" s="65" t="s">
        <v>189</v>
      </c>
      <c r="G606" s="389">
        <f t="shared" si="64"/>
        <v>0.69</v>
      </c>
      <c r="H606" s="389">
        <f t="shared" si="64"/>
        <v>0.61</v>
      </c>
      <c r="I606" s="389">
        <f t="shared" si="64"/>
        <v>0.51999999999999991</v>
      </c>
      <c r="J606" s="389">
        <f t="shared" si="64"/>
        <v>0.44</v>
      </c>
      <c r="K606" s="389">
        <f t="shared" si="64"/>
        <v>0.38</v>
      </c>
      <c r="L606" s="720">
        <v>0.06</v>
      </c>
      <c r="M606" s="63" t="s">
        <v>3205</v>
      </c>
      <c r="N606" s="440">
        <v>4.4999999999999998E-2</v>
      </c>
      <c r="O606" s="390">
        <v>6.0000000000000001E-3</v>
      </c>
      <c r="P606" s="390">
        <v>0</v>
      </c>
      <c r="Q606" s="390">
        <v>0</v>
      </c>
      <c r="R606" s="390">
        <v>0</v>
      </c>
      <c r="S606" s="63" t="s">
        <v>476</v>
      </c>
      <c r="T606" s="63"/>
      <c r="U606" s="1039"/>
      <c r="V606" s="1039"/>
      <c r="W606" s="1039"/>
      <c r="X606" s="64" t="s">
        <v>2364</v>
      </c>
      <c r="Y606" s="439"/>
      <c r="Z606" s="439"/>
      <c r="AA606" s="439"/>
    </row>
    <row r="607" spans="1:27" ht="15" customHeight="1">
      <c r="A607" s="63">
        <f t="shared" si="63"/>
        <v>604</v>
      </c>
      <c r="B607" s="63" t="s">
        <v>1308</v>
      </c>
      <c r="C607" s="63" t="s">
        <v>2606</v>
      </c>
      <c r="D607" s="1234" t="s">
        <v>2604</v>
      </c>
      <c r="E607" s="64">
        <v>1995</v>
      </c>
      <c r="F607" s="65" t="s">
        <v>189</v>
      </c>
      <c r="G607" s="389">
        <f t="shared" si="64"/>
        <v>0.69</v>
      </c>
      <c r="H607" s="389">
        <f t="shared" si="64"/>
        <v>0.61</v>
      </c>
      <c r="I607" s="389">
        <f t="shared" si="64"/>
        <v>0.51999999999999991</v>
      </c>
      <c r="J607" s="389">
        <f t="shared" si="64"/>
        <v>0.44</v>
      </c>
      <c r="K607" s="389">
        <f t="shared" si="64"/>
        <v>0.38</v>
      </c>
      <c r="L607" s="720">
        <v>0.06</v>
      </c>
      <c r="M607" s="63" t="s">
        <v>3205</v>
      </c>
      <c r="N607" s="440">
        <v>4.4999999999999998E-2</v>
      </c>
      <c r="O607" s="390">
        <v>6.0000000000000001E-3</v>
      </c>
      <c r="P607" s="390">
        <v>0</v>
      </c>
      <c r="Q607" s="390">
        <v>0</v>
      </c>
      <c r="R607" s="390">
        <v>0</v>
      </c>
      <c r="S607" s="63" t="s">
        <v>476</v>
      </c>
      <c r="T607" s="63"/>
      <c r="U607" s="1039"/>
      <c r="V607" s="1039"/>
      <c r="W607" s="1039"/>
      <c r="X607" s="64" t="s">
        <v>2364</v>
      </c>
      <c r="Y607" s="439"/>
      <c r="Z607" s="439"/>
      <c r="AA607" s="439"/>
    </row>
    <row r="608" spans="1:27" ht="15" customHeight="1">
      <c r="A608" s="63">
        <f t="shared" si="63"/>
        <v>605</v>
      </c>
      <c r="B608" s="63" t="s">
        <v>1308</v>
      </c>
      <c r="C608" s="63" t="s">
        <v>2606</v>
      </c>
      <c r="D608" s="1234" t="s">
        <v>2605</v>
      </c>
      <c r="E608" s="64">
        <v>1995</v>
      </c>
      <c r="F608" s="65" t="s">
        <v>189</v>
      </c>
      <c r="G608" s="389">
        <f t="shared" si="64"/>
        <v>0.69</v>
      </c>
      <c r="H608" s="389">
        <f t="shared" si="64"/>
        <v>0.61</v>
      </c>
      <c r="I608" s="389">
        <f t="shared" si="64"/>
        <v>0.51999999999999991</v>
      </c>
      <c r="J608" s="389">
        <f t="shared" si="64"/>
        <v>0.44</v>
      </c>
      <c r="K608" s="389">
        <f t="shared" si="64"/>
        <v>0.38</v>
      </c>
      <c r="L608" s="720">
        <v>0.06</v>
      </c>
      <c r="M608" s="63" t="s">
        <v>3205</v>
      </c>
      <c r="N608" s="440">
        <v>4.4999999999999998E-2</v>
      </c>
      <c r="O608" s="390">
        <v>6.0000000000000001E-3</v>
      </c>
      <c r="P608" s="390">
        <v>0</v>
      </c>
      <c r="Q608" s="390">
        <v>0</v>
      </c>
      <c r="R608" s="390">
        <v>0</v>
      </c>
      <c r="S608" s="63" t="s">
        <v>476</v>
      </c>
      <c r="T608" s="63"/>
      <c r="U608" s="1039"/>
      <c r="V608" s="1039"/>
      <c r="W608" s="1039"/>
      <c r="X608" s="64" t="s">
        <v>2364</v>
      </c>
      <c r="Y608" s="439"/>
      <c r="Z608" s="439"/>
      <c r="AA608" s="439"/>
    </row>
    <row r="609" spans="1:27" ht="15" customHeight="1">
      <c r="A609" s="63">
        <f t="shared" si="63"/>
        <v>606</v>
      </c>
      <c r="B609" s="63" t="s">
        <v>1308</v>
      </c>
      <c r="C609" s="63" t="s">
        <v>2606</v>
      </c>
      <c r="D609" s="1234" t="s">
        <v>1412</v>
      </c>
      <c r="E609" s="64">
        <v>1995</v>
      </c>
      <c r="F609" s="65" t="s">
        <v>189</v>
      </c>
      <c r="G609" s="389">
        <f t="shared" si="64"/>
        <v>0.69</v>
      </c>
      <c r="H609" s="389">
        <f t="shared" si="64"/>
        <v>0.61</v>
      </c>
      <c r="I609" s="389">
        <f t="shared" si="64"/>
        <v>0.51999999999999991</v>
      </c>
      <c r="J609" s="389">
        <f t="shared" si="64"/>
        <v>0.44</v>
      </c>
      <c r="K609" s="389">
        <f t="shared" si="64"/>
        <v>0.38</v>
      </c>
      <c r="L609" s="720">
        <v>0.06</v>
      </c>
      <c r="M609" s="63" t="s">
        <v>3205</v>
      </c>
      <c r="N609" s="440">
        <v>4.4999999999999998E-2</v>
      </c>
      <c r="O609" s="390">
        <v>6.0000000000000001E-3</v>
      </c>
      <c r="P609" s="390">
        <v>0</v>
      </c>
      <c r="Q609" s="390">
        <v>0</v>
      </c>
      <c r="R609" s="390">
        <v>0</v>
      </c>
      <c r="S609" s="63" t="s">
        <v>476</v>
      </c>
      <c r="T609" s="63"/>
      <c r="U609" s="1039"/>
      <c r="V609" s="1039"/>
      <c r="W609" s="1039"/>
      <c r="X609" s="64" t="s">
        <v>2364</v>
      </c>
      <c r="Y609" s="439"/>
      <c r="Z609" s="439"/>
      <c r="AA609" s="439"/>
    </row>
    <row r="610" spans="1:27" ht="15" customHeight="1">
      <c r="A610" s="63">
        <f t="shared" si="63"/>
        <v>607</v>
      </c>
      <c r="B610" s="63" t="s">
        <v>1308</v>
      </c>
      <c r="C610" s="63"/>
      <c r="D610" s="63"/>
      <c r="E610" s="64"/>
      <c r="F610" s="65"/>
      <c r="G610" s="389" t="e">
        <f t="shared" si="64"/>
        <v>#N/A</v>
      </c>
      <c r="H610" s="389" t="e">
        <f t="shared" si="64"/>
        <v>#N/A</v>
      </c>
      <c r="I610" s="389" t="e">
        <f t="shared" si="64"/>
        <v>#N/A</v>
      </c>
      <c r="J610" s="389" t="e">
        <f t="shared" si="64"/>
        <v>#N/A</v>
      </c>
      <c r="K610" s="389" t="e">
        <f t="shared" si="64"/>
        <v>#N/A</v>
      </c>
      <c r="L610" s="720"/>
      <c r="M610" s="63"/>
      <c r="N610" s="440"/>
      <c r="O610" s="390"/>
      <c r="P610" s="390">
        <v>0</v>
      </c>
      <c r="Q610" s="390">
        <v>0</v>
      </c>
      <c r="R610" s="390">
        <v>0</v>
      </c>
      <c r="S610" s="63" t="s">
        <v>476</v>
      </c>
      <c r="T610" s="63"/>
      <c r="U610" s="1039"/>
      <c r="V610" s="1039"/>
      <c r="W610" s="1039"/>
      <c r="X610" s="64" t="s">
        <v>2364</v>
      </c>
      <c r="Y610" s="439"/>
      <c r="Z610" s="439"/>
      <c r="AA610" s="439"/>
    </row>
    <row r="611" spans="1:27" ht="15" customHeight="1">
      <c r="A611" s="63">
        <f t="shared" si="63"/>
        <v>608</v>
      </c>
      <c r="B611" s="63" t="s">
        <v>1308</v>
      </c>
      <c r="C611" s="63"/>
      <c r="D611" s="63"/>
      <c r="E611" s="64"/>
      <c r="F611" s="65"/>
      <c r="G611" s="389" t="e">
        <f t="shared" si="64"/>
        <v>#N/A</v>
      </c>
      <c r="H611" s="389" t="e">
        <f t="shared" si="64"/>
        <v>#N/A</v>
      </c>
      <c r="I611" s="389" t="e">
        <f t="shared" si="64"/>
        <v>#N/A</v>
      </c>
      <c r="J611" s="389" t="e">
        <f t="shared" si="64"/>
        <v>#N/A</v>
      </c>
      <c r="K611" s="389" t="e">
        <f t="shared" si="64"/>
        <v>#N/A</v>
      </c>
      <c r="L611" s="720"/>
      <c r="M611" s="63"/>
      <c r="N611" s="440"/>
      <c r="O611" s="390"/>
      <c r="P611" s="390">
        <v>0</v>
      </c>
      <c r="Q611" s="390">
        <v>0</v>
      </c>
      <c r="R611" s="390">
        <v>0</v>
      </c>
      <c r="S611" s="63" t="s">
        <v>476</v>
      </c>
      <c r="T611" s="63"/>
      <c r="U611" s="1039"/>
      <c r="V611" s="1039"/>
      <c r="W611" s="1039"/>
      <c r="X611" s="64" t="s">
        <v>2364</v>
      </c>
      <c r="Y611" s="439"/>
      <c r="Z611" s="439"/>
      <c r="AA611" s="439"/>
    </row>
    <row r="612" spans="1:27" ht="15" customHeight="1">
      <c r="A612" s="63">
        <f t="shared" ref="A612:A666" si="65">ROW()-3</f>
        <v>609</v>
      </c>
      <c r="B612" s="63" t="s">
        <v>1308</v>
      </c>
      <c r="C612" s="63"/>
      <c r="D612" s="63"/>
      <c r="E612" s="64"/>
      <c r="F612" s="65"/>
      <c r="G612" s="389" t="e">
        <f t="shared" si="64"/>
        <v>#N/A</v>
      </c>
      <c r="H612" s="389" t="e">
        <f t="shared" si="64"/>
        <v>#N/A</v>
      </c>
      <c r="I612" s="389" t="e">
        <f t="shared" si="64"/>
        <v>#N/A</v>
      </c>
      <c r="J612" s="389" t="e">
        <f t="shared" si="64"/>
        <v>#N/A</v>
      </c>
      <c r="K612" s="389" t="e">
        <f t="shared" si="64"/>
        <v>#N/A</v>
      </c>
      <c r="L612" s="720"/>
      <c r="M612" s="63"/>
      <c r="N612" s="440"/>
      <c r="O612" s="390"/>
      <c r="P612" s="390">
        <v>0</v>
      </c>
      <c r="Q612" s="390">
        <v>0</v>
      </c>
      <c r="R612" s="390">
        <v>0</v>
      </c>
      <c r="S612" s="63" t="s">
        <v>476</v>
      </c>
      <c r="T612" s="63"/>
      <c r="U612" s="1039"/>
      <c r="V612" s="1039"/>
      <c r="W612" s="1039"/>
      <c r="X612" s="64" t="s">
        <v>2364</v>
      </c>
      <c r="Y612" s="439"/>
      <c r="Z612" s="439"/>
      <c r="AA612" s="439"/>
    </row>
    <row r="613" spans="1:27" ht="15" customHeight="1">
      <c r="A613" s="63">
        <f t="shared" si="65"/>
        <v>610</v>
      </c>
      <c r="B613" s="63" t="s">
        <v>1308</v>
      </c>
      <c r="C613" s="63"/>
      <c r="D613" s="63"/>
      <c r="E613" s="64"/>
      <c r="F613" s="65"/>
      <c r="G613" s="389" t="e">
        <f t="shared" si="64"/>
        <v>#N/A</v>
      </c>
      <c r="H613" s="389" t="e">
        <f t="shared" si="64"/>
        <v>#N/A</v>
      </c>
      <c r="I613" s="389" t="e">
        <f t="shared" si="64"/>
        <v>#N/A</v>
      </c>
      <c r="J613" s="389" t="e">
        <f t="shared" si="64"/>
        <v>#N/A</v>
      </c>
      <c r="K613" s="389" t="e">
        <f t="shared" si="64"/>
        <v>#N/A</v>
      </c>
      <c r="L613" s="720"/>
      <c r="M613" s="63"/>
      <c r="N613" s="440"/>
      <c r="O613" s="390"/>
      <c r="P613" s="390">
        <v>0</v>
      </c>
      <c r="Q613" s="390">
        <v>0</v>
      </c>
      <c r="R613" s="390">
        <v>0</v>
      </c>
      <c r="S613" s="63" t="s">
        <v>476</v>
      </c>
      <c r="T613" s="63"/>
      <c r="U613" s="1039"/>
      <c r="V613" s="1039"/>
      <c r="W613" s="1039"/>
      <c r="X613" s="64" t="s">
        <v>2364</v>
      </c>
      <c r="Y613" s="439"/>
      <c r="Z613" s="439"/>
      <c r="AA613" s="439"/>
    </row>
    <row r="614" spans="1:27" ht="15" customHeight="1">
      <c r="A614" s="63">
        <f t="shared" si="65"/>
        <v>611</v>
      </c>
      <c r="B614" s="63" t="s">
        <v>1308</v>
      </c>
      <c r="C614" s="63"/>
      <c r="D614" s="63"/>
      <c r="E614" s="64"/>
      <c r="F614" s="65"/>
      <c r="G614" s="389" t="e">
        <f t="shared" si="64"/>
        <v>#N/A</v>
      </c>
      <c r="H614" s="389" t="e">
        <f t="shared" si="64"/>
        <v>#N/A</v>
      </c>
      <c r="I614" s="389" t="e">
        <f t="shared" si="64"/>
        <v>#N/A</v>
      </c>
      <c r="J614" s="389" t="e">
        <f t="shared" si="64"/>
        <v>#N/A</v>
      </c>
      <c r="K614" s="389" t="e">
        <f t="shared" si="64"/>
        <v>#N/A</v>
      </c>
      <c r="L614" s="720"/>
      <c r="M614" s="63"/>
      <c r="N614" s="440"/>
      <c r="O614" s="390"/>
      <c r="P614" s="390">
        <v>0</v>
      </c>
      <c r="Q614" s="390">
        <v>0</v>
      </c>
      <c r="R614" s="390">
        <v>0</v>
      </c>
      <c r="S614" s="63" t="s">
        <v>476</v>
      </c>
      <c r="T614" s="63"/>
      <c r="U614" s="1039"/>
      <c r="V614" s="1039"/>
      <c r="W614" s="1039"/>
      <c r="X614" s="64" t="s">
        <v>2364</v>
      </c>
      <c r="Y614" s="439"/>
      <c r="Z614" s="439"/>
      <c r="AA614" s="439"/>
    </row>
    <row r="615" spans="1:27" ht="15" customHeight="1">
      <c r="A615" s="63">
        <f t="shared" si="65"/>
        <v>612</v>
      </c>
      <c r="B615" s="63" t="s">
        <v>1308</v>
      </c>
      <c r="C615" s="63"/>
      <c r="D615" s="63"/>
      <c r="E615" s="64"/>
      <c r="F615" s="65"/>
      <c r="G615" s="389" t="e">
        <f t="shared" si="64"/>
        <v>#N/A</v>
      </c>
      <c r="H615" s="389" t="e">
        <f t="shared" si="64"/>
        <v>#N/A</v>
      </c>
      <c r="I615" s="389" t="e">
        <f t="shared" si="64"/>
        <v>#N/A</v>
      </c>
      <c r="J615" s="389" t="e">
        <f t="shared" si="64"/>
        <v>#N/A</v>
      </c>
      <c r="K615" s="389" t="e">
        <f t="shared" si="64"/>
        <v>#N/A</v>
      </c>
      <c r="L615" s="720"/>
      <c r="M615" s="63"/>
      <c r="N615" s="440"/>
      <c r="O615" s="390"/>
      <c r="P615" s="390">
        <v>0</v>
      </c>
      <c r="Q615" s="390">
        <v>0</v>
      </c>
      <c r="R615" s="390">
        <v>0</v>
      </c>
      <c r="S615" s="63" t="s">
        <v>476</v>
      </c>
      <c r="T615" s="63"/>
      <c r="U615" s="1039"/>
      <c r="V615" s="1039"/>
      <c r="W615" s="1039"/>
      <c r="X615" s="64" t="s">
        <v>2364</v>
      </c>
      <c r="Y615" s="439"/>
      <c r="Z615" s="439"/>
      <c r="AA615" s="439"/>
    </row>
    <row r="616" spans="1:27" ht="15" customHeight="1">
      <c r="A616" s="63">
        <f t="shared" si="65"/>
        <v>613</v>
      </c>
      <c r="B616" s="63" t="s">
        <v>1308</v>
      </c>
      <c r="C616" s="63" t="s">
        <v>2281</v>
      </c>
      <c r="D616" s="63" t="s">
        <v>2418</v>
      </c>
      <c r="E616" s="64">
        <v>1499</v>
      </c>
      <c r="F616" s="65" t="s">
        <v>144</v>
      </c>
      <c r="G616" s="389">
        <f t="shared" si="64"/>
        <v>0.65999999999999992</v>
      </c>
      <c r="H616" s="389">
        <f t="shared" si="64"/>
        <v>0.57999999999999996</v>
      </c>
      <c r="I616" s="389">
        <f t="shared" si="64"/>
        <v>0.48999999999999988</v>
      </c>
      <c r="J616" s="389">
        <f t="shared" si="64"/>
        <v>0.41</v>
      </c>
      <c r="K616" s="389">
        <f t="shared" si="64"/>
        <v>0.35</v>
      </c>
      <c r="L616" s="720">
        <v>0.06</v>
      </c>
      <c r="M616" s="63" t="s">
        <v>3161</v>
      </c>
      <c r="N616" s="440">
        <v>4.4999999999999998E-2</v>
      </c>
      <c r="O616" s="390">
        <v>6.0000000000000001E-3</v>
      </c>
      <c r="P616" s="390">
        <v>0</v>
      </c>
      <c r="Q616" s="390">
        <v>0</v>
      </c>
      <c r="R616" s="390">
        <v>0</v>
      </c>
      <c r="S616" s="63" t="s">
        <v>476</v>
      </c>
      <c r="T616" s="63"/>
      <c r="U616" s="1039"/>
      <c r="V616" s="1039"/>
      <c r="W616" s="1039"/>
      <c r="X616" s="64" t="s">
        <v>2364</v>
      </c>
      <c r="Y616" s="439"/>
      <c r="Z616" s="439"/>
      <c r="AA616" s="439"/>
    </row>
    <row r="617" spans="1:27" ht="15" customHeight="1">
      <c r="A617" s="63">
        <f t="shared" si="65"/>
        <v>614</v>
      </c>
      <c r="B617" s="63" t="s">
        <v>2332</v>
      </c>
      <c r="C617" s="63" t="s">
        <v>2281</v>
      </c>
      <c r="D617" s="63" t="s">
        <v>2419</v>
      </c>
      <c r="E617" s="64">
        <v>1499</v>
      </c>
      <c r="F617" s="65" t="s">
        <v>144</v>
      </c>
      <c r="G617" s="389">
        <f t="shared" ref="G617:K667" si="66">+INDEX($AW$4:$AW$138,MATCH(G$3&amp;$M617,$AT$4:$AT$138,0))</f>
        <v>0.65999999999999992</v>
      </c>
      <c r="H617" s="389">
        <f t="shared" si="66"/>
        <v>0.57999999999999996</v>
      </c>
      <c r="I617" s="389">
        <f t="shared" si="66"/>
        <v>0.48999999999999988</v>
      </c>
      <c r="J617" s="389">
        <f t="shared" si="66"/>
        <v>0.41</v>
      </c>
      <c r="K617" s="389">
        <f t="shared" si="66"/>
        <v>0.35</v>
      </c>
      <c r="L617" s="720">
        <v>0.06</v>
      </c>
      <c r="M617" s="63" t="s">
        <v>3161</v>
      </c>
      <c r="N617" s="440">
        <v>4.4999999999999998E-2</v>
      </c>
      <c r="O617" s="390">
        <v>6.0000000000000001E-3</v>
      </c>
      <c r="P617" s="390">
        <v>0</v>
      </c>
      <c r="Q617" s="390">
        <v>0</v>
      </c>
      <c r="R617" s="390">
        <v>0</v>
      </c>
      <c r="S617" s="63" t="s">
        <v>476</v>
      </c>
      <c r="T617" s="63"/>
      <c r="U617" s="1039"/>
      <c r="V617" s="1039"/>
      <c r="W617" s="1039"/>
      <c r="X617" s="64" t="s">
        <v>2364</v>
      </c>
      <c r="Y617" s="439"/>
      <c r="Z617" s="439"/>
      <c r="AA617" s="439"/>
    </row>
    <row r="618" spans="1:27" ht="15" customHeight="1">
      <c r="A618" s="63">
        <f t="shared" si="65"/>
        <v>615</v>
      </c>
      <c r="B618" s="63" t="s">
        <v>1308</v>
      </c>
      <c r="C618" s="63" t="s">
        <v>2281</v>
      </c>
      <c r="D618" s="1234" t="s">
        <v>2420</v>
      </c>
      <c r="E618" s="64">
        <v>1998</v>
      </c>
      <c r="F618" s="65" t="s">
        <v>144</v>
      </c>
      <c r="G618" s="389">
        <f t="shared" si="66"/>
        <v>0.65999999999999992</v>
      </c>
      <c r="H618" s="389">
        <f t="shared" si="66"/>
        <v>0.57999999999999996</v>
      </c>
      <c r="I618" s="389">
        <f t="shared" si="66"/>
        <v>0.48999999999999988</v>
      </c>
      <c r="J618" s="389">
        <f t="shared" si="66"/>
        <v>0.41</v>
      </c>
      <c r="K618" s="389">
        <f t="shared" si="66"/>
        <v>0.35</v>
      </c>
      <c r="L618" s="720">
        <v>0.06</v>
      </c>
      <c r="M618" s="63" t="s">
        <v>3161</v>
      </c>
      <c r="N618" s="440">
        <v>4.4999999999999998E-2</v>
      </c>
      <c r="O618" s="390">
        <v>6.0000000000000001E-3</v>
      </c>
      <c r="P618" s="390">
        <v>0</v>
      </c>
      <c r="Q618" s="390">
        <v>0</v>
      </c>
      <c r="R618" s="390">
        <v>0</v>
      </c>
      <c r="S618" s="63" t="s">
        <v>476</v>
      </c>
      <c r="T618" s="63"/>
      <c r="U618" s="1039"/>
      <c r="V618" s="1039"/>
      <c r="W618" s="1039"/>
      <c r="X618" s="64" t="s">
        <v>2364</v>
      </c>
      <c r="Y618" s="439"/>
      <c r="Z618" s="439"/>
      <c r="AA618" s="439"/>
    </row>
    <row r="619" spans="1:27" ht="15" customHeight="1">
      <c r="A619" s="63">
        <f t="shared" si="65"/>
        <v>616</v>
      </c>
      <c r="B619" s="63" t="s">
        <v>1308</v>
      </c>
      <c r="C619" s="63" t="s">
        <v>2421</v>
      </c>
      <c r="D619" s="63" t="s">
        <v>2282</v>
      </c>
      <c r="E619" s="64">
        <v>1998</v>
      </c>
      <c r="F619" s="65" t="s">
        <v>144</v>
      </c>
      <c r="G619" s="389">
        <f t="shared" si="66"/>
        <v>0.65999999999999992</v>
      </c>
      <c r="H619" s="389">
        <f t="shared" si="66"/>
        <v>0.57999999999999996</v>
      </c>
      <c r="I619" s="389">
        <f t="shared" si="66"/>
        <v>0.48999999999999988</v>
      </c>
      <c r="J619" s="389">
        <f t="shared" si="66"/>
        <v>0.41</v>
      </c>
      <c r="K619" s="389">
        <f t="shared" si="66"/>
        <v>0.35</v>
      </c>
      <c r="L619" s="720">
        <v>0.06</v>
      </c>
      <c r="M619" s="63" t="s">
        <v>3161</v>
      </c>
      <c r="N619" s="440">
        <v>4.4999999999999998E-2</v>
      </c>
      <c r="O619" s="390">
        <v>6.0000000000000001E-3</v>
      </c>
      <c r="P619" s="390">
        <v>0</v>
      </c>
      <c r="Q619" s="390">
        <v>0</v>
      </c>
      <c r="R619" s="390">
        <v>0</v>
      </c>
      <c r="S619" s="63" t="s">
        <v>476</v>
      </c>
      <c r="T619" s="63"/>
      <c r="U619" s="1039"/>
      <c r="V619" s="1039"/>
      <c r="W619" s="1039"/>
      <c r="X619" s="64" t="s">
        <v>2364</v>
      </c>
      <c r="Y619" s="439"/>
      <c r="Z619" s="439"/>
      <c r="AA619" s="439"/>
    </row>
    <row r="620" spans="1:27" ht="15" customHeight="1">
      <c r="A620" s="63">
        <f t="shared" si="65"/>
        <v>617</v>
      </c>
      <c r="B620" s="63" t="s">
        <v>1308</v>
      </c>
      <c r="C620" s="63" t="s">
        <v>2281</v>
      </c>
      <c r="D620" s="63" t="s">
        <v>2037</v>
      </c>
      <c r="E620" s="64">
        <v>1499</v>
      </c>
      <c r="F620" s="65" t="s">
        <v>144</v>
      </c>
      <c r="G620" s="389">
        <f t="shared" si="66"/>
        <v>0.65999999999999992</v>
      </c>
      <c r="H620" s="389">
        <f t="shared" si="66"/>
        <v>0.57999999999999996</v>
      </c>
      <c r="I620" s="389">
        <f t="shared" si="66"/>
        <v>0.48999999999999988</v>
      </c>
      <c r="J620" s="389">
        <f t="shared" si="66"/>
        <v>0.41</v>
      </c>
      <c r="K620" s="389">
        <f t="shared" si="66"/>
        <v>0.35</v>
      </c>
      <c r="L620" s="720">
        <v>0.06</v>
      </c>
      <c r="M620" s="63" t="s">
        <v>3161</v>
      </c>
      <c r="N620" s="440">
        <v>4.4999999999999998E-2</v>
      </c>
      <c r="O620" s="390">
        <v>6.0000000000000001E-3</v>
      </c>
      <c r="P620" s="390">
        <v>0</v>
      </c>
      <c r="Q620" s="390">
        <v>0</v>
      </c>
      <c r="R620" s="390">
        <v>0</v>
      </c>
      <c r="S620" s="63" t="s">
        <v>476</v>
      </c>
      <c r="T620" s="63"/>
      <c r="U620" s="1039"/>
      <c r="V620" s="1039"/>
      <c r="W620" s="1039"/>
      <c r="X620" s="64" t="s">
        <v>2364</v>
      </c>
      <c r="Y620" s="439"/>
      <c r="Z620" s="439"/>
      <c r="AA620" s="439"/>
    </row>
    <row r="621" spans="1:27" ht="15" customHeight="1">
      <c r="A621" s="63">
        <f t="shared" si="65"/>
        <v>618</v>
      </c>
      <c r="B621" s="63" t="s">
        <v>1308</v>
      </c>
      <c r="C621" s="63" t="s">
        <v>2281</v>
      </c>
      <c r="D621" s="63" t="s">
        <v>1414</v>
      </c>
      <c r="E621" s="64">
        <v>1998</v>
      </c>
      <c r="F621" s="65" t="s">
        <v>144</v>
      </c>
      <c r="G621" s="389">
        <f t="shared" si="66"/>
        <v>0.65999999999999992</v>
      </c>
      <c r="H621" s="389">
        <f t="shared" si="66"/>
        <v>0.57999999999999996</v>
      </c>
      <c r="I621" s="389">
        <f t="shared" si="66"/>
        <v>0.48999999999999988</v>
      </c>
      <c r="J621" s="389">
        <f t="shared" si="66"/>
        <v>0.41</v>
      </c>
      <c r="K621" s="389">
        <f t="shared" si="66"/>
        <v>0.35</v>
      </c>
      <c r="L621" s="720">
        <v>0.06</v>
      </c>
      <c r="M621" s="63" t="s">
        <v>3161</v>
      </c>
      <c r="N621" s="440">
        <v>4.4999999999999998E-2</v>
      </c>
      <c r="O621" s="390">
        <v>6.0000000000000001E-3</v>
      </c>
      <c r="P621" s="390">
        <v>0</v>
      </c>
      <c r="Q621" s="390">
        <v>0</v>
      </c>
      <c r="R621" s="390">
        <v>0</v>
      </c>
      <c r="S621" s="63" t="s">
        <v>476</v>
      </c>
      <c r="T621" s="63"/>
      <c r="U621" s="1039"/>
      <c r="V621" s="1039"/>
      <c r="W621" s="1039"/>
      <c r="X621" s="64" t="s">
        <v>2364</v>
      </c>
      <c r="Y621" s="439"/>
      <c r="Z621" s="439"/>
      <c r="AA621" s="439"/>
    </row>
    <row r="622" spans="1:27" ht="15" customHeight="1">
      <c r="A622" s="63">
        <f t="shared" si="65"/>
        <v>619</v>
      </c>
      <c r="B622" s="63" t="s">
        <v>1308</v>
      </c>
      <c r="C622" s="63" t="s">
        <v>2281</v>
      </c>
      <c r="D622" s="63" t="s">
        <v>2038</v>
      </c>
      <c r="E622" s="64">
        <v>1499</v>
      </c>
      <c r="F622" s="65" t="s">
        <v>144</v>
      </c>
      <c r="G622" s="389">
        <f t="shared" si="66"/>
        <v>0.65999999999999992</v>
      </c>
      <c r="H622" s="389">
        <f t="shared" si="66"/>
        <v>0.57999999999999996</v>
      </c>
      <c r="I622" s="389">
        <f t="shared" si="66"/>
        <v>0.48999999999999988</v>
      </c>
      <c r="J622" s="389">
        <f t="shared" si="66"/>
        <v>0.41</v>
      </c>
      <c r="K622" s="389">
        <f t="shared" si="66"/>
        <v>0.35</v>
      </c>
      <c r="L622" s="720">
        <v>0.06</v>
      </c>
      <c r="M622" s="63" t="s">
        <v>3161</v>
      </c>
      <c r="N622" s="440">
        <v>4.4999999999999998E-2</v>
      </c>
      <c r="O622" s="390">
        <v>6.0000000000000001E-3</v>
      </c>
      <c r="P622" s="390">
        <v>0</v>
      </c>
      <c r="Q622" s="390">
        <v>0</v>
      </c>
      <c r="R622" s="390">
        <v>0</v>
      </c>
      <c r="S622" s="63" t="s">
        <v>476</v>
      </c>
      <c r="T622" s="63"/>
      <c r="U622" s="1039"/>
      <c r="V622" s="1039"/>
      <c r="W622" s="1039"/>
      <c r="X622" s="64" t="s">
        <v>2364</v>
      </c>
      <c r="Y622" s="439"/>
      <c r="Z622" s="439"/>
      <c r="AA622" s="439"/>
    </row>
    <row r="623" spans="1:27" ht="15" customHeight="1">
      <c r="A623" s="63">
        <f t="shared" si="65"/>
        <v>620</v>
      </c>
      <c r="B623" s="63" t="s">
        <v>1308</v>
      </c>
      <c r="C623" s="63" t="s">
        <v>2281</v>
      </c>
      <c r="D623" s="63" t="s">
        <v>2283</v>
      </c>
      <c r="E623" s="64">
        <v>1998</v>
      </c>
      <c r="F623" s="65" t="s">
        <v>144</v>
      </c>
      <c r="G623" s="389">
        <f t="shared" si="66"/>
        <v>0.65999999999999992</v>
      </c>
      <c r="H623" s="389">
        <f t="shared" si="66"/>
        <v>0.57999999999999996</v>
      </c>
      <c r="I623" s="389">
        <f t="shared" si="66"/>
        <v>0.48999999999999988</v>
      </c>
      <c r="J623" s="389">
        <f t="shared" si="66"/>
        <v>0.41</v>
      </c>
      <c r="K623" s="389">
        <f t="shared" si="66"/>
        <v>0.35</v>
      </c>
      <c r="L623" s="720">
        <v>0.06</v>
      </c>
      <c r="M623" s="63" t="s">
        <v>3161</v>
      </c>
      <c r="N623" s="440">
        <v>4.4999999999999998E-2</v>
      </c>
      <c r="O623" s="390">
        <v>6.0000000000000001E-3</v>
      </c>
      <c r="P623" s="390">
        <v>0</v>
      </c>
      <c r="Q623" s="390">
        <v>0</v>
      </c>
      <c r="R623" s="390">
        <v>0</v>
      </c>
      <c r="S623" s="63" t="s">
        <v>476</v>
      </c>
      <c r="T623" s="63"/>
      <c r="U623" s="1039"/>
      <c r="V623" s="1039"/>
      <c r="W623" s="1039"/>
      <c r="X623" s="64" t="s">
        <v>2364</v>
      </c>
      <c r="Y623" s="439"/>
      <c r="Z623" s="439"/>
      <c r="AA623" s="439"/>
    </row>
    <row r="624" spans="1:27" ht="15" customHeight="1">
      <c r="A624" s="63">
        <f t="shared" si="65"/>
        <v>621</v>
      </c>
      <c r="B624" s="63" t="s">
        <v>1308</v>
      </c>
      <c r="C624" s="63" t="s">
        <v>2421</v>
      </c>
      <c r="D624" s="63" t="s">
        <v>1453</v>
      </c>
      <c r="E624" s="64">
        <v>1998</v>
      </c>
      <c r="F624" s="65" t="s">
        <v>144</v>
      </c>
      <c r="G624" s="389">
        <f t="shared" si="66"/>
        <v>0.65999999999999992</v>
      </c>
      <c r="H624" s="389">
        <f t="shared" si="66"/>
        <v>0.57999999999999996</v>
      </c>
      <c r="I624" s="389">
        <f t="shared" si="66"/>
        <v>0.48999999999999988</v>
      </c>
      <c r="J624" s="389">
        <f t="shared" si="66"/>
        <v>0.41</v>
      </c>
      <c r="K624" s="389">
        <f t="shared" si="66"/>
        <v>0.35</v>
      </c>
      <c r="L624" s="720">
        <v>0.06</v>
      </c>
      <c r="M624" s="63" t="s">
        <v>3161</v>
      </c>
      <c r="N624" s="440">
        <v>4.4999999999999998E-2</v>
      </c>
      <c r="O624" s="390">
        <v>6.0000000000000001E-3</v>
      </c>
      <c r="P624" s="390">
        <v>0</v>
      </c>
      <c r="Q624" s="390">
        <v>0</v>
      </c>
      <c r="R624" s="390">
        <v>0</v>
      </c>
      <c r="S624" s="63" t="s">
        <v>476</v>
      </c>
      <c r="T624" s="63"/>
      <c r="U624" s="1039"/>
      <c r="V624" s="1039"/>
      <c r="W624" s="1039"/>
      <c r="X624" s="64" t="s">
        <v>2364</v>
      </c>
      <c r="Y624" s="439"/>
      <c r="Z624" s="439"/>
      <c r="AA624" s="439"/>
    </row>
    <row r="625" spans="1:27" ht="15" customHeight="1">
      <c r="A625" s="63">
        <f t="shared" si="65"/>
        <v>622</v>
      </c>
      <c r="B625" s="63" t="s">
        <v>1308</v>
      </c>
      <c r="C625" s="63" t="s">
        <v>2281</v>
      </c>
      <c r="D625" s="63" t="s">
        <v>2284</v>
      </c>
      <c r="E625" s="64">
        <v>1499</v>
      </c>
      <c r="F625" s="65" t="s">
        <v>189</v>
      </c>
      <c r="G625" s="389">
        <f t="shared" si="66"/>
        <v>0.69</v>
      </c>
      <c r="H625" s="389">
        <f t="shared" si="66"/>
        <v>0.61</v>
      </c>
      <c r="I625" s="389">
        <f t="shared" si="66"/>
        <v>0.51999999999999991</v>
      </c>
      <c r="J625" s="389">
        <f t="shared" si="66"/>
        <v>0.44</v>
      </c>
      <c r="K625" s="389">
        <f t="shared" si="66"/>
        <v>0.38</v>
      </c>
      <c r="L625" s="720">
        <v>0.06</v>
      </c>
      <c r="M625" s="63" t="s">
        <v>3184</v>
      </c>
      <c r="N625" s="440">
        <v>4.4999999999999998E-2</v>
      </c>
      <c r="O625" s="390">
        <v>6.0000000000000001E-3</v>
      </c>
      <c r="P625" s="390">
        <v>0</v>
      </c>
      <c r="Q625" s="390">
        <v>0</v>
      </c>
      <c r="R625" s="390">
        <v>0</v>
      </c>
      <c r="S625" s="63" t="s">
        <v>476</v>
      </c>
      <c r="T625" s="63"/>
      <c r="U625" s="1039"/>
      <c r="V625" s="1039"/>
      <c r="W625" s="1039"/>
      <c r="X625" s="64" t="s">
        <v>2364</v>
      </c>
      <c r="Y625" s="439"/>
      <c r="Z625" s="439"/>
      <c r="AA625" s="439"/>
    </row>
    <row r="626" spans="1:27" ht="15" customHeight="1">
      <c r="A626" s="63">
        <f t="shared" si="65"/>
        <v>623</v>
      </c>
      <c r="B626" s="63" t="s">
        <v>1308</v>
      </c>
      <c r="C626" s="63" t="s">
        <v>2281</v>
      </c>
      <c r="D626" s="63" t="s">
        <v>1415</v>
      </c>
      <c r="E626" s="64">
        <v>1998</v>
      </c>
      <c r="F626" s="65" t="s">
        <v>189</v>
      </c>
      <c r="G626" s="389">
        <f t="shared" si="66"/>
        <v>0.69</v>
      </c>
      <c r="H626" s="389">
        <f t="shared" si="66"/>
        <v>0.61</v>
      </c>
      <c r="I626" s="389">
        <f t="shared" si="66"/>
        <v>0.51999999999999991</v>
      </c>
      <c r="J626" s="389">
        <f t="shared" si="66"/>
        <v>0.44</v>
      </c>
      <c r="K626" s="389">
        <f t="shared" si="66"/>
        <v>0.38</v>
      </c>
      <c r="L626" s="720">
        <v>0.06</v>
      </c>
      <c r="M626" s="63" t="s">
        <v>3184</v>
      </c>
      <c r="N626" s="440">
        <v>4.4999999999999998E-2</v>
      </c>
      <c r="O626" s="390">
        <v>6.0000000000000001E-3</v>
      </c>
      <c r="P626" s="390">
        <v>0</v>
      </c>
      <c r="Q626" s="390">
        <v>0</v>
      </c>
      <c r="R626" s="390">
        <v>0</v>
      </c>
      <c r="S626" s="63" t="s">
        <v>476</v>
      </c>
      <c r="T626" s="63"/>
      <c r="U626" s="1039"/>
      <c r="V626" s="1039"/>
      <c r="W626" s="1039"/>
      <c r="X626" s="64" t="s">
        <v>2364</v>
      </c>
      <c r="Y626" s="439"/>
      <c r="Z626" s="439"/>
      <c r="AA626" s="439"/>
    </row>
    <row r="627" spans="1:27" ht="15" customHeight="1">
      <c r="A627" s="63">
        <f t="shared" si="65"/>
        <v>624</v>
      </c>
      <c r="B627" s="63" t="s">
        <v>1308</v>
      </c>
      <c r="C627" s="63" t="s">
        <v>2421</v>
      </c>
      <c r="D627" s="63" t="s">
        <v>2039</v>
      </c>
      <c r="E627" s="64">
        <v>1998</v>
      </c>
      <c r="F627" s="65" t="s">
        <v>189</v>
      </c>
      <c r="G627" s="389">
        <f t="shared" si="66"/>
        <v>0.69</v>
      </c>
      <c r="H627" s="389">
        <f t="shared" si="66"/>
        <v>0.61</v>
      </c>
      <c r="I627" s="389">
        <f t="shared" si="66"/>
        <v>0.51999999999999991</v>
      </c>
      <c r="J627" s="389">
        <f t="shared" si="66"/>
        <v>0.44</v>
      </c>
      <c r="K627" s="389">
        <f t="shared" si="66"/>
        <v>0.38</v>
      </c>
      <c r="L627" s="720">
        <v>0.06</v>
      </c>
      <c r="M627" s="63" t="s">
        <v>3184</v>
      </c>
      <c r="N627" s="440">
        <v>4.4999999999999998E-2</v>
      </c>
      <c r="O627" s="390">
        <v>6.0000000000000001E-3</v>
      </c>
      <c r="P627" s="390">
        <v>0</v>
      </c>
      <c r="Q627" s="390">
        <v>0</v>
      </c>
      <c r="R627" s="390">
        <v>0</v>
      </c>
      <c r="S627" s="63" t="s">
        <v>476</v>
      </c>
      <c r="T627" s="63"/>
      <c r="U627" s="1039"/>
      <c r="V627" s="1039"/>
      <c r="W627" s="1039"/>
      <c r="X627" s="64" t="s">
        <v>2364</v>
      </c>
      <c r="Y627" s="439"/>
      <c r="Z627" s="439"/>
      <c r="AA627" s="439"/>
    </row>
    <row r="628" spans="1:27" ht="15" customHeight="1">
      <c r="A628" s="63">
        <f t="shared" si="65"/>
        <v>625</v>
      </c>
      <c r="B628" s="63" t="s">
        <v>1308</v>
      </c>
      <c r="C628" s="63" t="s">
        <v>2281</v>
      </c>
      <c r="D628" s="63" t="s">
        <v>2285</v>
      </c>
      <c r="E628" s="64">
        <v>1499</v>
      </c>
      <c r="F628" s="65" t="s">
        <v>144</v>
      </c>
      <c r="G628" s="389">
        <f t="shared" si="66"/>
        <v>0.65999999999999992</v>
      </c>
      <c r="H628" s="389">
        <f t="shared" si="66"/>
        <v>0.57999999999999996</v>
      </c>
      <c r="I628" s="389">
        <f t="shared" si="66"/>
        <v>0.48999999999999988</v>
      </c>
      <c r="J628" s="389">
        <f t="shared" si="66"/>
        <v>0.41</v>
      </c>
      <c r="K628" s="389">
        <f t="shared" si="66"/>
        <v>0.35</v>
      </c>
      <c r="L628" s="720">
        <v>0.06</v>
      </c>
      <c r="M628" s="63" t="s">
        <v>3161</v>
      </c>
      <c r="N628" s="440">
        <v>4.4999999999999998E-2</v>
      </c>
      <c r="O628" s="390">
        <v>6.0000000000000001E-3</v>
      </c>
      <c r="P628" s="390">
        <v>0</v>
      </c>
      <c r="Q628" s="390">
        <v>0</v>
      </c>
      <c r="R628" s="390">
        <v>0</v>
      </c>
      <c r="S628" s="63" t="s">
        <v>476</v>
      </c>
      <c r="T628" s="63"/>
      <c r="U628" s="1039"/>
      <c r="V628" s="1039"/>
      <c r="W628" s="1039"/>
      <c r="X628" s="64" t="s">
        <v>2364</v>
      </c>
      <c r="Y628" s="439"/>
      <c r="Z628" s="439"/>
      <c r="AA628" s="439"/>
    </row>
    <row r="629" spans="1:27" ht="15" customHeight="1">
      <c r="A629" s="63">
        <f t="shared" si="65"/>
        <v>626</v>
      </c>
      <c r="B629" s="63" t="s">
        <v>1308</v>
      </c>
      <c r="C629" s="63" t="s">
        <v>2281</v>
      </c>
      <c r="D629" s="63" t="s">
        <v>2286</v>
      </c>
      <c r="E629" s="64">
        <v>1998</v>
      </c>
      <c r="F629" s="65" t="s">
        <v>144</v>
      </c>
      <c r="G629" s="389">
        <f t="shared" si="66"/>
        <v>0.65999999999999992</v>
      </c>
      <c r="H629" s="389">
        <f t="shared" si="66"/>
        <v>0.57999999999999996</v>
      </c>
      <c r="I629" s="389">
        <f t="shared" si="66"/>
        <v>0.48999999999999988</v>
      </c>
      <c r="J629" s="389">
        <f t="shared" si="66"/>
        <v>0.41</v>
      </c>
      <c r="K629" s="389">
        <f t="shared" si="66"/>
        <v>0.35</v>
      </c>
      <c r="L629" s="720">
        <v>0.06</v>
      </c>
      <c r="M629" s="63" t="s">
        <v>3161</v>
      </c>
      <c r="N629" s="440">
        <v>4.4999999999999998E-2</v>
      </c>
      <c r="O629" s="390">
        <v>6.0000000000000001E-3</v>
      </c>
      <c r="P629" s="390">
        <v>0</v>
      </c>
      <c r="Q629" s="390">
        <v>0</v>
      </c>
      <c r="R629" s="390">
        <v>0</v>
      </c>
      <c r="S629" s="63" t="s">
        <v>476</v>
      </c>
      <c r="T629" s="63"/>
      <c r="U629" s="1039"/>
      <c r="V629" s="1039"/>
      <c r="W629" s="1039"/>
      <c r="X629" s="64" t="s">
        <v>2364</v>
      </c>
      <c r="Y629" s="439"/>
      <c r="Z629" s="439"/>
      <c r="AA629" s="439"/>
    </row>
    <row r="630" spans="1:27" ht="15" customHeight="1">
      <c r="A630" s="63">
        <f t="shared" si="65"/>
        <v>627</v>
      </c>
      <c r="B630" s="63" t="s">
        <v>1308</v>
      </c>
      <c r="C630" s="63" t="s">
        <v>2281</v>
      </c>
      <c r="D630" s="63" t="s">
        <v>2040</v>
      </c>
      <c r="E630" s="64">
        <v>1998</v>
      </c>
      <c r="F630" s="65" t="s">
        <v>144</v>
      </c>
      <c r="G630" s="389">
        <f t="shared" si="66"/>
        <v>0.65999999999999992</v>
      </c>
      <c r="H630" s="389">
        <f t="shared" si="66"/>
        <v>0.57999999999999996</v>
      </c>
      <c r="I630" s="389">
        <f t="shared" si="66"/>
        <v>0.48999999999999988</v>
      </c>
      <c r="J630" s="389">
        <f t="shared" si="66"/>
        <v>0.41</v>
      </c>
      <c r="K630" s="389">
        <f t="shared" si="66"/>
        <v>0.35</v>
      </c>
      <c r="L630" s="720">
        <v>0.06</v>
      </c>
      <c r="M630" s="63" t="s">
        <v>3161</v>
      </c>
      <c r="N630" s="440">
        <v>4.4999999999999998E-2</v>
      </c>
      <c r="O630" s="390">
        <v>6.0000000000000001E-3</v>
      </c>
      <c r="P630" s="390">
        <v>0</v>
      </c>
      <c r="Q630" s="390">
        <v>0</v>
      </c>
      <c r="R630" s="390">
        <v>0</v>
      </c>
      <c r="S630" s="63" t="s">
        <v>476</v>
      </c>
      <c r="T630" s="63"/>
      <c r="U630" s="1039"/>
      <c r="V630" s="1039"/>
      <c r="W630" s="1039"/>
      <c r="X630" s="64" t="s">
        <v>2364</v>
      </c>
      <c r="Y630" s="439"/>
      <c r="Z630" s="439"/>
      <c r="AA630" s="439"/>
    </row>
    <row r="631" spans="1:27" ht="15" customHeight="1">
      <c r="A631" s="63">
        <f t="shared" si="65"/>
        <v>628</v>
      </c>
      <c r="B631" s="63" t="s">
        <v>1308</v>
      </c>
      <c r="C631" s="63" t="s">
        <v>2281</v>
      </c>
      <c r="D631" s="63" t="s">
        <v>2041</v>
      </c>
      <c r="E631" s="64">
        <v>0</v>
      </c>
      <c r="F631" s="65" t="s">
        <v>621</v>
      </c>
      <c r="G631" s="389">
        <f t="shared" si="66"/>
        <v>0.54</v>
      </c>
      <c r="H631" s="389">
        <f t="shared" si="66"/>
        <v>0.45999999999999996</v>
      </c>
      <c r="I631" s="389">
        <f t="shared" si="66"/>
        <v>0.37</v>
      </c>
      <c r="J631" s="389">
        <f t="shared" si="66"/>
        <v>0.28999999999999998</v>
      </c>
      <c r="K631" s="389">
        <f t="shared" si="66"/>
        <v>0.23</v>
      </c>
      <c r="L631" s="720">
        <v>0.06</v>
      </c>
      <c r="M631" s="63" t="s">
        <v>3175</v>
      </c>
      <c r="N631" s="440">
        <v>4.4999999999999998E-2</v>
      </c>
      <c r="O631" s="390">
        <v>6.0000000000000001E-3</v>
      </c>
      <c r="P631" s="390">
        <v>0</v>
      </c>
      <c r="Q631" s="390">
        <v>0</v>
      </c>
      <c r="R631" s="390">
        <v>0</v>
      </c>
      <c r="S631" s="63" t="s">
        <v>476</v>
      </c>
      <c r="T631" s="63"/>
      <c r="U631" s="1039"/>
      <c r="V631" s="1039"/>
      <c r="W631" s="1039"/>
      <c r="X631" s="64" t="s">
        <v>2364</v>
      </c>
      <c r="Y631" s="439"/>
      <c r="Z631" s="439"/>
      <c r="AA631" s="439"/>
    </row>
    <row r="632" spans="1:27" ht="15" customHeight="1">
      <c r="A632" s="63">
        <f t="shared" si="65"/>
        <v>629</v>
      </c>
      <c r="B632" s="63" t="s">
        <v>1308</v>
      </c>
      <c r="C632" s="63" t="s">
        <v>2281</v>
      </c>
      <c r="D632" s="63" t="s">
        <v>2287</v>
      </c>
      <c r="E632" s="64">
        <v>0</v>
      </c>
      <c r="F632" s="65" t="s">
        <v>621</v>
      </c>
      <c r="G632" s="389">
        <f t="shared" si="66"/>
        <v>0.54</v>
      </c>
      <c r="H632" s="389">
        <f t="shared" si="66"/>
        <v>0.45999999999999996</v>
      </c>
      <c r="I632" s="389">
        <f t="shared" si="66"/>
        <v>0.37</v>
      </c>
      <c r="J632" s="389">
        <f t="shared" si="66"/>
        <v>0.28999999999999998</v>
      </c>
      <c r="K632" s="389">
        <f t="shared" si="66"/>
        <v>0.23</v>
      </c>
      <c r="L632" s="720">
        <v>0.06</v>
      </c>
      <c r="M632" s="63" t="s">
        <v>3175</v>
      </c>
      <c r="N632" s="440">
        <v>4.4999999999999998E-2</v>
      </c>
      <c r="O632" s="390">
        <v>6.0000000000000001E-3</v>
      </c>
      <c r="P632" s="390">
        <v>0</v>
      </c>
      <c r="Q632" s="390">
        <v>0</v>
      </c>
      <c r="R632" s="390">
        <v>0</v>
      </c>
      <c r="S632" s="63" t="s">
        <v>476</v>
      </c>
      <c r="T632" s="63"/>
      <c r="U632" s="1039"/>
      <c r="V632" s="1039"/>
      <c r="W632" s="1039"/>
      <c r="X632" s="64" t="s">
        <v>2364</v>
      </c>
      <c r="Y632" s="439"/>
      <c r="Z632" s="439"/>
      <c r="AA632" s="439"/>
    </row>
    <row r="633" spans="1:27" ht="15" customHeight="1">
      <c r="A633" s="63">
        <f t="shared" si="65"/>
        <v>630</v>
      </c>
      <c r="B633" s="63" t="s">
        <v>1308</v>
      </c>
      <c r="C633" s="63"/>
      <c r="D633" s="63"/>
      <c r="E633" s="64"/>
      <c r="F633" s="65"/>
      <c r="G633" s="389" t="e">
        <f t="shared" si="66"/>
        <v>#N/A</v>
      </c>
      <c r="H633" s="389" t="e">
        <f t="shared" si="66"/>
        <v>#N/A</v>
      </c>
      <c r="I633" s="389" t="e">
        <f t="shared" si="66"/>
        <v>#N/A</v>
      </c>
      <c r="J633" s="389" t="e">
        <f t="shared" si="66"/>
        <v>#N/A</v>
      </c>
      <c r="K633" s="389" t="e">
        <f t="shared" si="66"/>
        <v>#N/A</v>
      </c>
      <c r="L633" s="720"/>
      <c r="M633" s="63"/>
      <c r="N633" s="440"/>
      <c r="O633" s="390"/>
      <c r="P633" s="390">
        <v>0</v>
      </c>
      <c r="Q633" s="390">
        <v>0</v>
      </c>
      <c r="R633" s="390">
        <v>0</v>
      </c>
      <c r="S633" s="63" t="s">
        <v>476</v>
      </c>
      <c r="T633" s="63"/>
      <c r="U633" s="1039"/>
      <c r="V633" s="1039"/>
      <c r="W633" s="1039"/>
      <c r="X633" s="64" t="s">
        <v>2364</v>
      </c>
      <c r="Y633" s="439"/>
      <c r="Z633" s="439"/>
      <c r="AA633" s="439"/>
    </row>
    <row r="634" spans="1:27" ht="15" customHeight="1">
      <c r="A634" s="63">
        <f t="shared" si="65"/>
        <v>631</v>
      </c>
      <c r="B634" s="63" t="s">
        <v>1308</v>
      </c>
      <c r="C634" s="63"/>
      <c r="D634" s="63"/>
      <c r="E634" s="64"/>
      <c r="F634" s="65"/>
      <c r="G634" s="389" t="e">
        <f t="shared" si="66"/>
        <v>#N/A</v>
      </c>
      <c r="H634" s="389" t="e">
        <f t="shared" si="66"/>
        <v>#N/A</v>
      </c>
      <c r="I634" s="389" t="e">
        <f t="shared" si="66"/>
        <v>#N/A</v>
      </c>
      <c r="J634" s="389" t="e">
        <f t="shared" si="66"/>
        <v>#N/A</v>
      </c>
      <c r="K634" s="389" t="e">
        <f t="shared" si="66"/>
        <v>#N/A</v>
      </c>
      <c r="L634" s="720"/>
      <c r="M634" s="63"/>
      <c r="N634" s="440"/>
      <c r="O634" s="390"/>
      <c r="P634" s="390">
        <v>0</v>
      </c>
      <c r="Q634" s="390">
        <v>0</v>
      </c>
      <c r="R634" s="390">
        <v>0</v>
      </c>
      <c r="S634" s="63" t="s">
        <v>476</v>
      </c>
      <c r="T634" s="63"/>
      <c r="U634" s="1039"/>
      <c r="V634" s="1039"/>
      <c r="W634" s="1039"/>
      <c r="X634" s="64" t="s">
        <v>2364</v>
      </c>
      <c r="Y634" s="439"/>
      <c r="Z634" s="439"/>
      <c r="AA634" s="439"/>
    </row>
    <row r="635" spans="1:27" ht="15" customHeight="1">
      <c r="A635" s="63">
        <f t="shared" si="65"/>
        <v>632</v>
      </c>
      <c r="B635" s="63" t="s">
        <v>1308</v>
      </c>
      <c r="C635" s="63"/>
      <c r="D635" s="63"/>
      <c r="E635" s="64"/>
      <c r="F635" s="65"/>
      <c r="G635" s="389" t="e">
        <f t="shared" si="66"/>
        <v>#N/A</v>
      </c>
      <c r="H635" s="389" t="e">
        <f t="shared" si="66"/>
        <v>#N/A</v>
      </c>
      <c r="I635" s="389" t="e">
        <f t="shared" si="66"/>
        <v>#N/A</v>
      </c>
      <c r="J635" s="389" t="e">
        <f t="shared" si="66"/>
        <v>#N/A</v>
      </c>
      <c r="K635" s="389" t="e">
        <f t="shared" si="66"/>
        <v>#N/A</v>
      </c>
      <c r="L635" s="720"/>
      <c r="M635" s="63"/>
      <c r="N635" s="440"/>
      <c r="O635" s="390"/>
      <c r="P635" s="390">
        <v>0</v>
      </c>
      <c r="Q635" s="390">
        <v>0</v>
      </c>
      <c r="R635" s="390">
        <v>0</v>
      </c>
      <c r="S635" s="63" t="s">
        <v>476</v>
      </c>
      <c r="T635" s="63"/>
      <c r="U635" s="1039"/>
      <c r="V635" s="1039"/>
      <c r="W635" s="1039"/>
      <c r="X635" s="64" t="s">
        <v>2364</v>
      </c>
      <c r="Y635" s="439"/>
      <c r="Z635" s="439"/>
      <c r="AA635" s="439"/>
    </row>
    <row r="636" spans="1:27" ht="15" customHeight="1">
      <c r="A636" s="63">
        <f t="shared" si="65"/>
        <v>633</v>
      </c>
      <c r="B636" s="63" t="s">
        <v>1308</v>
      </c>
      <c r="C636" s="63"/>
      <c r="D636" s="63"/>
      <c r="E636" s="64"/>
      <c r="F636" s="65"/>
      <c r="G636" s="389" t="e">
        <f t="shared" si="66"/>
        <v>#N/A</v>
      </c>
      <c r="H636" s="389" t="e">
        <f t="shared" si="66"/>
        <v>#N/A</v>
      </c>
      <c r="I636" s="389" t="e">
        <f t="shared" si="66"/>
        <v>#N/A</v>
      </c>
      <c r="J636" s="389" t="e">
        <f t="shared" si="66"/>
        <v>#N/A</v>
      </c>
      <c r="K636" s="389" t="e">
        <f t="shared" si="66"/>
        <v>#N/A</v>
      </c>
      <c r="L636" s="720"/>
      <c r="M636" s="63"/>
      <c r="N636" s="440"/>
      <c r="O636" s="390"/>
      <c r="P636" s="390">
        <v>0</v>
      </c>
      <c r="Q636" s="390">
        <v>0</v>
      </c>
      <c r="R636" s="390">
        <v>0</v>
      </c>
      <c r="S636" s="63" t="s">
        <v>476</v>
      </c>
      <c r="T636" s="63"/>
      <c r="U636" s="1039"/>
      <c r="V636" s="1039"/>
      <c r="W636" s="1039"/>
      <c r="X636" s="64" t="s">
        <v>2364</v>
      </c>
      <c r="Y636" s="439"/>
      <c r="Z636" s="439"/>
      <c r="AA636" s="439"/>
    </row>
    <row r="637" spans="1:27" ht="15" customHeight="1">
      <c r="A637" s="63">
        <f t="shared" si="65"/>
        <v>634</v>
      </c>
      <c r="B637" s="63" t="s">
        <v>1308</v>
      </c>
      <c r="C637" s="63"/>
      <c r="D637" s="63"/>
      <c r="E637" s="64"/>
      <c r="F637" s="65"/>
      <c r="G637" s="389" t="e">
        <f t="shared" si="66"/>
        <v>#N/A</v>
      </c>
      <c r="H637" s="389" t="e">
        <f t="shared" si="66"/>
        <v>#N/A</v>
      </c>
      <c r="I637" s="389" t="e">
        <f t="shared" si="66"/>
        <v>#N/A</v>
      </c>
      <c r="J637" s="389" t="e">
        <f t="shared" si="66"/>
        <v>#N/A</v>
      </c>
      <c r="K637" s="389" t="e">
        <f t="shared" si="66"/>
        <v>#N/A</v>
      </c>
      <c r="L637" s="720"/>
      <c r="M637" s="63"/>
      <c r="N637" s="440"/>
      <c r="O637" s="390"/>
      <c r="P637" s="390">
        <v>0</v>
      </c>
      <c r="Q637" s="390">
        <v>0</v>
      </c>
      <c r="R637" s="390">
        <v>0</v>
      </c>
      <c r="S637" s="63" t="s">
        <v>476</v>
      </c>
      <c r="T637" s="63"/>
      <c r="U637" s="1039"/>
      <c r="V637" s="1039"/>
      <c r="W637" s="1039"/>
      <c r="X637" s="64" t="s">
        <v>2364</v>
      </c>
      <c r="Y637" s="439"/>
      <c r="Z637" s="439"/>
      <c r="AA637" s="439"/>
    </row>
    <row r="638" spans="1:27" ht="15" customHeight="1">
      <c r="A638" s="63">
        <f t="shared" si="65"/>
        <v>635</v>
      </c>
      <c r="B638" s="63" t="s">
        <v>1308</v>
      </c>
      <c r="C638" s="63"/>
      <c r="D638" s="63"/>
      <c r="E638" s="64"/>
      <c r="F638" s="65"/>
      <c r="G638" s="389" t="e">
        <f t="shared" si="66"/>
        <v>#N/A</v>
      </c>
      <c r="H638" s="389" t="e">
        <f t="shared" si="66"/>
        <v>#N/A</v>
      </c>
      <c r="I638" s="389" t="e">
        <f t="shared" si="66"/>
        <v>#N/A</v>
      </c>
      <c r="J638" s="389" t="e">
        <f t="shared" si="66"/>
        <v>#N/A</v>
      </c>
      <c r="K638" s="389" t="e">
        <f t="shared" si="66"/>
        <v>#N/A</v>
      </c>
      <c r="L638" s="720"/>
      <c r="M638" s="63"/>
      <c r="N638" s="440"/>
      <c r="O638" s="390"/>
      <c r="P638" s="390">
        <v>0</v>
      </c>
      <c r="Q638" s="390">
        <v>0</v>
      </c>
      <c r="R638" s="390">
        <v>0</v>
      </c>
      <c r="S638" s="63" t="s">
        <v>476</v>
      </c>
      <c r="T638" s="63"/>
      <c r="U638" s="1039"/>
      <c r="V638" s="1039"/>
      <c r="W638" s="1039"/>
      <c r="X638" s="64" t="s">
        <v>2364</v>
      </c>
      <c r="Y638" s="439"/>
      <c r="Z638" s="439"/>
      <c r="AA638" s="439"/>
    </row>
    <row r="639" spans="1:27" ht="15" customHeight="1">
      <c r="A639" s="63">
        <f t="shared" si="65"/>
        <v>636</v>
      </c>
      <c r="B639" s="63" t="s">
        <v>1308</v>
      </c>
      <c r="C639" s="63" t="s">
        <v>2055</v>
      </c>
      <c r="D639" s="1234" t="s">
        <v>2422</v>
      </c>
      <c r="E639" s="64">
        <v>3445</v>
      </c>
      <c r="F639" s="65" t="s">
        <v>2047</v>
      </c>
      <c r="G639" s="389">
        <f t="shared" si="66"/>
        <v>0.54</v>
      </c>
      <c r="H639" s="389">
        <f t="shared" si="66"/>
        <v>0.45999999999999996</v>
      </c>
      <c r="I639" s="389">
        <f t="shared" si="66"/>
        <v>0.37</v>
      </c>
      <c r="J639" s="389">
        <f t="shared" si="66"/>
        <v>0.28999999999999998</v>
      </c>
      <c r="K639" s="389">
        <f t="shared" si="66"/>
        <v>0.23</v>
      </c>
      <c r="L639" s="720">
        <v>0.06</v>
      </c>
      <c r="M639" s="63" t="s">
        <v>3175</v>
      </c>
      <c r="N639" s="440">
        <v>4.4999999999999998E-2</v>
      </c>
      <c r="O639" s="390">
        <v>6.0000000000000001E-3</v>
      </c>
      <c r="P639" s="390">
        <v>0</v>
      </c>
      <c r="Q639" s="390">
        <v>0</v>
      </c>
      <c r="R639" s="390">
        <v>0</v>
      </c>
      <c r="S639" s="63" t="s">
        <v>476</v>
      </c>
      <c r="T639" s="63"/>
      <c r="U639" s="1039"/>
      <c r="V639" s="1039"/>
      <c r="W639" s="1039"/>
      <c r="X639" s="64" t="s">
        <v>2364</v>
      </c>
      <c r="Y639" s="439"/>
      <c r="Z639" s="439"/>
      <c r="AA639" s="439"/>
    </row>
    <row r="640" spans="1:27" ht="15" customHeight="1">
      <c r="A640" s="63">
        <f t="shared" si="65"/>
        <v>637</v>
      </c>
      <c r="B640" s="63" t="s">
        <v>1308</v>
      </c>
      <c r="C640" s="63" t="s">
        <v>2423</v>
      </c>
      <c r="D640" s="1234" t="s">
        <v>1416</v>
      </c>
      <c r="E640" s="64">
        <v>3445</v>
      </c>
      <c r="F640" s="65" t="s">
        <v>619</v>
      </c>
      <c r="G640" s="389">
        <f t="shared" si="66"/>
        <v>0.54</v>
      </c>
      <c r="H640" s="389">
        <f t="shared" si="66"/>
        <v>0.45999999999999996</v>
      </c>
      <c r="I640" s="389">
        <f t="shared" si="66"/>
        <v>0.37</v>
      </c>
      <c r="J640" s="389">
        <f t="shared" si="66"/>
        <v>0.28999999999999998</v>
      </c>
      <c r="K640" s="389">
        <f t="shared" si="66"/>
        <v>0.23</v>
      </c>
      <c r="L640" s="720">
        <v>0.06</v>
      </c>
      <c r="M640" s="63" t="s">
        <v>3175</v>
      </c>
      <c r="N640" s="440">
        <v>4.4999999999999998E-2</v>
      </c>
      <c r="O640" s="390">
        <v>6.0000000000000001E-3</v>
      </c>
      <c r="P640" s="390">
        <v>0</v>
      </c>
      <c r="Q640" s="390">
        <v>0</v>
      </c>
      <c r="R640" s="390">
        <v>0</v>
      </c>
      <c r="S640" s="63" t="s">
        <v>476</v>
      </c>
      <c r="T640" s="63"/>
      <c r="U640" s="1039"/>
      <c r="V640" s="1039"/>
      <c r="W640" s="1039"/>
      <c r="X640" s="64" t="s">
        <v>2364</v>
      </c>
      <c r="Y640" s="439"/>
      <c r="Z640" s="439"/>
      <c r="AA640" s="439"/>
    </row>
    <row r="641" spans="1:27" ht="15" customHeight="1">
      <c r="A641" s="63">
        <f t="shared" si="65"/>
        <v>638</v>
      </c>
      <c r="B641" s="63" t="s">
        <v>1308</v>
      </c>
      <c r="C641" s="63" t="s">
        <v>2055</v>
      </c>
      <c r="D641" s="1234" t="s">
        <v>2288</v>
      </c>
      <c r="E641" s="64">
        <v>3445</v>
      </c>
      <c r="F641" s="65" t="s">
        <v>619</v>
      </c>
      <c r="G641" s="389">
        <f t="shared" si="66"/>
        <v>0.54</v>
      </c>
      <c r="H641" s="389">
        <f t="shared" si="66"/>
        <v>0.45999999999999996</v>
      </c>
      <c r="I641" s="389">
        <f t="shared" si="66"/>
        <v>0.37</v>
      </c>
      <c r="J641" s="389">
        <f t="shared" si="66"/>
        <v>0.28999999999999998</v>
      </c>
      <c r="K641" s="389">
        <f t="shared" si="66"/>
        <v>0.23</v>
      </c>
      <c r="L641" s="720">
        <v>0.06</v>
      </c>
      <c r="M641" s="63" t="s">
        <v>3175</v>
      </c>
      <c r="N641" s="440">
        <v>4.4999999999999998E-2</v>
      </c>
      <c r="O641" s="390">
        <v>6.0000000000000001E-3</v>
      </c>
      <c r="P641" s="390">
        <v>0</v>
      </c>
      <c r="Q641" s="390">
        <v>0</v>
      </c>
      <c r="R641" s="390">
        <v>0</v>
      </c>
      <c r="S641" s="63" t="s">
        <v>476</v>
      </c>
      <c r="T641" s="63"/>
      <c r="U641" s="1039"/>
      <c r="V641" s="1039"/>
      <c r="W641" s="1039"/>
      <c r="X641" s="64" t="s">
        <v>2364</v>
      </c>
      <c r="Y641" s="439"/>
      <c r="Z641" s="439"/>
      <c r="AA641" s="439"/>
    </row>
    <row r="642" spans="1:27" ht="15" customHeight="1">
      <c r="A642" s="63">
        <f t="shared" si="65"/>
        <v>639</v>
      </c>
      <c r="B642" s="63" t="s">
        <v>1308</v>
      </c>
      <c r="C642" s="63" t="s">
        <v>2055</v>
      </c>
      <c r="D642" s="1234" t="s">
        <v>2042</v>
      </c>
      <c r="E642" s="64">
        <v>3456</v>
      </c>
      <c r="F642" s="65" t="s">
        <v>2048</v>
      </c>
      <c r="G642" s="389">
        <f t="shared" si="66"/>
        <v>0.54</v>
      </c>
      <c r="H642" s="389">
        <f t="shared" si="66"/>
        <v>0.45999999999999996</v>
      </c>
      <c r="I642" s="389">
        <f t="shared" si="66"/>
        <v>0.37</v>
      </c>
      <c r="J642" s="389">
        <f t="shared" si="66"/>
        <v>0.28999999999999998</v>
      </c>
      <c r="K642" s="389">
        <f t="shared" si="66"/>
        <v>0.23</v>
      </c>
      <c r="L642" s="720">
        <v>0.06</v>
      </c>
      <c r="M642" s="63" t="s">
        <v>3175</v>
      </c>
      <c r="N642" s="440">
        <v>4.4999999999999998E-2</v>
      </c>
      <c r="O642" s="390">
        <v>6.0000000000000001E-3</v>
      </c>
      <c r="P642" s="390">
        <v>0</v>
      </c>
      <c r="Q642" s="390">
        <v>0</v>
      </c>
      <c r="R642" s="390">
        <v>0</v>
      </c>
      <c r="S642" s="63" t="s">
        <v>476</v>
      </c>
      <c r="T642" s="63"/>
      <c r="U642" s="1039"/>
      <c r="V642" s="1039"/>
      <c r="W642" s="1039"/>
      <c r="X642" s="64" t="s">
        <v>2364</v>
      </c>
      <c r="Y642" s="439"/>
      <c r="Z642" s="439"/>
      <c r="AA642" s="439"/>
    </row>
    <row r="643" spans="1:27" ht="15" customHeight="1">
      <c r="A643" s="63">
        <f t="shared" si="65"/>
        <v>640</v>
      </c>
      <c r="B643" s="63" t="s">
        <v>2332</v>
      </c>
      <c r="C643" s="63" t="s">
        <v>2055</v>
      </c>
      <c r="D643" s="1234" t="s">
        <v>2049</v>
      </c>
      <c r="E643" s="64">
        <v>3456</v>
      </c>
      <c r="F643" s="65" t="s">
        <v>685</v>
      </c>
      <c r="G643" s="389">
        <f t="shared" si="66"/>
        <v>0.54</v>
      </c>
      <c r="H643" s="389">
        <f t="shared" si="66"/>
        <v>0.45999999999999996</v>
      </c>
      <c r="I643" s="389">
        <f t="shared" si="66"/>
        <v>0.37</v>
      </c>
      <c r="J643" s="389">
        <f t="shared" si="66"/>
        <v>0.28999999999999998</v>
      </c>
      <c r="K643" s="389">
        <f t="shared" si="66"/>
        <v>0.23</v>
      </c>
      <c r="L643" s="720">
        <v>0.06</v>
      </c>
      <c r="M643" s="63" t="s">
        <v>3175</v>
      </c>
      <c r="N643" s="440">
        <v>4.4999999999999998E-2</v>
      </c>
      <c r="O643" s="390">
        <v>6.0000000000000001E-3</v>
      </c>
      <c r="P643" s="390">
        <v>0</v>
      </c>
      <c r="Q643" s="390">
        <v>0</v>
      </c>
      <c r="R643" s="390">
        <v>0</v>
      </c>
      <c r="S643" s="63" t="s">
        <v>476</v>
      </c>
      <c r="T643" s="63"/>
      <c r="U643" s="1039"/>
      <c r="V643" s="1039"/>
      <c r="W643" s="1039"/>
      <c r="X643" s="64" t="s">
        <v>2364</v>
      </c>
      <c r="Y643" s="439"/>
      <c r="Z643" s="439"/>
      <c r="AA643" s="439"/>
    </row>
    <row r="644" spans="1:27" ht="15" customHeight="1">
      <c r="A644" s="63">
        <f t="shared" si="65"/>
        <v>641</v>
      </c>
      <c r="B644" s="63" t="s">
        <v>1308</v>
      </c>
      <c r="C644" s="63" t="s">
        <v>2055</v>
      </c>
      <c r="D644" s="63" t="s">
        <v>2424</v>
      </c>
      <c r="E644" s="64">
        <v>2487</v>
      </c>
      <c r="F644" s="65" t="s">
        <v>2050</v>
      </c>
      <c r="G644" s="389">
        <f t="shared" si="66"/>
        <v>0.75</v>
      </c>
      <c r="H644" s="389">
        <f t="shared" si="66"/>
        <v>0.66999999999999993</v>
      </c>
      <c r="I644" s="389">
        <f t="shared" si="66"/>
        <v>0.57999999999999996</v>
      </c>
      <c r="J644" s="389">
        <f t="shared" si="66"/>
        <v>0.5</v>
      </c>
      <c r="K644" s="389">
        <f t="shared" si="66"/>
        <v>0.44</v>
      </c>
      <c r="L644" s="720">
        <v>0.06</v>
      </c>
      <c r="M644" s="63" t="s">
        <v>3156</v>
      </c>
      <c r="N644" s="440">
        <v>4.4999999999999998E-2</v>
      </c>
      <c r="O644" s="390">
        <v>6.0000000000000001E-3</v>
      </c>
      <c r="P644" s="390">
        <v>0</v>
      </c>
      <c r="Q644" s="390">
        <v>0</v>
      </c>
      <c r="R644" s="390">
        <v>0</v>
      </c>
      <c r="S644" s="63" t="s">
        <v>476</v>
      </c>
      <c r="T644" s="63"/>
      <c r="U644" s="1039"/>
      <c r="V644" s="1039"/>
      <c r="W644" s="1039"/>
      <c r="X644" s="64" t="s">
        <v>2364</v>
      </c>
      <c r="Y644" s="439"/>
      <c r="Z644" s="439"/>
      <c r="AA644" s="439"/>
    </row>
    <row r="645" spans="1:27" ht="15" customHeight="1">
      <c r="A645" s="63">
        <f t="shared" si="65"/>
        <v>642</v>
      </c>
      <c r="B645" s="63" t="s">
        <v>1308</v>
      </c>
      <c r="C645" s="63" t="s">
        <v>2055</v>
      </c>
      <c r="D645" s="1234" t="s">
        <v>2043</v>
      </c>
      <c r="E645" s="64">
        <v>2487</v>
      </c>
      <c r="F645" s="65" t="s">
        <v>2050</v>
      </c>
      <c r="G645" s="389">
        <f t="shared" si="66"/>
        <v>0.75</v>
      </c>
      <c r="H645" s="389">
        <f t="shared" si="66"/>
        <v>0.66999999999999993</v>
      </c>
      <c r="I645" s="389">
        <f t="shared" si="66"/>
        <v>0.57999999999999996</v>
      </c>
      <c r="J645" s="389">
        <f t="shared" si="66"/>
        <v>0.5</v>
      </c>
      <c r="K645" s="389">
        <f t="shared" si="66"/>
        <v>0.44</v>
      </c>
      <c r="L645" s="720">
        <v>0.06</v>
      </c>
      <c r="M645" s="63" t="s">
        <v>3156</v>
      </c>
      <c r="N645" s="440">
        <v>4.4999999999999998E-2</v>
      </c>
      <c r="O645" s="390">
        <v>6.0000000000000001E-3</v>
      </c>
      <c r="P645" s="390">
        <v>0</v>
      </c>
      <c r="Q645" s="390">
        <v>0</v>
      </c>
      <c r="R645" s="390">
        <v>0</v>
      </c>
      <c r="S645" s="63" t="s">
        <v>476</v>
      </c>
      <c r="T645" s="63"/>
      <c r="U645" s="1039"/>
      <c r="V645" s="1039"/>
      <c r="W645" s="1039"/>
      <c r="X645" s="64" t="s">
        <v>2364</v>
      </c>
      <c r="Y645" s="439"/>
      <c r="Z645" s="439"/>
      <c r="AA645" s="439"/>
    </row>
    <row r="646" spans="1:27" ht="15" customHeight="1">
      <c r="A646" s="63">
        <f t="shared" si="65"/>
        <v>643</v>
      </c>
      <c r="B646" s="63" t="s">
        <v>1308</v>
      </c>
      <c r="C646" s="63" t="s">
        <v>2055</v>
      </c>
      <c r="D646" s="1234" t="s">
        <v>2425</v>
      </c>
      <c r="E646" s="64">
        <v>2487</v>
      </c>
      <c r="F646" s="65" t="s">
        <v>685</v>
      </c>
      <c r="G646" s="389">
        <f t="shared" si="66"/>
        <v>0.75</v>
      </c>
      <c r="H646" s="389">
        <f t="shared" si="66"/>
        <v>0.66999999999999993</v>
      </c>
      <c r="I646" s="389">
        <f t="shared" si="66"/>
        <v>0.57999999999999996</v>
      </c>
      <c r="J646" s="389">
        <f t="shared" si="66"/>
        <v>0.5</v>
      </c>
      <c r="K646" s="389">
        <f t="shared" si="66"/>
        <v>0.44</v>
      </c>
      <c r="L646" s="720">
        <v>0.06</v>
      </c>
      <c r="M646" s="63" t="s">
        <v>3156</v>
      </c>
      <c r="N646" s="440">
        <v>4.4999999999999998E-2</v>
      </c>
      <c r="O646" s="390">
        <v>6.0000000000000001E-3</v>
      </c>
      <c r="P646" s="390">
        <v>0</v>
      </c>
      <c r="Q646" s="390">
        <v>0</v>
      </c>
      <c r="R646" s="390">
        <v>0</v>
      </c>
      <c r="S646" s="63" t="s">
        <v>476</v>
      </c>
      <c r="T646" s="63"/>
      <c r="U646" s="1039"/>
      <c r="V646" s="1039"/>
      <c r="W646" s="1039"/>
      <c r="X646" s="64" t="s">
        <v>2364</v>
      </c>
      <c r="Y646" s="439"/>
      <c r="Z646" s="439"/>
      <c r="AA646" s="439"/>
    </row>
    <row r="647" spans="1:27" ht="15" customHeight="1">
      <c r="A647" s="63">
        <f t="shared" si="65"/>
        <v>644</v>
      </c>
      <c r="B647" s="63" t="s">
        <v>1308</v>
      </c>
      <c r="C647" s="63" t="s">
        <v>2055</v>
      </c>
      <c r="D647" s="63" t="s">
        <v>2289</v>
      </c>
      <c r="E647" s="64">
        <v>2487</v>
      </c>
      <c r="F647" s="65" t="s">
        <v>685</v>
      </c>
      <c r="G647" s="389">
        <f t="shared" si="66"/>
        <v>0.75</v>
      </c>
      <c r="H647" s="389">
        <f t="shared" si="66"/>
        <v>0.66999999999999993</v>
      </c>
      <c r="I647" s="389">
        <f t="shared" si="66"/>
        <v>0.57999999999999996</v>
      </c>
      <c r="J647" s="389">
        <f t="shared" si="66"/>
        <v>0.5</v>
      </c>
      <c r="K647" s="389">
        <f t="shared" si="66"/>
        <v>0.44</v>
      </c>
      <c r="L647" s="720">
        <v>0.06</v>
      </c>
      <c r="M647" s="63" t="s">
        <v>3156</v>
      </c>
      <c r="N647" s="440">
        <v>4.4999999999999998E-2</v>
      </c>
      <c r="O647" s="390">
        <v>6.0000000000000001E-3</v>
      </c>
      <c r="P647" s="390">
        <v>0</v>
      </c>
      <c r="Q647" s="390">
        <v>0</v>
      </c>
      <c r="R647" s="390">
        <v>0</v>
      </c>
      <c r="S647" s="63" t="s">
        <v>476</v>
      </c>
      <c r="T647" s="63"/>
      <c r="U647" s="1039"/>
      <c r="V647" s="1039"/>
      <c r="W647" s="1039"/>
      <c r="X647" s="64" t="s">
        <v>2364</v>
      </c>
      <c r="Y647" s="439"/>
      <c r="Z647" s="439"/>
      <c r="AA647" s="439"/>
    </row>
    <row r="648" spans="1:27" ht="15" customHeight="1">
      <c r="A648" s="1236">
        <f t="shared" si="65"/>
        <v>645</v>
      </c>
      <c r="B648" s="1236" t="s">
        <v>1306</v>
      </c>
      <c r="C648" s="1236" t="s">
        <v>2055</v>
      </c>
      <c r="D648" s="1236" t="s">
        <v>3149</v>
      </c>
      <c r="E648" s="1235">
        <v>1987</v>
      </c>
      <c r="F648" s="1237" t="s">
        <v>55</v>
      </c>
      <c r="G648" s="389">
        <f t="shared" si="66"/>
        <v>0.7</v>
      </c>
      <c r="H648" s="389">
        <f t="shared" si="66"/>
        <v>0.62</v>
      </c>
      <c r="I648" s="389">
        <f t="shared" si="66"/>
        <v>0.52999999999999992</v>
      </c>
      <c r="J648" s="389">
        <f t="shared" si="66"/>
        <v>0.45</v>
      </c>
      <c r="K648" s="389">
        <f t="shared" si="66"/>
        <v>0.39</v>
      </c>
      <c r="L648" s="720">
        <v>0.06</v>
      </c>
      <c r="M648" s="63" t="s">
        <v>3159</v>
      </c>
      <c r="N648" s="1238">
        <v>4.4999999999999998E-2</v>
      </c>
      <c r="O648" s="1239">
        <v>6.0000000000000001E-3</v>
      </c>
      <c r="P648" s="1239">
        <v>0</v>
      </c>
      <c r="Q648" s="1239">
        <v>0</v>
      </c>
      <c r="R648" s="1239">
        <v>0</v>
      </c>
      <c r="S648" s="1236" t="s">
        <v>476</v>
      </c>
      <c r="T648" s="1236"/>
      <c r="U648" s="1240"/>
      <c r="V648" s="1240"/>
      <c r="W648" s="1240"/>
      <c r="X648" s="64" t="s">
        <v>2364</v>
      </c>
      <c r="Y648" s="439"/>
      <c r="Z648" s="439"/>
      <c r="AA648" s="439"/>
    </row>
    <row r="649" spans="1:27" ht="15" customHeight="1">
      <c r="A649" s="1236">
        <f t="shared" si="65"/>
        <v>646</v>
      </c>
      <c r="B649" s="1236" t="s">
        <v>1306</v>
      </c>
      <c r="C649" s="1236" t="s">
        <v>2055</v>
      </c>
      <c r="D649" s="1236" t="s">
        <v>3150</v>
      </c>
      <c r="E649" s="1235">
        <v>1987</v>
      </c>
      <c r="F649" s="1237" t="s">
        <v>55</v>
      </c>
      <c r="G649" s="389">
        <f t="shared" si="66"/>
        <v>0.7</v>
      </c>
      <c r="H649" s="389">
        <f t="shared" si="66"/>
        <v>0.62</v>
      </c>
      <c r="I649" s="389">
        <f t="shared" si="66"/>
        <v>0.52999999999999992</v>
      </c>
      <c r="J649" s="389">
        <f t="shared" si="66"/>
        <v>0.45</v>
      </c>
      <c r="K649" s="389">
        <f t="shared" si="66"/>
        <v>0.39</v>
      </c>
      <c r="L649" s="720">
        <v>0.06</v>
      </c>
      <c r="M649" s="63" t="s">
        <v>3159</v>
      </c>
      <c r="N649" s="1238">
        <v>4.4999999999999998E-2</v>
      </c>
      <c r="O649" s="1239">
        <v>6.0000000000000001E-3</v>
      </c>
      <c r="P649" s="1239">
        <v>0</v>
      </c>
      <c r="Q649" s="1239">
        <v>0</v>
      </c>
      <c r="R649" s="1239">
        <v>0</v>
      </c>
      <c r="S649" s="1236" t="s">
        <v>476</v>
      </c>
      <c r="T649" s="1236"/>
      <c r="U649" s="1240"/>
      <c r="V649" s="1240"/>
      <c r="W649" s="1240"/>
      <c r="X649" s="64" t="s">
        <v>2364</v>
      </c>
      <c r="Y649" s="439"/>
      <c r="Z649" s="439"/>
      <c r="AA649" s="439"/>
    </row>
    <row r="650" spans="1:27" ht="15" customHeight="1">
      <c r="A650" s="63">
        <f t="shared" si="65"/>
        <v>647</v>
      </c>
      <c r="B650" s="63" t="s">
        <v>1308</v>
      </c>
      <c r="C650" s="63" t="s">
        <v>2055</v>
      </c>
      <c r="D650" s="1234" t="s">
        <v>2426</v>
      </c>
      <c r="E650" s="64">
        <v>1987</v>
      </c>
      <c r="F650" s="65" t="s">
        <v>379</v>
      </c>
      <c r="G650" s="389">
        <f t="shared" si="66"/>
        <v>0.7</v>
      </c>
      <c r="H650" s="389">
        <f t="shared" si="66"/>
        <v>0.62</v>
      </c>
      <c r="I650" s="389">
        <f t="shared" si="66"/>
        <v>0.52999999999999992</v>
      </c>
      <c r="J650" s="389">
        <f t="shared" si="66"/>
        <v>0.45</v>
      </c>
      <c r="K650" s="389">
        <f t="shared" si="66"/>
        <v>0.39</v>
      </c>
      <c r="L650" s="720">
        <v>0.06</v>
      </c>
      <c r="M650" s="63" t="s">
        <v>3159</v>
      </c>
      <c r="N650" s="440">
        <v>4.4999999999999998E-2</v>
      </c>
      <c r="O650" s="390">
        <v>6.0000000000000001E-3</v>
      </c>
      <c r="P650" s="390">
        <v>0</v>
      </c>
      <c r="Q650" s="390">
        <v>0</v>
      </c>
      <c r="R650" s="390">
        <v>0</v>
      </c>
      <c r="S650" s="63" t="s">
        <v>476</v>
      </c>
      <c r="T650" s="63"/>
      <c r="U650" s="1039"/>
      <c r="V650" s="1039"/>
      <c r="W650" s="1039"/>
      <c r="X650" s="64" t="s">
        <v>2364</v>
      </c>
      <c r="Y650" s="439"/>
      <c r="Z650" s="439"/>
      <c r="AA650" s="439"/>
    </row>
    <row r="651" spans="1:27" ht="15" customHeight="1">
      <c r="A651" s="63">
        <f t="shared" si="65"/>
        <v>648</v>
      </c>
      <c r="B651" s="63" t="s">
        <v>1308</v>
      </c>
      <c r="C651" s="63" t="s">
        <v>2055</v>
      </c>
      <c r="D651" s="1234" t="s">
        <v>2051</v>
      </c>
      <c r="E651" s="64">
        <v>1987</v>
      </c>
      <c r="F651" s="65" t="s">
        <v>2052</v>
      </c>
      <c r="G651" s="389">
        <f t="shared" si="66"/>
        <v>0.7</v>
      </c>
      <c r="H651" s="389">
        <f t="shared" si="66"/>
        <v>0.62</v>
      </c>
      <c r="I651" s="389">
        <f t="shared" si="66"/>
        <v>0.52999999999999992</v>
      </c>
      <c r="J651" s="389">
        <f t="shared" si="66"/>
        <v>0.45</v>
      </c>
      <c r="K651" s="389">
        <f t="shared" si="66"/>
        <v>0.39</v>
      </c>
      <c r="L651" s="720">
        <v>0.06</v>
      </c>
      <c r="M651" s="63" t="s">
        <v>3159</v>
      </c>
      <c r="N651" s="440">
        <v>4.4999999999999998E-2</v>
      </c>
      <c r="O651" s="390">
        <v>6.0000000000000001E-3</v>
      </c>
      <c r="P651" s="390">
        <v>0</v>
      </c>
      <c r="Q651" s="390">
        <v>0</v>
      </c>
      <c r="R651" s="390">
        <v>0</v>
      </c>
      <c r="S651" s="63" t="s">
        <v>476</v>
      </c>
      <c r="T651" s="63"/>
      <c r="U651" s="1039"/>
      <c r="V651" s="1039"/>
      <c r="W651" s="1039"/>
      <c r="X651" s="64" t="s">
        <v>2364</v>
      </c>
      <c r="Y651" s="439"/>
      <c r="Z651" s="439"/>
      <c r="AA651" s="439"/>
    </row>
    <row r="652" spans="1:27" ht="15" customHeight="1">
      <c r="A652" s="63">
        <f t="shared" si="65"/>
        <v>649</v>
      </c>
      <c r="B652" s="63" t="s">
        <v>1308</v>
      </c>
      <c r="C652" s="63" t="s">
        <v>2055</v>
      </c>
      <c r="D652" s="1234" t="s">
        <v>2427</v>
      </c>
      <c r="E652" s="64">
        <v>1987</v>
      </c>
      <c r="F652" s="65" t="s">
        <v>379</v>
      </c>
      <c r="G652" s="389">
        <f t="shared" si="66"/>
        <v>0.7</v>
      </c>
      <c r="H652" s="389">
        <f t="shared" si="66"/>
        <v>0.62</v>
      </c>
      <c r="I652" s="389">
        <f t="shared" si="66"/>
        <v>0.52999999999999992</v>
      </c>
      <c r="J652" s="389">
        <f t="shared" si="66"/>
        <v>0.45</v>
      </c>
      <c r="K652" s="389">
        <f t="shared" si="66"/>
        <v>0.39</v>
      </c>
      <c r="L652" s="720">
        <v>0.06</v>
      </c>
      <c r="M652" s="63" t="s">
        <v>3159</v>
      </c>
      <c r="N652" s="440">
        <v>4.4999999999999998E-2</v>
      </c>
      <c r="O652" s="390">
        <v>6.0000000000000001E-3</v>
      </c>
      <c r="P652" s="390">
        <v>0</v>
      </c>
      <c r="Q652" s="390">
        <v>0</v>
      </c>
      <c r="R652" s="390">
        <v>0</v>
      </c>
      <c r="S652" s="63" t="s">
        <v>476</v>
      </c>
      <c r="T652" s="63"/>
      <c r="U652" s="1039"/>
      <c r="V652" s="1039"/>
      <c r="W652" s="1039"/>
      <c r="X652" s="64" t="s">
        <v>2364</v>
      </c>
      <c r="Y652" s="439"/>
      <c r="Z652" s="439"/>
      <c r="AA652" s="439"/>
    </row>
    <row r="653" spans="1:27" ht="15" customHeight="1">
      <c r="A653" s="63">
        <f t="shared" si="65"/>
        <v>650</v>
      </c>
      <c r="B653" s="63" t="s">
        <v>1308</v>
      </c>
      <c r="C653" s="63" t="s">
        <v>2055</v>
      </c>
      <c r="D653" s="1234" t="s">
        <v>1724</v>
      </c>
      <c r="E653" s="64">
        <v>2487</v>
      </c>
      <c r="F653" s="65" t="s">
        <v>2053</v>
      </c>
      <c r="G653" s="389">
        <f t="shared" si="66"/>
        <v>0.72</v>
      </c>
      <c r="H653" s="389">
        <f t="shared" si="66"/>
        <v>0.64</v>
      </c>
      <c r="I653" s="389">
        <f t="shared" si="66"/>
        <v>0.54999999999999993</v>
      </c>
      <c r="J653" s="389">
        <f t="shared" si="66"/>
        <v>0.47000000000000003</v>
      </c>
      <c r="K653" s="389">
        <f t="shared" si="66"/>
        <v>0.41000000000000003</v>
      </c>
      <c r="L653" s="720">
        <v>0.06</v>
      </c>
      <c r="M653" s="63" t="s">
        <v>3210</v>
      </c>
      <c r="N653" s="440">
        <v>4.4999999999999998E-2</v>
      </c>
      <c r="O653" s="390">
        <v>6.0000000000000001E-3</v>
      </c>
      <c r="P653" s="390">
        <v>0</v>
      </c>
      <c r="Q653" s="390">
        <v>0</v>
      </c>
      <c r="R653" s="390">
        <v>0</v>
      </c>
      <c r="S653" s="63" t="s">
        <v>476</v>
      </c>
      <c r="T653" s="63"/>
      <c r="U653" s="1039"/>
      <c r="V653" s="1039"/>
      <c r="W653" s="1039"/>
      <c r="X653" s="64" t="s">
        <v>2364</v>
      </c>
      <c r="Y653" s="439"/>
      <c r="Z653" s="439"/>
      <c r="AA653" s="439"/>
    </row>
    <row r="654" spans="1:27" ht="15" customHeight="1">
      <c r="A654" s="63">
        <f t="shared" si="65"/>
        <v>651</v>
      </c>
      <c r="B654" s="63" t="s">
        <v>1308</v>
      </c>
      <c r="C654" s="63" t="s">
        <v>2055</v>
      </c>
      <c r="D654" s="1234" t="s">
        <v>1725</v>
      </c>
      <c r="E654" s="64">
        <v>2487</v>
      </c>
      <c r="F654" s="65" t="s">
        <v>620</v>
      </c>
      <c r="G654" s="389">
        <f t="shared" si="66"/>
        <v>0.72</v>
      </c>
      <c r="H654" s="389">
        <f t="shared" si="66"/>
        <v>0.64</v>
      </c>
      <c r="I654" s="389">
        <f t="shared" si="66"/>
        <v>0.54999999999999993</v>
      </c>
      <c r="J654" s="389">
        <f t="shared" si="66"/>
        <v>0.47000000000000003</v>
      </c>
      <c r="K654" s="389">
        <f t="shared" si="66"/>
        <v>0.41000000000000003</v>
      </c>
      <c r="L654" s="720">
        <v>0.06</v>
      </c>
      <c r="M654" s="63" t="s">
        <v>3210</v>
      </c>
      <c r="N654" s="440">
        <v>4.4999999999999998E-2</v>
      </c>
      <c r="O654" s="390">
        <v>6.0000000000000001E-3</v>
      </c>
      <c r="P654" s="390">
        <v>0</v>
      </c>
      <c r="Q654" s="390">
        <v>0</v>
      </c>
      <c r="R654" s="390">
        <v>0</v>
      </c>
      <c r="S654" s="63" t="s">
        <v>476</v>
      </c>
      <c r="T654" s="63"/>
      <c r="U654" s="1039"/>
      <c r="V654" s="1039"/>
      <c r="W654" s="1039"/>
      <c r="X654" s="64" t="s">
        <v>2364</v>
      </c>
      <c r="Y654" s="439"/>
      <c r="Z654" s="439"/>
      <c r="AA654" s="439"/>
    </row>
    <row r="655" spans="1:27" ht="15" customHeight="1">
      <c r="A655" s="63">
        <f t="shared" si="65"/>
        <v>652</v>
      </c>
      <c r="B655" s="63" t="s">
        <v>1308</v>
      </c>
      <c r="C655" s="63" t="s">
        <v>2055</v>
      </c>
      <c r="D655" s="1234" t="s">
        <v>1726</v>
      </c>
      <c r="E655" s="64">
        <v>2487</v>
      </c>
      <c r="F655" s="65" t="s">
        <v>620</v>
      </c>
      <c r="G655" s="389">
        <f t="shared" si="66"/>
        <v>0.72</v>
      </c>
      <c r="H655" s="389">
        <f t="shared" si="66"/>
        <v>0.64</v>
      </c>
      <c r="I655" s="389">
        <f t="shared" si="66"/>
        <v>0.54999999999999993</v>
      </c>
      <c r="J655" s="389">
        <f t="shared" si="66"/>
        <v>0.47000000000000003</v>
      </c>
      <c r="K655" s="389">
        <f t="shared" si="66"/>
        <v>0.41000000000000003</v>
      </c>
      <c r="L655" s="720">
        <v>0.06</v>
      </c>
      <c r="M655" s="63" t="s">
        <v>3210</v>
      </c>
      <c r="N655" s="440">
        <v>4.4999999999999998E-2</v>
      </c>
      <c r="O655" s="390">
        <v>6.0000000000000001E-3</v>
      </c>
      <c r="P655" s="390">
        <v>0</v>
      </c>
      <c r="Q655" s="390">
        <v>0</v>
      </c>
      <c r="R655" s="390">
        <v>0</v>
      </c>
      <c r="S655" s="63" t="s">
        <v>476</v>
      </c>
      <c r="T655" s="63"/>
      <c r="U655" s="1039"/>
      <c r="V655" s="1039"/>
      <c r="W655" s="1039"/>
      <c r="X655" s="64" t="s">
        <v>2364</v>
      </c>
      <c r="Y655" s="439"/>
      <c r="Z655" s="439"/>
      <c r="AA655" s="439"/>
    </row>
    <row r="656" spans="1:27" ht="15" customHeight="1">
      <c r="A656" s="63">
        <f t="shared" si="65"/>
        <v>653</v>
      </c>
      <c r="B656" s="63" t="s">
        <v>1308</v>
      </c>
      <c r="C656" s="63" t="s">
        <v>2055</v>
      </c>
      <c r="D656" s="1234" t="s">
        <v>2428</v>
      </c>
      <c r="E656" s="64">
        <v>2487</v>
      </c>
      <c r="F656" s="65" t="s">
        <v>2053</v>
      </c>
      <c r="G656" s="389">
        <f t="shared" si="66"/>
        <v>0.72</v>
      </c>
      <c r="H656" s="389">
        <f t="shared" si="66"/>
        <v>0.64</v>
      </c>
      <c r="I656" s="389">
        <f t="shared" si="66"/>
        <v>0.54999999999999993</v>
      </c>
      <c r="J656" s="389">
        <f t="shared" si="66"/>
        <v>0.47000000000000003</v>
      </c>
      <c r="K656" s="389">
        <f t="shared" si="66"/>
        <v>0.41000000000000003</v>
      </c>
      <c r="L656" s="720">
        <v>0.06</v>
      </c>
      <c r="M656" s="63" t="s">
        <v>3210</v>
      </c>
      <c r="N656" s="440">
        <v>4.4999999999999998E-2</v>
      </c>
      <c r="O656" s="390">
        <v>6.0000000000000001E-3</v>
      </c>
      <c r="P656" s="390">
        <v>0</v>
      </c>
      <c r="Q656" s="390">
        <v>0</v>
      </c>
      <c r="R656" s="390">
        <v>0</v>
      </c>
      <c r="S656" s="63" t="s">
        <v>476</v>
      </c>
      <c r="T656" s="63"/>
      <c r="U656" s="1039"/>
      <c r="V656" s="1039"/>
      <c r="W656" s="1039"/>
      <c r="X656" s="64" t="s">
        <v>2364</v>
      </c>
      <c r="Y656" s="439"/>
      <c r="Z656" s="439"/>
      <c r="AA656" s="439"/>
    </row>
    <row r="657" spans="1:27" ht="15" customHeight="1">
      <c r="A657" s="1236">
        <f t="shared" si="65"/>
        <v>654</v>
      </c>
      <c r="B657" s="1236" t="s">
        <v>1306</v>
      </c>
      <c r="C657" s="1236" t="s">
        <v>2055</v>
      </c>
      <c r="D657" s="1236" t="s">
        <v>3151</v>
      </c>
      <c r="E657" s="1235">
        <v>2393</v>
      </c>
      <c r="F657" s="1237" t="s">
        <v>620</v>
      </c>
      <c r="G657" s="389">
        <f t="shared" si="66"/>
        <v>0.7</v>
      </c>
      <c r="H657" s="389">
        <f t="shared" si="66"/>
        <v>0.62</v>
      </c>
      <c r="I657" s="389">
        <f t="shared" si="66"/>
        <v>0.52999999999999992</v>
      </c>
      <c r="J657" s="389">
        <f t="shared" si="66"/>
        <v>0.45</v>
      </c>
      <c r="K657" s="389">
        <f t="shared" si="66"/>
        <v>0.39</v>
      </c>
      <c r="L657" s="720">
        <v>0.06</v>
      </c>
      <c r="M657" s="63" t="s">
        <v>3159</v>
      </c>
      <c r="N657" s="1238">
        <v>4.4999999999999998E-2</v>
      </c>
      <c r="O657" s="1239">
        <v>6.0000000000000001E-3</v>
      </c>
      <c r="P657" s="1239">
        <v>0</v>
      </c>
      <c r="Q657" s="1239">
        <v>0</v>
      </c>
      <c r="R657" s="1239">
        <v>0</v>
      </c>
      <c r="S657" s="1236" t="s">
        <v>476</v>
      </c>
      <c r="T657" s="1236"/>
      <c r="U657" s="1240"/>
      <c r="V657" s="1240"/>
      <c r="W657" s="1240"/>
      <c r="X657" s="64" t="s">
        <v>2364</v>
      </c>
      <c r="Y657" s="439"/>
      <c r="Z657" s="439"/>
      <c r="AA657" s="439"/>
    </row>
    <row r="658" spans="1:27" ht="15" customHeight="1">
      <c r="A658" s="1236">
        <f t="shared" si="65"/>
        <v>655</v>
      </c>
      <c r="B658" s="1236" t="s">
        <v>1306</v>
      </c>
      <c r="C658" s="1236" t="s">
        <v>2055</v>
      </c>
      <c r="D658" s="1236" t="s">
        <v>3152</v>
      </c>
      <c r="E658" s="1235">
        <v>2393</v>
      </c>
      <c r="F658" s="1237" t="s">
        <v>620</v>
      </c>
      <c r="G658" s="389">
        <f t="shared" si="66"/>
        <v>0.7</v>
      </c>
      <c r="H658" s="389">
        <f t="shared" si="66"/>
        <v>0.62</v>
      </c>
      <c r="I658" s="389">
        <f t="shared" si="66"/>
        <v>0.52999999999999992</v>
      </c>
      <c r="J658" s="389">
        <f t="shared" si="66"/>
        <v>0.45</v>
      </c>
      <c r="K658" s="389">
        <f t="shared" si="66"/>
        <v>0.39</v>
      </c>
      <c r="L658" s="720">
        <v>0.06</v>
      </c>
      <c r="M658" s="63" t="s">
        <v>3159</v>
      </c>
      <c r="N658" s="1238">
        <v>4.4999999999999998E-2</v>
      </c>
      <c r="O658" s="1239">
        <v>6.0000000000000001E-3</v>
      </c>
      <c r="P658" s="1239">
        <v>0</v>
      </c>
      <c r="Q658" s="1239">
        <v>0</v>
      </c>
      <c r="R658" s="1239">
        <v>0</v>
      </c>
      <c r="S658" s="1236" t="s">
        <v>476</v>
      </c>
      <c r="T658" s="1236"/>
      <c r="U658" s="1240"/>
      <c r="V658" s="1240"/>
      <c r="W658" s="1240"/>
      <c r="X658" s="64" t="s">
        <v>2364</v>
      </c>
      <c r="Y658" s="439"/>
      <c r="Z658" s="439"/>
      <c r="AA658" s="439"/>
    </row>
    <row r="659" spans="1:27" ht="15" customHeight="1">
      <c r="A659" s="63">
        <f t="shared" si="65"/>
        <v>656</v>
      </c>
      <c r="B659" s="63" t="s">
        <v>1306</v>
      </c>
      <c r="C659" s="63" t="s">
        <v>2055</v>
      </c>
      <c r="D659" s="1234" t="s">
        <v>1417</v>
      </c>
      <c r="E659" s="64">
        <v>4969</v>
      </c>
      <c r="F659" s="65" t="s">
        <v>619</v>
      </c>
      <c r="G659" s="389">
        <f t="shared" si="66"/>
        <v>0.54</v>
      </c>
      <c r="H659" s="389">
        <f t="shared" si="66"/>
        <v>0.45999999999999996</v>
      </c>
      <c r="I659" s="389">
        <f t="shared" si="66"/>
        <v>0.37</v>
      </c>
      <c r="J659" s="389">
        <f t="shared" si="66"/>
        <v>0.28999999999999998</v>
      </c>
      <c r="K659" s="389">
        <f t="shared" si="66"/>
        <v>0.23</v>
      </c>
      <c r="L659" s="720">
        <v>0.06</v>
      </c>
      <c r="M659" s="63" t="s">
        <v>3211</v>
      </c>
      <c r="N659" s="440">
        <v>4.4999999999999998E-2</v>
      </c>
      <c r="O659" s="390">
        <v>6.0000000000000001E-3</v>
      </c>
      <c r="P659" s="390">
        <v>0</v>
      </c>
      <c r="Q659" s="390">
        <v>0</v>
      </c>
      <c r="R659" s="390">
        <v>0</v>
      </c>
      <c r="S659" s="63" t="s">
        <v>476</v>
      </c>
      <c r="T659" s="63"/>
      <c r="U659" s="1039"/>
      <c r="V659" s="1039"/>
      <c r="W659" s="1039"/>
      <c r="X659" s="64" t="s">
        <v>2364</v>
      </c>
      <c r="Y659" s="439"/>
      <c r="Z659" s="439"/>
      <c r="AA659" s="439"/>
    </row>
    <row r="660" spans="1:27" ht="15" customHeight="1">
      <c r="A660" s="63">
        <f t="shared" si="65"/>
        <v>657</v>
      </c>
      <c r="B660" s="63" t="s">
        <v>1308</v>
      </c>
      <c r="C660" s="63" t="s">
        <v>2055</v>
      </c>
      <c r="D660" s="1234" t="s">
        <v>2290</v>
      </c>
      <c r="E660" s="64">
        <v>4969</v>
      </c>
      <c r="F660" s="65" t="s">
        <v>619</v>
      </c>
      <c r="G660" s="389">
        <f t="shared" si="66"/>
        <v>0.54</v>
      </c>
      <c r="H660" s="389">
        <f t="shared" si="66"/>
        <v>0.45999999999999996</v>
      </c>
      <c r="I660" s="389">
        <f t="shared" si="66"/>
        <v>0.37</v>
      </c>
      <c r="J660" s="389">
        <f t="shared" si="66"/>
        <v>0.28999999999999998</v>
      </c>
      <c r="K660" s="389">
        <f t="shared" si="66"/>
        <v>0.23</v>
      </c>
      <c r="L660" s="720">
        <v>0.06</v>
      </c>
      <c r="M660" s="63" t="s">
        <v>3211</v>
      </c>
      <c r="N660" s="440">
        <v>4.4999999999999998E-2</v>
      </c>
      <c r="O660" s="390">
        <v>6.0000000000000001E-3</v>
      </c>
      <c r="P660" s="390">
        <v>0</v>
      </c>
      <c r="Q660" s="390">
        <v>0</v>
      </c>
      <c r="R660" s="390">
        <v>0</v>
      </c>
      <c r="S660" s="63" t="s">
        <v>476</v>
      </c>
      <c r="T660" s="63"/>
      <c r="U660" s="1039"/>
      <c r="V660" s="1039"/>
      <c r="W660" s="1039"/>
      <c r="X660" s="64" t="s">
        <v>2364</v>
      </c>
      <c r="Y660" s="439"/>
      <c r="Z660" s="439"/>
      <c r="AA660" s="439"/>
    </row>
    <row r="661" spans="1:27" ht="15" customHeight="1">
      <c r="A661" s="63">
        <f t="shared" si="65"/>
        <v>658</v>
      </c>
      <c r="B661" s="63" t="s">
        <v>1308</v>
      </c>
      <c r="C661" s="63" t="s">
        <v>2055</v>
      </c>
      <c r="D661" s="1234" t="s">
        <v>2044</v>
      </c>
      <c r="E661" s="64">
        <v>3456</v>
      </c>
      <c r="F661" s="65" t="s">
        <v>685</v>
      </c>
      <c r="G661" s="389">
        <f t="shared" si="66"/>
        <v>0.54</v>
      </c>
      <c r="H661" s="389">
        <f t="shared" si="66"/>
        <v>0.45999999999999996</v>
      </c>
      <c r="I661" s="389">
        <f t="shared" si="66"/>
        <v>0.37</v>
      </c>
      <c r="J661" s="389">
        <f t="shared" si="66"/>
        <v>0.28999999999999998</v>
      </c>
      <c r="K661" s="389">
        <f t="shared" si="66"/>
        <v>0.23</v>
      </c>
      <c r="L661" s="720">
        <v>0.06</v>
      </c>
      <c r="M661" s="63" t="s">
        <v>3211</v>
      </c>
      <c r="N661" s="440">
        <v>4.4999999999999998E-2</v>
      </c>
      <c r="O661" s="390">
        <v>6.0000000000000001E-3</v>
      </c>
      <c r="P661" s="390">
        <v>0</v>
      </c>
      <c r="Q661" s="390">
        <v>0</v>
      </c>
      <c r="R661" s="390">
        <v>0</v>
      </c>
      <c r="S661" s="63" t="s">
        <v>476</v>
      </c>
      <c r="T661" s="63"/>
      <c r="U661" s="1039"/>
      <c r="V661" s="1039"/>
      <c r="W661" s="1039"/>
      <c r="X661" s="64" t="s">
        <v>2364</v>
      </c>
      <c r="Y661" s="439"/>
      <c r="Z661" s="439"/>
      <c r="AA661" s="439"/>
    </row>
    <row r="662" spans="1:27" ht="15" customHeight="1">
      <c r="A662" s="63">
        <f t="shared" si="65"/>
        <v>659</v>
      </c>
      <c r="B662" s="63" t="s">
        <v>1308</v>
      </c>
      <c r="C662" s="63" t="s">
        <v>2055</v>
      </c>
      <c r="D662" s="1234" t="s">
        <v>2054</v>
      </c>
      <c r="E662" s="64">
        <v>2487</v>
      </c>
      <c r="F662" s="65" t="s">
        <v>620</v>
      </c>
      <c r="G662" s="389">
        <f t="shared" si="66"/>
        <v>0.67999999999999994</v>
      </c>
      <c r="H662" s="389">
        <f t="shared" si="66"/>
        <v>0.6</v>
      </c>
      <c r="I662" s="389">
        <f t="shared" si="66"/>
        <v>0.5099999999999999</v>
      </c>
      <c r="J662" s="389">
        <f t="shared" si="66"/>
        <v>0.43</v>
      </c>
      <c r="K662" s="389">
        <f t="shared" si="66"/>
        <v>0.37</v>
      </c>
      <c r="L662" s="720">
        <v>0.06</v>
      </c>
      <c r="M662" s="63" t="s">
        <v>3166</v>
      </c>
      <c r="N662" s="440">
        <v>4.4999999999999998E-2</v>
      </c>
      <c r="O662" s="390">
        <v>6.0000000000000001E-3</v>
      </c>
      <c r="P662" s="390">
        <v>0</v>
      </c>
      <c r="Q662" s="390">
        <v>0</v>
      </c>
      <c r="R662" s="390">
        <v>0</v>
      </c>
      <c r="S662" s="63" t="s">
        <v>476</v>
      </c>
      <c r="T662" s="63"/>
      <c r="U662" s="1039"/>
      <c r="V662" s="1039"/>
      <c r="W662" s="1039"/>
      <c r="X662" s="64" t="s">
        <v>2364</v>
      </c>
      <c r="Y662" s="439"/>
      <c r="Z662" s="439"/>
      <c r="AA662" s="439"/>
    </row>
    <row r="663" spans="1:27" ht="15" customHeight="1">
      <c r="A663" s="63">
        <f t="shared" si="65"/>
        <v>660</v>
      </c>
      <c r="B663" s="63" t="s">
        <v>1308</v>
      </c>
      <c r="C663" s="63" t="s">
        <v>2055</v>
      </c>
      <c r="D663" s="1234" t="s">
        <v>1760</v>
      </c>
      <c r="E663" s="64">
        <v>2487</v>
      </c>
      <c r="F663" s="65" t="s">
        <v>620</v>
      </c>
      <c r="G663" s="389">
        <f t="shared" si="66"/>
        <v>0.67999999999999994</v>
      </c>
      <c r="H663" s="389">
        <f t="shared" si="66"/>
        <v>0.6</v>
      </c>
      <c r="I663" s="389">
        <f t="shared" si="66"/>
        <v>0.5099999999999999</v>
      </c>
      <c r="J663" s="389">
        <f t="shared" si="66"/>
        <v>0.43</v>
      </c>
      <c r="K663" s="389">
        <f t="shared" si="66"/>
        <v>0.37</v>
      </c>
      <c r="L663" s="720">
        <v>0.06</v>
      </c>
      <c r="M663" s="63" t="s">
        <v>3166</v>
      </c>
      <c r="N663" s="440">
        <v>4.4999999999999998E-2</v>
      </c>
      <c r="O663" s="390">
        <v>6.0000000000000001E-3</v>
      </c>
      <c r="P663" s="390">
        <v>0</v>
      </c>
      <c r="Q663" s="390">
        <v>0</v>
      </c>
      <c r="R663" s="390">
        <v>0</v>
      </c>
      <c r="S663" s="63" t="s">
        <v>476</v>
      </c>
      <c r="T663" s="63"/>
      <c r="U663" s="1039"/>
      <c r="V663" s="1039"/>
      <c r="W663" s="1039"/>
      <c r="X663" s="64" t="s">
        <v>2364</v>
      </c>
      <c r="Y663" s="439"/>
      <c r="Z663" s="439"/>
      <c r="AA663" s="439"/>
    </row>
    <row r="664" spans="1:27" ht="15" customHeight="1">
      <c r="A664" s="63">
        <f t="shared" si="65"/>
        <v>661</v>
      </c>
      <c r="B664" s="63" t="s">
        <v>1308</v>
      </c>
      <c r="C664" s="63" t="s">
        <v>2423</v>
      </c>
      <c r="D664" s="1234" t="s">
        <v>2291</v>
      </c>
      <c r="E664" s="64">
        <v>2393</v>
      </c>
      <c r="F664" s="65" t="s">
        <v>620</v>
      </c>
      <c r="G664" s="389">
        <f t="shared" si="66"/>
        <v>0.67999999999999994</v>
      </c>
      <c r="H664" s="389">
        <f t="shared" si="66"/>
        <v>0.6</v>
      </c>
      <c r="I664" s="389">
        <f t="shared" si="66"/>
        <v>0.5099999999999999</v>
      </c>
      <c r="J664" s="389">
        <f t="shared" si="66"/>
        <v>0.43</v>
      </c>
      <c r="K664" s="389">
        <f t="shared" si="66"/>
        <v>0.37</v>
      </c>
      <c r="L664" s="720">
        <v>0.06</v>
      </c>
      <c r="M664" s="63" t="s">
        <v>3166</v>
      </c>
      <c r="N664" s="440">
        <v>4.4999999999999998E-2</v>
      </c>
      <c r="O664" s="390">
        <v>6.0000000000000001E-3</v>
      </c>
      <c r="P664" s="390">
        <v>0</v>
      </c>
      <c r="Q664" s="390">
        <v>0</v>
      </c>
      <c r="R664" s="390">
        <v>0</v>
      </c>
      <c r="S664" s="63" t="s">
        <v>476</v>
      </c>
      <c r="T664" s="63"/>
      <c r="U664" s="1039"/>
      <c r="V664" s="1039"/>
      <c r="W664" s="1039"/>
      <c r="X664" s="64" t="s">
        <v>2364</v>
      </c>
      <c r="Y664" s="439"/>
      <c r="Z664" s="439"/>
      <c r="AA664" s="439"/>
    </row>
    <row r="665" spans="1:27" ht="15" customHeight="1">
      <c r="A665" s="63">
        <f t="shared" si="65"/>
        <v>662</v>
      </c>
      <c r="B665" s="63" t="s">
        <v>1308</v>
      </c>
      <c r="C665" s="63" t="s">
        <v>2055</v>
      </c>
      <c r="D665" s="63" t="s">
        <v>2056</v>
      </c>
      <c r="E665" s="64"/>
      <c r="F665" s="65" t="s">
        <v>621</v>
      </c>
      <c r="G665" s="389">
        <f t="shared" si="66"/>
        <v>0.67999999999999994</v>
      </c>
      <c r="H665" s="389">
        <f t="shared" si="66"/>
        <v>0.6</v>
      </c>
      <c r="I665" s="389">
        <f t="shared" si="66"/>
        <v>0.5099999999999999</v>
      </c>
      <c r="J665" s="389">
        <f t="shared" si="66"/>
        <v>0.43</v>
      </c>
      <c r="K665" s="389">
        <f t="shared" si="66"/>
        <v>0.37</v>
      </c>
      <c r="L665" s="720">
        <v>0.06</v>
      </c>
      <c r="M665" s="63" t="s">
        <v>3166</v>
      </c>
      <c r="N665" s="440">
        <v>4.4999999999999998E-2</v>
      </c>
      <c r="O665" s="390">
        <v>6.0000000000000001E-3</v>
      </c>
      <c r="P665" s="390">
        <v>0</v>
      </c>
      <c r="Q665" s="390">
        <v>0</v>
      </c>
      <c r="R665" s="390">
        <v>0</v>
      </c>
      <c r="S665" s="63" t="s">
        <v>476</v>
      </c>
      <c r="T665" s="63"/>
      <c r="U665" s="1039"/>
      <c r="V665" s="1039"/>
      <c r="W665" s="1039"/>
      <c r="X665" s="64" t="s">
        <v>2364</v>
      </c>
      <c r="Y665" s="439"/>
      <c r="Z665" s="439"/>
      <c r="AA665" s="439"/>
    </row>
    <row r="666" spans="1:27" ht="15" customHeight="1">
      <c r="A666" s="63">
        <f t="shared" si="65"/>
        <v>663</v>
      </c>
      <c r="B666" s="63" t="s">
        <v>1308</v>
      </c>
      <c r="C666" s="63" t="s">
        <v>2055</v>
      </c>
      <c r="D666" s="63" t="s">
        <v>2046</v>
      </c>
      <c r="E666" s="64"/>
      <c r="F666" s="65" t="s">
        <v>621</v>
      </c>
      <c r="G666" s="389">
        <f t="shared" si="66"/>
        <v>0.67999999999999994</v>
      </c>
      <c r="H666" s="389">
        <f t="shared" si="66"/>
        <v>0.6</v>
      </c>
      <c r="I666" s="389">
        <f t="shared" si="66"/>
        <v>0.5099999999999999</v>
      </c>
      <c r="J666" s="389">
        <f t="shared" si="66"/>
        <v>0.43</v>
      </c>
      <c r="K666" s="389">
        <f t="shared" si="66"/>
        <v>0.37</v>
      </c>
      <c r="L666" s="720">
        <v>0.06</v>
      </c>
      <c r="M666" s="63" t="s">
        <v>3166</v>
      </c>
      <c r="N666" s="440">
        <v>4.4999999999999998E-2</v>
      </c>
      <c r="O666" s="390">
        <v>6.0000000000000001E-3</v>
      </c>
      <c r="P666" s="390">
        <v>0</v>
      </c>
      <c r="Q666" s="390">
        <v>0</v>
      </c>
      <c r="R666" s="390">
        <v>0</v>
      </c>
      <c r="S666" s="63" t="s">
        <v>476</v>
      </c>
      <c r="T666" s="63"/>
      <c r="U666" s="1039"/>
      <c r="V666" s="1039"/>
      <c r="W666" s="1039"/>
      <c r="X666" s="64" t="s">
        <v>2364</v>
      </c>
      <c r="Y666" s="439"/>
      <c r="Z666" s="439"/>
      <c r="AA666" s="439"/>
    </row>
    <row r="667" spans="1:27" ht="15" customHeight="1">
      <c r="A667" s="63">
        <f t="shared" ref="A667:A713" si="67">ROW()-3</f>
        <v>664</v>
      </c>
      <c r="B667" s="63" t="s">
        <v>1308</v>
      </c>
      <c r="C667" s="63"/>
      <c r="D667" s="63"/>
      <c r="E667" s="64"/>
      <c r="F667" s="65"/>
      <c r="G667" s="389" t="e">
        <f t="shared" si="66"/>
        <v>#N/A</v>
      </c>
      <c r="H667" s="389" t="e">
        <f t="shared" si="66"/>
        <v>#N/A</v>
      </c>
      <c r="I667" s="389" t="e">
        <f t="shared" si="66"/>
        <v>#N/A</v>
      </c>
      <c r="J667" s="389" t="e">
        <f t="shared" si="66"/>
        <v>#N/A</v>
      </c>
      <c r="K667" s="389" t="e">
        <f t="shared" si="66"/>
        <v>#N/A</v>
      </c>
      <c r="L667" s="720"/>
      <c r="M667" s="63"/>
      <c r="N667" s="440"/>
      <c r="O667" s="390"/>
      <c r="P667" s="390">
        <v>0</v>
      </c>
      <c r="Q667" s="390">
        <v>0</v>
      </c>
      <c r="R667" s="390">
        <v>0</v>
      </c>
      <c r="S667" s="63" t="s">
        <v>476</v>
      </c>
      <c r="T667" s="63"/>
      <c r="U667" s="1039"/>
      <c r="V667" s="1039"/>
      <c r="W667" s="1039"/>
      <c r="X667" s="64" t="s">
        <v>2364</v>
      </c>
      <c r="Y667" s="439"/>
      <c r="Z667" s="439"/>
      <c r="AA667" s="439"/>
    </row>
    <row r="668" spans="1:27" ht="15" customHeight="1">
      <c r="A668" s="63">
        <f t="shared" si="67"/>
        <v>665</v>
      </c>
      <c r="B668" s="63" t="s">
        <v>1308</v>
      </c>
      <c r="C668" s="63"/>
      <c r="D668" s="63"/>
      <c r="E668" s="64"/>
      <c r="F668" s="65"/>
      <c r="G668" s="389" t="e">
        <f t="shared" ref="G668:K699" si="68">+INDEX($AW$4:$AW$138,MATCH(G$3&amp;$M668,$AT$4:$AT$138,0))</f>
        <v>#N/A</v>
      </c>
      <c r="H668" s="389" t="e">
        <f t="shared" si="68"/>
        <v>#N/A</v>
      </c>
      <c r="I668" s="389" t="e">
        <f t="shared" si="68"/>
        <v>#N/A</v>
      </c>
      <c r="J668" s="389" t="e">
        <f t="shared" si="68"/>
        <v>#N/A</v>
      </c>
      <c r="K668" s="389" t="e">
        <f t="shared" si="68"/>
        <v>#N/A</v>
      </c>
      <c r="L668" s="720"/>
      <c r="M668" s="63"/>
      <c r="N668" s="440"/>
      <c r="O668" s="390"/>
      <c r="P668" s="390">
        <v>0</v>
      </c>
      <c r="Q668" s="390">
        <v>0</v>
      </c>
      <c r="R668" s="390">
        <v>0</v>
      </c>
      <c r="S668" s="63" t="s">
        <v>476</v>
      </c>
      <c r="T668" s="63"/>
      <c r="U668" s="1039"/>
      <c r="V668" s="1039"/>
      <c r="W668" s="1039"/>
      <c r="X668" s="64" t="s">
        <v>2364</v>
      </c>
      <c r="Y668" s="439"/>
      <c r="Z668" s="439"/>
      <c r="AA668" s="439"/>
    </row>
    <row r="669" spans="1:27" ht="15" customHeight="1">
      <c r="A669" s="63">
        <f t="shared" si="67"/>
        <v>666</v>
      </c>
      <c r="B669" s="63" t="s">
        <v>1308</v>
      </c>
      <c r="C669" s="63"/>
      <c r="D669" s="63"/>
      <c r="E669" s="64"/>
      <c r="F669" s="65"/>
      <c r="G669" s="389" t="e">
        <f t="shared" si="68"/>
        <v>#N/A</v>
      </c>
      <c r="H669" s="389" t="e">
        <f t="shared" si="68"/>
        <v>#N/A</v>
      </c>
      <c r="I669" s="389" t="e">
        <f t="shared" si="68"/>
        <v>#N/A</v>
      </c>
      <c r="J669" s="389" t="e">
        <f t="shared" si="68"/>
        <v>#N/A</v>
      </c>
      <c r="K669" s="389" t="e">
        <f t="shared" si="68"/>
        <v>#N/A</v>
      </c>
      <c r="L669" s="720"/>
      <c r="M669" s="63"/>
      <c r="N669" s="440"/>
      <c r="O669" s="390"/>
      <c r="P669" s="390">
        <v>0</v>
      </c>
      <c r="Q669" s="390">
        <v>0</v>
      </c>
      <c r="R669" s="390">
        <v>0</v>
      </c>
      <c r="S669" s="63" t="s">
        <v>476</v>
      </c>
      <c r="T669" s="63"/>
      <c r="U669" s="1039"/>
      <c r="V669" s="1039"/>
      <c r="W669" s="1039"/>
      <c r="X669" s="64" t="s">
        <v>2364</v>
      </c>
      <c r="Y669" s="439"/>
      <c r="Z669" s="439"/>
      <c r="AA669" s="439"/>
    </row>
    <row r="670" spans="1:27" ht="15" customHeight="1">
      <c r="A670" s="63">
        <f t="shared" si="67"/>
        <v>667</v>
      </c>
      <c r="B670" s="63" t="s">
        <v>1308</v>
      </c>
      <c r="C670" s="63"/>
      <c r="D670" s="63"/>
      <c r="E670" s="64"/>
      <c r="F670" s="65"/>
      <c r="G670" s="389" t="e">
        <f t="shared" si="68"/>
        <v>#N/A</v>
      </c>
      <c r="H670" s="389" t="e">
        <f t="shared" si="68"/>
        <v>#N/A</v>
      </c>
      <c r="I670" s="389" t="e">
        <f t="shared" si="68"/>
        <v>#N/A</v>
      </c>
      <c r="J670" s="389" t="e">
        <f t="shared" si="68"/>
        <v>#N/A</v>
      </c>
      <c r="K670" s="389" t="e">
        <f t="shared" si="68"/>
        <v>#N/A</v>
      </c>
      <c r="L670" s="720"/>
      <c r="M670" s="63"/>
      <c r="N670" s="440"/>
      <c r="O670" s="390"/>
      <c r="P670" s="390">
        <v>0</v>
      </c>
      <c r="Q670" s="390">
        <v>0</v>
      </c>
      <c r="R670" s="390">
        <v>0</v>
      </c>
      <c r="S670" s="63" t="s">
        <v>476</v>
      </c>
      <c r="T670" s="63"/>
      <c r="U670" s="1039"/>
      <c r="V670" s="1039"/>
      <c r="W670" s="1039"/>
      <c r="X670" s="64" t="s">
        <v>2364</v>
      </c>
      <c r="Y670" s="439"/>
      <c r="Z670" s="439"/>
      <c r="AA670" s="439"/>
    </row>
    <row r="671" spans="1:27" ht="15" customHeight="1">
      <c r="A671" s="63">
        <f t="shared" si="67"/>
        <v>668</v>
      </c>
      <c r="B671" s="63" t="s">
        <v>2332</v>
      </c>
      <c r="C671" s="63"/>
      <c r="D671" s="63"/>
      <c r="E671" s="64"/>
      <c r="F671" s="65"/>
      <c r="G671" s="389" t="e">
        <f t="shared" si="68"/>
        <v>#N/A</v>
      </c>
      <c r="H671" s="389" t="e">
        <f t="shared" si="68"/>
        <v>#N/A</v>
      </c>
      <c r="I671" s="389" t="e">
        <f t="shared" si="68"/>
        <v>#N/A</v>
      </c>
      <c r="J671" s="389" t="e">
        <f t="shared" si="68"/>
        <v>#N/A</v>
      </c>
      <c r="K671" s="389" t="e">
        <f t="shared" si="68"/>
        <v>#N/A</v>
      </c>
      <c r="L671" s="720"/>
      <c r="M671" s="63"/>
      <c r="N671" s="440"/>
      <c r="O671" s="390"/>
      <c r="P671" s="390">
        <v>0</v>
      </c>
      <c r="Q671" s="390">
        <v>0</v>
      </c>
      <c r="R671" s="390">
        <v>0</v>
      </c>
      <c r="S671" s="63" t="s">
        <v>476</v>
      </c>
      <c r="T671" s="63"/>
      <c r="U671" s="1039"/>
      <c r="V671" s="1039"/>
      <c r="W671" s="1039"/>
      <c r="X671" s="64" t="s">
        <v>2364</v>
      </c>
      <c r="Y671" s="439"/>
      <c r="Z671" s="439"/>
      <c r="AA671" s="439"/>
    </row>
    <row r="672" spans="1:27" ht="15" customHeight="1">
      <c r="A672" s="63">
        <f t="shared" si="67"/>
        <v>669</v>
      </c>
      <c r="B672" s="63" t="s">
        <v>1308</v>
      </c>
      <c r="C672" s="63"/>
      <c r="D672" s="63"/>
      <c r="E672" s="64"/>
      <c r="F672" s="65"/>
      <c r="G672" s="389" t="e">
        <f t="shared" si="68"/>
        <v>#N/A</v>
      </c>
      <c r="H672" s="389" t="e">
        <f t="shared" si="68"/>
        <v>#N/A</v>
      </c>
      <c r="I672" s="389" t="e">
        <f t="shared" si="68"/>
        <v>#N/A</v>
      </c>
      <c r="J672" s="389" t="e">
        <f t="shared" si="68"/>
        <v>#N/A</v>
      </c>
      <c r="K672" s="389" t="e">
        <f t="shared" si="68"/>
        <v>#N/A</v>
      </c>
      <c r="L672" s="720"/>
      <c r="M672" s="63"/>
      <c r="N672" s="440"/>
      <c r="O672" s="390"/>
      <c r="P672" s="390">
        <v>0</v>
      </c>
      <c r="Q672" s="390">
        <v>0</v>
      </c>
      <c r="R672" s="390">
        <v>0</v>
      </c>
      <c r="S672" s="63" t="s">
        <v>476</v>
      </c>
      <c r="T672" s="63"/>
      <c r="U672" s="1039"/>
      <c r="V672" s="1039"/>
      <c r="W672" s="1039"/>
      <c r="X672" s="64" t="s">
        <v>2364</v>
      </c>
      <c r="Y672" s="439"/>
      <c r="Z672" s="439"/>
      <c r="AA672" s="439"/>
    </row>
    <row r="673" spans="1:27" ht="15" customHeight="1">
      <c r="A673" s="63">
        <f t="shared" si="67"/>
        <v>670</v>
      </c>
      <c r="B673" s="63" t="s">
        <v>1308</v>
      </c>
      <c r="C673" s="63" t="s">
        <v>162</v>
      </c>
      <c r="D673" s="63" t="s">
        <v>2057</v>
      </c>
      <c r="E673" s="64">
        <v>1998</v>
      </c>
      <c r="F673" s="65" t="s">
        <v>144</v>
      </c>
      <c r="G673" s="389">
        <f t="shared" si="68"/>
        <v>0.64999999999999991</v>
      </c>
      <c r="H673" s="389">
        <f t="shared" si="68"/>
        <v>0.56999999999999995</v>
      </c>
      <c r="I673" s="389">
        <f t="shared" si="68"/>
        <v>0.47999999999999987</v>
      </c>
      <c r="J673" s="389">
        <f t="shared" si="68"/>
        <v>0.39999999999999997</v>
      </c>
      <c r="K673" s="389">
        <f t="shared" si="68"/>
        <v>0.33999999999999997</v>
      </c>
      <c r="L673" s="720">
        <v>0.06</v>
      </c>
      <c r="M673" s="63" t="s">
        <v>3200</v>
      </c>
      <c r="N673" s="440">
        <v>4.4999999999999998E-2</v>
      </c>
      <c r="O673" s="390">
        <v>6.0000000000000001E-3</v>
      </c>
      <c r="P673" s="390">
        <v>0</v>
      </c>
      <c r="Q673" s="390">
        <v>0</v>
      </c>
      <c r="R673" s="390">
        <v>0</v>
      </c>
      <c r="S673" s="63" t="s">
        <v>476</v>
      </c>
      <c r="T673" s="63"/>
      <c r="U673" s="1039"/>
      <c r="V673" s="1039"/>
      <c r="W673" s="1039"/>
      <c r="X673" s="64" t="s">
        <v>2364</v>
      </c>
      <c r="Y673" s="439"/>
      <c r="Z673" s="439"/>
      <c r="AA673" s="439"/>
    </row>
    <row r="674" spans="1:27" ht="15" customHeight="1">
      <c r="A674" s="63">
        <f t="shared" si="67"/>
        <v>671</v>
      </c>
      <c r="B674" s="63" t="s">
        <v>1308</v>
      </c>
      <c r="C674" s="63" t="s">
        <v>162</v>
      </c>
      <c r="D674" s="63" t="s">
        <v>2292</v>
      </c>
      <c r="E674" s="64">
        <v>1998</v>
      </c>
      <c r="F674" s="65" t="s">
        <v>144</v>
      </c>
      <c r="G674" s="389">
        <f t="shared" si="68"/>
        <v>0.64999999999999991</v>
      </c>
      <c r="H674" s="389">
        <f t="shared" si="68"/>
        <v>0.56999999999999995</v>
      </c>
      <c r="I674" s="389">
        <f t="shared" si="68"/>
        <v>0.47999999999999987</v>
      </c>
      <c r="J674" s="389">
        <f t="shared" si="68"/>
        <v>0.39999999999999997</v>
      </c>
      <c r="K674" s="389">
        <f t="shared" si="68"/>
        <v>0.33999999999999997</v>
      </c>
      <c r="L674" s="720">
        <v>0.06</v>
      </c>
      <c r="M674" s="63" t="s">
        <v>3200</v>
      </c>
      <c r="N674" s="440">
        <v>4.4999999999999998E-2</v>
      </c>
      <c r="O674" s="390">
        <v>6.0000000000000001E-3</v>
      </c>
      <c r="P674" s="390">
        <v>0</v>
      </c>
      <c r="Q674" s="390">
        <v>0</v>
      </c>
      <c r="R674" s="390">
        <v>0</v>
      </c>
      <c r="S674" s="63" t="s">
        <v>476</v>
      </c>
      <c r="T674" s="63"/>
      <c r="U674" s="1039"/>
      <c r="V674" s="1039"/>
      <c r="W674" s="1039"/>
      <c r="X674" s="64" t="s">
        <v>2364</v>
      </c>
      <c r="Y674" s="439"/>
      <c r="Z674" s="439"/>
      <c r="AA674" s="439"/>
    </row>
    <row r="675" spans="1:27" ht="15" customHeight="1">
      <c r="A675" s="63">
        <f t="shared" si="67"/>
        <v>672</v>
      </c>
      <c r="B675" s="63" t="s">
        <v>1308</v>
      </c>
      <c r="C675" s="63" t="s">
        <v>2429</v>
      </c>
      <c r="D675" s="63" t="s">
        <v>1418</v>
      </c>
      <c r="E675" s="64">
        <v>1998</v>
      </c>
      <c r="F675" s="65" t="s">
        <v>144</v>
      </c>
      <c r="G675" s="389">
        <f t="shared" si="68"/>
        <v>0.64999999999999991</v>
      </c>
      <c r="H675" s="389">
        <f t="shared" si="68"/>
        <v>0.56999999999999995</v>
      </c>
      <c r="I675" s="389">
        <f t="shared" si="68"/>
        <v>0.47999999999999987</v>
      </c>
      <c r="J675" s="389">
        <f t="shared" si="68"/>
        <v>0.39999999999999997</v>
      </c>
      <c r="K675" s="389">
        <f t="shared" si="68"/>
        <v>0.33999999999999997</v>
      </c>
      <c r="L675" s="720">
        <v>0.06</v>
      </c>
      <c r="M675" s="63" t="s">
        <v>3200</v>
      </c>
      <c r="N675" s="440">
        <v>4.4999999999999998E-2</v>
      </c>
      <c r="O675" s="390">
        <v>6.0000000000000001E-3</v>
      </c>
      <c r="P675" s="390">
        <v>0</v>
      </c>
      <c r="Q675" s="390">
        <v>0</v>
      </c>
      <c r="R675" s="390">
        <v>0</v>
      </c>
      <c r="S675" s="63" t="s">
        <v>476</v>
      </c>
      <c r="T675" s="63"/>
      <c r="U675" s="1039"/>
      <c r="V675" s="1039"/>
      <c r="W675" s="1039"/>
      <c r="X675" s="64" t="s">
        <v>2364</v>
      </c>
      <c r="Y675" s="439"/>
      <c r="Z675" s="439"/>
      <c r="AA675" s="439"/>
    </row>
    <row r="676" spans="1:27" ht="15" customHeight="1">
      <c r="A676" s="63">
        <f t="shared" si="67"/>
        <v>673</v>
      </c>
      <c r="B676" s="63" t="s">
        <v>1308</v>
      </c>
      <c r="C676" s="63" t="s">
        <v>162</v>
      </c>
      <c r="D676" s="1234" t="s">
        <v>2058</v>
      </c>
      <c r="E676" s="64">
        <v>6162</v>
      </c>
      <c r="F676" s="65" t="s">
        <v>144</v>
      </c>
      <c r="G676" s="389">
        <f t="shared" si="68"/>
        <v>0.54</v>
      </c>
      <c r="H676" s="389">
        <f t="shared" si="68"/>
        <v>0.45999999999999996</v>
      </c>
      <c r="I676" s="389">
        <f t="shared" si="68"/>
        <v>0.37</v>
      </c>
      <c r="J676" s="389">
        <f t="shared" si="68"/>
        <v>0.28999999999999998</v>
      </c>
      <c r="K676" s="389">
        <f t="shared" si="68"/>
        <v>0.23</v>
      </c>
      <c r="L676" s="720">
        <v>0.06</v>
      </c>
      <c r="M676" s="63" t="s">
        <v>3212</v>
      </c>
      <c r="N676" s="440">
        <v>4.4999999999999998E-2</v>
      </c>
      <c r="O676" s="390">
        <v>6.0000000000000001E-3</v>
      </c>
      <c r="P676" s="390">
        <v>0</v>
      </c>
      <c r="Q676" s="390">
        <v>0</v>
      </c>
      <c r="R676" s="390">
        <v>0</v>
      </c>
      <c r="S676" s="63" t="s">
        <v>476</v>
      </c>
      <c r="T676" s="63"/>
      <c r="U676" s="1039"/>
      <c r="V676" s="1039"/>
      <c r="W676" s="1039"/>
      <c r="X676" s="64" t="s">
        <v>2364</v>
      </c>
      <c r="Y676" s="439"/>
      <c r="Z676" s="439"/>
      <c r="AA676" s="439"/>
    </row>
    <row r="677" spans="1:27" ht="15" customHeight="1">
      <c r="A677" s="63">
        <f t="shared" si="67"/>
        <v>674</v>
      </c>
      <c r="B677" s="63" t="s">
        <v>1308</v>
      </c>
      <c r="C677" s="63" t="s">
        <v>162</v>
      </c>
      <c r="D677" s="1234" t="s">
        <v>2293</v>
      </c>
      <c r="E677" s="64">
        <v>1998</v>
      </c>
      <c r="F677" s="65" t="s">
        <v>189</v>
      </c>
      <c r="G677" s="389">
        <f t="shared" si="68"/>
        <v>0.59</v>
      </c>
      <c r="H677" s="389">
        <f t="shared" si="68"/>
        <v>0.51</v>
      </c>
      <c r="I677" s="389">
        <f t="shared" si="68"/>
        <v>0.42</v>
      </c>
      <c r="J677" s="389">
        <f t="shared" si="68"/>
        <v>0.34</v>
      </c>
      <c r="K677" s="389">
        <f t="shared" si="68"/>
        <v>0.28000000000000003</v>
      </c>
      <c r="L677" s="720">
        <v>0.06</v>
      </c>
      <c r="M677" s="63" t="s">
        <v>3177</v>
      </c>
      <c r="N677" s="440">
        <v>4.4999999999999998E-2</v>
      </c>
      <c r="O677" s="390">
        <v>6.0000000000000001E-3</v>
      </c>
      <c r="P677" s="390">
        <v>0</v>
      </c>
      <c r="Q677" s="390">
        <v>0</v>
      </c>
      <c r="R677" s="390">
        <v>0</v>
      </c>
      <c r="S677" s="63" t="s">
        <v>476</v>
      </c>
      <c r="T677" s="63"/>
      <c r="U677" s="1039"/>
      <c r="V677" s="1039"/>
      <c r="W677" s="1039"/>
      <c r="X677" s="64" t="s">
        <v>2364</v>
      </c>
      <c r="Y677" s="439"/>
      <c r="Z677" s="439"/>
      <c r="AA677" s="439"/>
    </row>
    <row r="678" spans="1:27" ht="15" customHeight="1">
      <c r="A678" s="63">
        <f t="shared" si="67"/>
        <v>675</v>
      </c>
      <c r="B678" s="63" t="s">
        <v>1308</v>
      </c>
      <c r="C678" s="63" t="s">
        <v>162</v>
      </c>
      <c r="D678" s="63" t="s">
        <v>2430</v>
      </c>
      <c r="E678" s="64">
        <v>3649</v>
      </c>
      <c r="F678" s="65" t="s">
        <v>189</v>
      </c>
      <c r="G678" s="389">
        <f t="shared" si="68"/>
        <v>0.59</v>
      </c>
      <c r="H678" s="389">
        <f t="shared" si="68"/>
        <v>0.51</v>
      </c>
      <c r="I678" s="389">
        <f t="shared" si="68"/>
        <v>0.42</v>
      </c>
      <c r="J678" s="389">
        <f t="shared" si="68"/>
        <v>0.34</v>
      </c>
      <c r="K678" s="389">
        <f t="shared" si="68"/>
        <v>0.28000000000000003</v>
      </c>
      <c r="L678" s="720">
        <v>0.06</v>
      </c>
      <c r="M678" s="63" t="s">
        <v>3162</v>
      </c>
      <c r="N678" s="440">
        <v>4.4999999999999998E-2</v>
      </c>
      <c r="O678" s="390">
        <v>6.0000000000000001E-3</v>
      </c>
      <c r="P678" s="390">
        <v>0</v>
      </c>
      <c r="Q678" s="390">
        <v>0</v>
      </c>
      <c r="R678" s="390">
        <v>0</v>
      </c>
      <c r="S678" s="63" t="s">
        <v>476</v>
      </c>
      <c r="T678" s="63"/>
      <c r="U678" s="1039"/>
      <c r="V678" s="1039"/>
      <c r="W678" s="1039"/>
      <c r="X678" s="64" t="s">
        <v>2364</v>
      </c>
      <c r="Y678" s="439"/>
      <c r="Z678" s="439"/>
      <c r="AA678" s="439"/>
    </row>
    <row r="679" spans="1:27" ht="15" customHeight="1">
      <c r="A679" s="63">
        <f t="shared" si="67"/>
        <v>676</v>
      </c>
      <c r="B679" s="63" t="s">
        <v>1308</v>
      </c>
      <c r="C679" s="63" t="s">
        <v>162</v>
      </c>
      <c r="D679" s="1234" t="s">
        <v>2294</v>
      </c>
      <c r="E679" s="64">
        <v>3649</v>
      </c>
      <c r="F679" s="65" t="s">
        <v>189</v>
      </c>
      <c r="G679" s="389">
        <f t="shared" si="68"/>
        <v>0.59</v>
      </c>
      <c r="H679" s="389">
        <f t="shared" si="68"/>
        <v>0.51</v>
      </c>
      <c r="I679" s="389">
        <f t="shared" si="68"/>
        <v>0.42</v>
      </c>
      <c r="J679" s="389">
        <f t="shared" si="68"/>
        <v>0.34</v>
      </c>
      <c r="K679" s="389">
        <f t="shared" si="68"/>
        <v>0.28000000000000003</v>
      </c>
      <c r="L679" s="720">
        <v>0.06</v>
      </c>
      <c r="M679" s="63" t="s">
        <v>3177</v>
      </c>
      <c r="N679" s="440">
        <v>4.4999999999999998E-2</v>
      </c>
      <c r="O679" s="390">
        <v>6.0000000000000001E-3</v>
      </c>
      <c r="P679" s="390">
        <v>0</v>
      </c>
      <c r="Q679" s="390">
        <v>0</v>
      </c>
      <c r="R679" s="390">
        <v>0</v>
      </c>
      <c r="S679" s="63" t="s">
        <v>476</v>
      </c>
      <c r="T679" s="63"/>
      <c r="U679" s="1039"/>
      <c r="V679" s="1039"/>
      <c r="W679" s="1039"/>
      <c r="X679" s="64" t="s">
        <v>2364</v>
      </c>
      <c r="Y679" s="439"/>
      <c r="Z679" s="439"/>
      <c r="AA679" s="439"/>
    </row>
    <row r="680" spans="1:27" ht="15" customHeight="1">
      <c r="A680" s="63">
        <f t="shared" si="67"/>
        <v>677</v>
      </c>
      <c r="B680" s="63" t="s">
        <v>1308</v>
      </c>
      <c r="C680" s="63" t="s">
        <v>162</v>
      </c>
      <c r="D680" s="1234" t="s">
        <v>2059</v>
      </c>
      <c r="E680" s="64">
        <v>3649</v>
      </c>
      <c r="F680" s="65" t="s">
        <v>189</v>
      </c>
      <c r="G680" s="389">
        <f t="shared" si="68"/>
        <v>0.59</v>
      </c>
      <c r="H680" s="389">
        <f t="shared" si="68"/>
        <v>0.51</v>
      </c>
      <c r="I680" s="389">
        <f t="shared" si="68"/>
        <v>0.42</v>
      </c>
      <c r="J680" s="389">
        <f t="shared" si="68"/>
        <v>0.34</v>
      </c>
      <c r="K680" s="389">
        <f t="shared" si="68"/>
        <v>0.28000000000000003</v>
      </c>
      <c r="L680" s="720">
        <v>0.06</v>
      </c>
      <c r="M680" s="63" t="s">
        <v>3191</v>
      </c>
      <c r="N680" s="440">
        <v>4.4999999999999998E-2</v>
      </c>
      <c r="O680" s="390">
        <v>6.0000000000000001E-3</v>
      </c>
      <c r="P680" s="390">
        <v>0</v>
      </c>
      <c r="Q680" s="390">
        <v>0</v>
      </c>
      <c r="R680" s="390">
        <v>0</v>
      </c>
      <c r="S680" s="63" t="s">
        <v>476</v>
      </c>
      <c r="T680" s="63"/>
      <c r="U680" s="1039"/>
      <c r="V680" s="1039"/>
      <c r="W680" s="1039"/>
      <c r="X680" s="64" t="s">
        <v>2364</v>
      </c>
      <c r="Y680" s="439"/>
      <c r="Z680" s="439"/>
      <c r="AA680" s="439"/>
    </row>
    <row r="681" spans="1:27" ht="15" customHeight="1">
      <c r="A681" s="63">
        <f t="shared" si="67"/>
        <v>678</v>
      </c>
      <c r="B681" s="63" t="s">
        <v>1308</v>
      </c>
      <c r="C681" s="63" t="s">
        <v>162</v>
      </c>
      <c r="D681" s="1234" t="s">
        <v>2607</v>
      </c>
      <c r="E681" s="64">
        <v>6162</v>
      </c>
      <c r="F681" s="65" t="s">
        <v>189</v>
      </c>
      <c r="G681" s="389">
        <f t="shared" si="68"/>
        <v>0.64999999999999991</v>
      </c>
      <c r="H681" s="389">
        <f t="shared" si="68"/>
        <v>0.56999999999999995</v>
      </c>
      <c r="I681" s="389">
        <f t="shared" si="68"/>
        <v>0.47999999999999987</v>
      </c>
      <c r="J681" s="389">
        <f t="shared" si="68"/>
        <v>0.39999999999999997</v>
      </c>
      <c r="K681" s="389">
        <f t="shared" si="68"/>
        <v>0.33999999999999997</v>
      </c>
      <c r="L681" s="720">
        <v>0.06</v>
      </c>
      <c r="M681" s="63" t="s">
        <v>3198</v>
      </c>
      <c r="N681" s="440">
        <v>4.4999999999999998E-2</v>
      </c>
      <c r="O681" s="390">
        <v>6.0000000000000001E-3</v>
      </c>
      <c r="P681" s="390">
        <v>0</v>
      </c>
      <c r="Q681" s="390">
        <v>0</v>
      </c>
      <c r="R681" s="390">
        <v>0</v>
      </c>
      <c r="S681" s="63" t="s">
        <v>476</v>
      </c>
      <c r="T681" s="63"/>
      <c r="U681" s="1039"/>
      <c r="V681" s="1039"/>
      <c r="W681" s="1039"/>
      <c r="X681" s="64" t="s">
        <v>2364</v>
      </c>
      <c r="Y681" s="439"/>
      <c r="Z681" s="439"/>
      <c r="AA681" s="439"/>
    </row>
    <row r="682" spans="1:27" ht="15" customHeight="1">
      <c r="A682" s="63">
        <f t="shared" si="67"/>
        <v>679</v>
      </c>
      <c r="B682" s="63" t="s">
        <v>1308</v>
      </c>
      <c r="C682" s="63" t="s">
        <v>162</v>
      </c>
      <c r="D682" s="1234" t="s">
        <v>2608</v>
      </c>
      <c r="E682" s="64">
        <v>6162</v>
      </c>
      <c r="F682" s="65" t="s">
        <v>189</v>
      </c>
      <c r="G682" s="389">
        <f t="shared" si="68"/>
        <v>0.64999999999999991</v>
      </c>
      <c r="H682" s="389">
        <f t="shared" si="68"/>
        <v>0.56999999999999995</v>
      </c>
      <c r="I682" s="389">
        <f t="shared" si="68"/>
        <v>0.47999999999999987</v>
      </c>
      <c r="J682" s="389">
        <f t="shared" si="68"/>
        <v>0.39999999999999997</v>
      </c>
      <c r="K682" s="389">
        <f t="shared" si="68"/>
        <v>0.33999999999999997</v>
      </c>
      <c r="L682" s="720">
        <v>0.06</v>
      </c>
      <c r="M682" s="63" t="s">
        <v>3198</v>
      </c>
      <c r="N682" s="440">
        <v>4.4999999999999998E-2</v>
      </c>
      <c r="O682" s="390">
        <v>6.0000000000000001E-3</v>
      </c>
      <c r="P682" s="390">
        <v>0</v>
      </c>
      <c r="Q682" s="390">
        <v>0</v>
      </c>
      <c r="R682" s="390">
        <v>0</v>
      </c>
      <c r="S682" s="63" t="s">
        <v>476</v>
      </c>
      <c r="T682" s="63"/>
      <c r="U682" s="1039"/>
      <c r="V682" s="1039"/>
      <c r="W682" s="1039"/>
      <c r="X682" s="64" t="s">
        <v>2364</v>
      </c>
      <c r="Y682" s="439"/>
      <c r="Z682" s="439"/>
      <c r="AA682" s="439"/>
    </row>
    <row r="683" spans="1:27" ht="15" customHeight="1">
      <c r="A683" s="63">
        <f t="shared" si="67"/>
        <v>680</v>
      </c>
      <c r="B683" s="63" t="s">
        <v>1308</v>
      </c>
      <c r="C683" s="63" t="s">
        <v>162</v>
      </c>
      <c r="D683" s="63" t="s">
        <v>2431</v>
      </c>
      <c r="E683" s="64" t="s">
        <v>1015</v>
      </c>
      <c r="F683" s="65" t="s">
        <v>621</v>
      </c>
      <c r="G683" s="389">
        <f t="shared" si="68"/>
        <v>0.59</v>
      </c>
      <c r="H683" s="389">
        <f t="shared" si="68"/>
        <v>0.51</v>
      </c>
      <c r="I683" s="389">
        <f t="shared" si="68"/>
        <v>0.42</v>
      </c>
      <c r="J683" s="389">
        <f t="shared" si="68"/>
        <v>0.34</v>
      </c>
      <c r="K683" s="389">
        <f t="shared" si="68"/>
        <v>0.28000000000000003</v>
      </c>
      <c r="L683" s="720">
        <v>0.06</v>
      </c>
      <c r="M683" s="63" t="s">
        <v>3177</v>
      </c>
      <c r="N683" s="440">
        <v>4.4999999999999998E-2</v>
      </c>
      <c r="O683" s="390">
        <v>6.0000000000000001E-3</v>
      </c>
      <c r="P683" s="390">
        <v>0</v>
      </c>
      <c r="Q683" s="390">
        <v>0</v>
      </c>
      <c r="R683" s="390">
        <v>0</v>
      </c>
      <c r="S683" s="63" t="s">
        <v>476</v>
      </c>
      <c r="T683" s="63"/>
      <c r="U683" s="1039"/>
      <c r="V683" s="1039"/>
      <c r="W683" s="1039"/>
      <c r="X683" s="64" t="s">
        <v>2364</v>
      </c>
      <c r="Y683" s="439"/>
      <c r="Z683" s="439"/>
      <c r="AA683" s="439"/>
    </row>
    <row r="684" spans="1:27" ht="15" customHeight="1">
      <c r="A684" s="63">
        <f t="shared" si="67"/>
        <v>681</v>
      </c>
      <c r="B684" s="63" t="s">
        <v>2332</v>
      </c>
      <c r="C684" s="63"/>
      <c r="D684" s="63"/>
      <c r="E684" s="64"/>
      <c r="F684" s="65"/>
      <c r="G684" s="389" t="e">
        <f t="shared" si="68"/>
        <v>#N/A</v>
      </c>
      <c r="H684" s="389" t="e">
        <f t="shared" si="68"/>
        <v>#N/A</v>
      </c>
      <c r="I684" s="389" t="e">
        <f t="shared" si="68"/>
        <v>#N/A</v>
      </c>
      <c r="J684" s="389" t="e">
        <f t="shared" si="68"/>
        <v>#N/A</v>
      </c>
      <c r="K684" s="389" t="e">
        <f t="shared" si="68"/>
        <v>#N/A</v>
      </c>
      <c r="L684" s="720"/>
      <c r="M684" s="63"/>
      <c r="N684" s="440"/>
      <c r="O684" s="390"/>
      <c r="P684" s="390">
        <v>0</v>
      </c>
      <c r="Q684" s="390">
        <v>0</v>
      </c>
      <c r="R684" s="390">
        <v>0</v>
      </c>
      <c r="S684" s="63" t="s">
        <v>476</v>
      </c>
      <c r="T684" s="63"/>
      <c r="U684" s="1039"/>
      <c r="V684" s="1039"/>
      <c r="W684" s="1039"/>
      <c r="X684" s="64" t="s">
        <v>2364</v>
      </c>
      <c r="Y684" s="439"/>
      <c r="Z684" s="439"/>
      <c r="AA684" s="439"/>
    </row>
    <row r="685" spans="1:27" ht="15" customHeight="1">
      <c r="A685" s="63">
        <f t="shared" si="67"/>
        <v>682</v>
      </c>
      <c r="B685" s="63" t="s">
        <v>1308</v>
      </c>
      <c r="C685" s="63"/>
      <c r="D685" s="63"/>
      <c r="E685" s="64"/>
      <c r="F685" s="65"/>
      <c r="G685" s="389" t="e">
        <f t="shared" si="68"/>
        <v>#N/A</v>
      </c>
      <c r="H685" s="389" t="e">
        <f t="shared" si="68"/>
        <v>#N/A</v>
      </c>
      <c r="I685" s="389" t="e">
        <f t="shared" si="68"/>
        <v>#N/A</v>
      </c>
      <c r="J685" s="389" t="e">
        <f t="shared" si="68"/>
        <v>#N/A</v>
      </c>
      <c r="K685" s="389" t="e">
        <f t="shared" si="68"/>
        <v>#N/A</v>
      </c>
      <c r="L685" s="720"/>
      <c r="M685" s="63"/>
      <c r="N685" s="440"/>
      <c r="O685" s="390"/>
      <c r="P685" s="390">
        <v>0</v>
      </c>
      <c r="Q685" s="390">
        <v>0</v>
      </c>
      <c r="R685" s="390">
        <v>0</v>
      </c>
      <c r="S685" s="63" t="s">
        <v>476</v>
      </c>
      <c r="T685" s="63"/>
      <c r="U685" s="1039"/>
      <c r="V685" s="1039"/>
      <c r="W685" s="1039"/>
      <c r="X685" s="64" t="s">
        <v>2364</v>
      </c>
      <c r="Y685" s="439"/>
      <c r="Z685" s="439"/>
      <c r="AA685" s="439"/>
    </row>
    <row r="686" spans="1:27" ht="15" customHeight="1">
      <c r="A686" s="63">
        <f t="shared" si="67"/>
        <v>683</v>
      </c>
      <c r="B686" s="63" t="s">
        <v>1308</v>
      </c>
      <c r="C686" s="63"/>
      <c r="D686" s="63"/>
      <c r="E686" s="64"/>
      <c r="F686" s="65"/>
      <c r="G686" s="389" t="e">
        <f t="shared" si="68"/>
        <v>#N/A</v>
      </c>
      <c r="H686" s="389" t="e">
        <f t="shared" si="68"/>
        <v>#N/A</v>
      </c>
      <c r="I686" s="389" t="e">
        <f t="shared" si="68"/>
        <v>#N/A</v>
      </c>
      <c r="J686" s="389" t="e">
        <f t="shared" si="68"/>
        <v>#N/A</v>
      </c>
      <c r="K686" s="389" t="e">
        <f t="shared" si="68"/>
        <v>#N/A</v>
      </c>
      <c r="L686" s="720"/>
      <c r="M686" s="63"/>
      <c r="N686" s="440"/>
      <c r="O686" s="390"/>
      <c r="P686" s="390">
        <v>0</v>
      </c>
      <c r="Q686" s="390">
        <v>0</v>
      </c>
      <c r="R686" s="390">
        <v>0</v>
      </c>
      <c r="S686" s="63" t="s">
        <v>476</v>
      </c>
      <c r="T686" s="63"/>
      <c r="U686" s="1039"/>
      <c r="V686" s="1039"/>
      <c r="W686" s="1039"/>
      <c r="X686" s="64" t="s">
        <v>2364</v>
      </c>
      <c r="Y686" s="439"/>
      <c r="Z686" s="439"/>
      <c r="AA686" s="439"/>
    </row>
    <row r="687" spans="1:27" ht="15" customHeight="1">
      <c r="A687" s="63">
        <f t="shared" si="67"/>
        <v>684</v>
      </c>
      <c r="B687" s="63" t="s">
        <v>1308</v>
      </c>
      <c r="C687" s="63"/>
      <c r="D687" s="63"/>
      <c r="E687" s="64"/>
      <c r="F687" s="65"/>
      <c r="G687" s="389" t="e">
        <f t="shared" si="68"/>
        <v>#N/A</v>
      </c>
      <c r="H687" s="389" t="e">
        <f t="shared" si="68"/>
        <v>#N/A</v>
      </c>
      <c r="I687" s="389" t="e">
        <f t="shared" si="68"/>
        <v>#N/A</v>
      </c>
      <c r="J687" s="389" t="e">
        <f t="shared" si="68"/>
        <v>#N/A</v>
      </c>
      <c r="K687" s="389" t="e">
        <f t="shared" si="68"/>
        <v>#N/A</v>
      </c>
      <c r="L687" s="720"/>
      <c r="M687" s="63"/>
      <c r="N687" s="440"/>
      <c r="O687" s="390"/>
      <c r="P687" s="390">
        <v>0</v>
      </c>
      <c r="Q687" s="390">
        <v>0</v>
      </c>
      <c r="R687" s="390">
        <v>0</v>
      </c>
      <c r="S687" s="63" t="s">
        <v>476</v>
      </c>
      <c r="T687" s="63"/>
      <c r="U687" s="1039"/>
      <c r="V687" s="1039"/>
      <c r="W687" s="1039"/>
      <c r="X687" s="64" t="s">
        <v>2364</v>
      </c>
      <c r="Y687" s="439"/>
      <c r="Z687" s="439"/>
      <c r="AA687" s="439"/>
    </row>
    <row r="688" spans="1:27" ht="15" customHeight="1">
      <c r="A688" s="63">
        <f t="shared" si="67"/>
        <v>685</v>
      </c>
      <c r="B688" s="63" t="s">
        <v>1308</v>
      </c>
      <c r="C688" s="63"/>
      <c r="D688" s="63"/>
      <c r="E688" s="64"/>
      <c r="F688" s="65"/>
      <c r="G688" s="389" t="e">
        <f t="shared" si="68"/>
        <v>#N/A</v>
      </c>
      <c r="H688" s="389" t="e">
        <f t="shared" si="68"/>
        <v>#N/A</v>
      </c>
      <c r="I688" s="389" t="e">
        <f t="shared" si="68"/>
        <v>#N/A</v>
      </c>
      <c r="J688" s="389" t="e">
        <f t="shared" si="68"/>
        <v>#N/A</v>
      </c>
      <c r="K688" s="389" t="e">
        <f t="shared" si="68"/>
        <v>#N/A</v>
      </c>
      <c r="L688" s="720"/>
      <c r="M688" s="63"/>
      <c r="N688" s="440"/>
      <c r="O688" s="390"/>
      <c r="P688" s="390">
        <v>0</v>
      </c>
      <c r="Q688" s="390">
        <v>0</v>
      </c>
      <c r="R688" s="390">
        <v>0</v>
      </c>
      <c r="S688" s="63" t="s">
        <v>476</v>
      </c>
      <c r="T688" s="63"/>
      <c r="U688" s="1039"/>
      <c r="V688" s="1039"/>
      <c r="W688" s="1039"/>
      <c r="X688" s="64" t="s">
        <v>2364</v>
      </c>
      <c r="Y688" s="439"/>
      <c r="Z688" s="439"/>
      <c r="AA688" s="439"/>
    </row>
    <row r="689" spans="1:27" ht="15" customHeight="1">
      <c r="A689" s="63">
        <f t="shared" si="67"/>
        <v>686</v>
      </c>
      <c r="B689" s="63" t="s">
        <v>1308</v>
      </c>
      <c r="C689" s="63"/>
      <c r="D689" s="63"/>
      <c r="E689" s="64"/>
      <c r="F689" s="65"/>
      <c r="G689" s="389" t="e">
        <f t="shared" si="68"/>
        <v>#N/A</v>
      </c>
      <c r="H689" s="389" t="e">
        <f t="shared" si="68"/>
        <v>#N/A</v>
      </c>
      <c r="I689" s="389" t="e">
        <f t="shared" si="68"/>
        <v>#N/A</v>
      </c>
      <c r="J689" s="389" t="e">
        <f t="shared" si="68"/>
        <v>#N/A</v>
      </c>
      <c r="K689" s="389" t="e">
        <f t="shared" si="68"/>
        <v>#N/A</v>
      </c>
      <c r="L689" s="720"/>
      <c r="M689" s="63"/>
      <c r="N689" s="440"/>
      <c r="O689" s="390"/>
      <c r="P689" s="390">
        <v>0</v>
      </c>
      <c r="Q689" s="390">
        <v>0</v>
      </c>
      <c r="R689" s="390">
        <v>0</v>
      </c>
      <c r="S689" s="63" t="s">
        <v>476</v>
      </c>
      <c r="T689" s="63"/>
      <c r="U689" s="1039"/>
      <c r="V689" s="1039"/>
      <c r="W689" s="1039"/>
      <c r="X689" s="64" t="s">
        <v>2364</v>
      </c>
      <c r="Y689" s="439"/>
      <c r="Z689" s="439"/>
      <c r="AA689" s="439"/>
    </row>
    <row r="690" spans="1:27" ht="15" customHeight="1">
      <c r="A690" s="63">
        <f t="shared" si="67"/>
        <v>687</v>
      </c>
      <c r="B690" s="63" t="s">
        <v>1308</v>
      </c>
      <c r="C690" s="63"/>
      <c r="D690" s="63"/>
      <c r="E690" s="64"/>
      <c r="F690" s="65"/>
      <c r="G690" s="389" t="e">
        <f t="shared" si="68"/>
        <v>#N/A</v>
      </c>
      <c r="H690" s="389" t="e">
        <f t="shared" si="68"/>
        <v>#N/A</v>
      </c>
      <c r="I690" s="389" t="e">
        <f t="shared" si="68"/>
        <v>#N/A</v>
      </c>
      <c r="J690" s="389" t="e">
        <f t="shared" si="68"/>
        <v>#N/A</v>
      </c>
      <c r="K690" s="389" t="e">
        <f t="shared" si="68"/>
        <v>#N/A</v>
      </c>
      <c r="L690" s="720"/>
      <c r="M690" s="63"/>
      <c r="N690" s="440"/>
      <c r="O690" s="390"/>
      <c r="P690" s="390">
        <v>0</v>
      </c>
      <c r="Q690" s="390">
        <v>0</v>
      </c>
      <c r="R690" s="390">
        <v>0</v>
      </c>
      <c r="S690" s="63" t="s">
        <v>476</v>
      </c>
      <c r="T690" s="63"/>
      <c r="U690" s="1039"/>
      <c r="V690" s="1039"/>
      <c r="W690" s="1039"/>
      <c r="X690" s="64" t="s">
        <v>2364</v>
      </c>
      <c r="Y690" s="439"/>
      <c r="Z690" s="439"/>
      <c r="AA690" s="439"/>
    </row>
    <row r="691" spans="1:27" ht="15" customHeight="1">
      <c r="A691" s="63">
        <f t="shared" si="67"/>
        <v>688</v>
      </c>
      <c r="B691" s="63" t="s">
        <v>1308</v>
      </c>
      <c r="C691" s="63" t="s">
        <v>626</v>
      </c>
      <c r="D691" s="1234" t="s">
        <v>2063</v>
      </c>
      <c r="E691" s="64">
        <v>2387</v>
      </c>
      <c r="F691" s="65" t="s">
        <v>619</v>
      </c>
      <c r="G691" s="389">
        <f t="shared" si="68"/>
        <v>0.54</v>
      </c>
      <c r="H691" s="389">
        <f t="shared" si="68"/>
        <v>0.45999999999999996</v>
      </c>
      <c r="I691" s="389">
        <f t="shared" si="68"/>
        <v>0.37</v>
      </c>
      <c r="J691" s="389">
        <f t="shared" si="68"/>
        <v>0.28999999999999998</v>
      </c>
      <c r="K691" s="389">
        <f t="shared" si="68"/>
        <v>0.23</v>
      </c>
      <c r="L691" s="720">
        <v>0.06</v>
      </c>
      <c r="M691" s="63" t="s">
        <v>3211</v>
      </c>
      <c r="N691" s="440">
        <v>4.4999999999999998E-2</v>
      </c>
      <c r="O691" s="390">
        <v>6.0000000000000001E-3</v>
      </c>
      <c r="P691" s="390">
        <v>0</v>
      </c>
      <c r="Q691" s="390">
        <v>0</v>
      </c>
      <c r="R691" s="390">
        <v>0</v>
      </c>
      <c r="S691" s="63" t="s">
        <v>476</v>
      </c>
      <c r="T691" s="63"/>
      <c r="U691" s="1039"/>
      <c r="V691" s="1039"/>
      <c r="W691" s="1039"/>
      <c r="X691" s="64" t="s">
        <v>2364</v>
      </c>
      <c r="Y691" s="439"/>
      <c r="Z691" s="439"/>
      <c r="AA691" s="439"/>
    </row>
    <row r="692" spans="1:27" ht="15" customHeight="1">
      <c r="A692" s="63">
        <f t="shared" si="67"/>
        <v>689</v>
      </c>
      <c r="B692" s="63" t="s">
        <v>1308</v>
      </c>
      <c r="C692" s="63" t="s">
        <v>626</v>
      </c>
      <c r="D692" s="1234" t="s">
        <v>2295</v>
      </c>
      <c r="E692" s="64">
        <v>2387</v>
      </c>
      <c r="F692" s="65" t="s">
        <v>619</v>
      </c>
      <c r="G692" s="389">
        <f t="shared" si="68"/>
        <v>0.54</v>
      </c>
      <c r="H692" s="389">
        <f t="shared" si="68"/>
        <v>0.45999999999999996</v>
      </c>
      <c r="I692" s="389">
        <f t="shared" si="68"/>
        <v>0.37</v>
      </c>
      <c r="J692" s="389">
        <f t="shared" si="68"/>
        <v>0.28999999999999998</v>
      </c>
      <c r="K692" s="389">
        <f t="shared" si="68"/>
        <v>0.23</v>
      </c>
      <c r="L692" s="720">
        <v>0.06</v>
      </c>
      <c r="M692" s="63" t="s">
        <v>3211</v>
      </c>
      <c r="N692" s="440">
        <v>4.4999999999999998E-2</v>
      </c>
      <c r="O692" s="390">
        <v>6.0000000000000001E-3</v>
      </c>
      <c r="P692" s="390">
        <v>0</v>
      </c>
      <c r="Q692" s="390">
        <v>0</v>
      </c>
      <c r="R692" s="390">
        <v>0</v>
      </c>
      <c r="S692" s="63" t="s">
        <v>476</v>
      </c>
      <c r="T692" s="63"/>
      <c r="U692" s="1039"/>
      <c r="V692" s="1039"/>
      <c r="W692" s="1039"/>
      <c r="X692" s="64" t="s">
        <v>2364</v>
      </c>
      <c r="Y692" s="439"/>
      <c r="Z692" s="439"/>
      <c r="AA692" s="439"/>
    </row>
    <row r="693" spans="1:27" ht="15" customHeight="1">
      <c r="A693" s="63">
        <f t="shared" si="67"/>
        <v>690</v>
      </c>
      <c r="B693" s="63" t="s">
        <v>1306</v>
      </c>
      <c r="C693" s="63" t="s">
        <v>626</v>
      </c>
      <c r="D693" s="1234" t="s">
        <v>2580</v>
      </c>
      <c r="E693" s="64">
        <v>1987</v>
      </c>
      <c r="F693" s="65" t="s">
        <v>625</v>
      </c>
      <c r="G693" s="389">
        <f t="shared" si="68"/>
        <v>0.67999999999999994</v>
      </c>
      <c r="H693" s="389">
        <f t="shared" si="68"/>
        <v>0.6</v>
      </c>
      <c r="I693" s="389">
        <f t="shared" si="68"/>
        <v>0.5099999999999999</v>
      </c>
      <c r="J693" s="389">
        <f t="shared" si="68"/>
        <v>0.43</v>
      </c>
      <c r="K693" s="389">
        <f t="shared" si="68"/>
        <v>0.37</v>
      </c>
      <c r="L693" s="720">
        <v>0.06</v>
      </c>
      <c r="M693" s="63" t="s">
        <v>3213</v>
      </c>
      <c r="N693" s="440">
        <v>4.4999999999999998E-2</v>
      </c>
      <c r="O693" s="390">
        <v>6.0000000000000001E-3</v>
      </c>
      <c r="P693" s="390">
        <v>0</v>
      </c>
      <c r="Q693" s="390">
        <v>0</v>
      </c>
      <c r="R693" s="390">
        <v>0</v>
      </c>
      <c r="S693" s="63" t="s">
        <v>476</v>
      </c>
      <c r="T693" s="63"/>
      <c r="U693" s="1039"/>
      <c r="V693" s="1039"/>
      <c r="W693" s="1039"/>
      <c r="X693" s="64" t="s">
        <v>2364</v>
      </c>
      <c r="Y693" s="439"/>
      <c r="Z693" s="439"/>
      <c r="AA693" s="439"/>
    </row>
    <row r="694" spans="1:27" ht="15" customHeight="1">
      <c r="A694" s="63">
        <f t="shared" si="67"/>
        <v>691</v>
      </c>
      <c r="B694" s="63" t="s">
        <v>1306</v>
      </c>
      <c r="C694" s="63" t="s">
        <v>626</v>
      </c>
      <c r="D694" s="1234" t="s">
        <v>2581</v>
      </c>
      <c r="E694" s="64">
        <v>1987</v>
      </c>
      <c r="F694" s="65" t="s">
        <v>625</v>
      </c>
      <c r="G694" s="389">
        <f t="shared" si="68"/>
        <v>0.67999999999999994</v>
      </c>
      <c r="H694" s="389">
        <f t="shared" si="68"/>
        <v>0.6</v>
      </c>
      <c r="I694" s="389">
        <f t="shared" si="68"/>
        <v>0.5099999999999999</v>
      </c>
      <c r="J694" s="389">
        <f t="shared" si="68"/>
        <v>0.43</v>
      </c>
      <c r="K694" s="389">
        <f t="shared" si="68"/>
        <v>0.37</v>
      </c>
      <c r="L694" s="720">
        <v>0.06</v>
      </c>
      <c r="M694" s="63" t="s">
        <v>3213</v>
      </c>
      <c r="N694" s="440">
        <v>4.4999999999999998E-2</v>
      </c>
      <c r="O694" s="390">
        <v>6.0000000000000001E-3</v>
      </c>
      <c r="P694" s="390">
        <v>0</v>
      </c>
      <c r="Q694" s="390">
        <v>0</v>
      </c>
      <c r="R694" s="390">
        <v>0</v>
      </c>
      <c r="S694" s="63" t="s">
        <v>476</v>
      </c>
      <c r="T694" s="63"/>
      <c r="U694" s="1039"/>
      <c r="V694" s="1039"/>
      <c r="W694" s="1039"/>
      <c r="X694" s="64" t="s">
        <v>2364</v>
      </c>
      <c r="Y694" s="439"/>
      <c r="Z694" s="439"/>
      <c r="AA694" s="439"/>
    </row>
    <row r="695" spans="1:27" ht="15" customHeight="1">
      <c r="A695" s="63">
        <f t="shared" si="67"/>
        <v>692</v>
      </c>
      <c r="B695" s="63" t="s">
        <v>2582</v>
      </c>
      <c r="C695" s="63" t="s">
        <v>2583</v>
      </c>
      <c r="D695" s="1234" t="s">
        <v>2584</v>
      </c>
      <c r="E695" s="64">
        <v>1987</v>
      </c>
      <c r="F695" s="65" t="s">
        <v>625</v>
      </c>
      <c r="G695" s="389">
        <f t="shared" si="68"/>
        <v>0.67999999999999994</v>
      </c>
      <c r="H695" s="389">
        <f t="shared" si="68"/>
        <v>0.6</v>
      </c>
      <c r="I695" s="389">
        <f t="shared" si="68"/>
        <v>0.5099999999999999</v>
      </c>
      <c r="J695" s="389">
        <f t="shared" si="68"/>
        <v>0.43</v>
      </c>
      <c r="K695" s="389">
        <f t="shared" si="68"/>
        <v>0.37</v>
      </c>
      <c r="L695" s="720">
        <v>0.06</v>
      </c>
      <c r="M695" s="63" t="s">
        <v>3213</v>
      </c>
      <c r="N695" s="440">
        <v>4.4999999999999998E-2</v>
      </c>
      <c r="O695" s="390">
        <v>6.0000000000000001E-3</v>
      </c>
      <c r="P695" s="390">
        <v>0</v>
      </c>
      <c r="Q695" s="390">
        <v>0</v>
      </c>
      <c r="R695" s="390">
        <v>0</v>
      </c>
      <c r="S695" s="63" t="s">
        <v>476</v>
      </c>
      <c r="T695" s="63"/>
      <c r="U695" s="1039"/>
      <c r="V695" s="1039"/>
      <c r="W695" s="1039"/>
      <c r="X695" s="64" t="s">
        <v>2364</v>
      </c>
      <c r="Y695" s="439"/>
      <c r="Z695" s="439"/>
      <c r="AA695" s="439"/>
    </row>
    <row r="696" spans="1:27" ht="15" customHeight="1">
      <c r="A696" s="63">
        <f t="shared" si="67"/>
        <v>693</v>
      </c>
      <c r="B696" s="63" t="s">
        <v>1306</v>
      </c>
      <c r="C696" s="63" t="s">
        <v>626</v>
      </c>
      <c r="D696" s="1234" t="s">
        <v>2585</v>
      </c>
      <c r="E696" s="64">
        <v>1987</v>
      </c>
      <c r="F696" s="65" t="s">
        <v>625</v>
      </c>
      <c r="G696" s="389">
        <f t="shared" si="68"/>
        <v>0.67999999999999994</v>
      </c>
      <c r="H696" s="389">
        <f t="shared" si="68"/>
        <v>0.6</v>
      </c>
      <c r="I696" s="389">
        <f t="shared" si="68"/>
        <v>0.5099999999999999</v>
      </c>
      <c r="J696" s="389">
        <f t="shared" si="68"/>
        <v>0.43</v>
      </c>
      <c r="K696" s="389">
        <f t="shared" si="68"/>
        <v>0.37</v>
      </c>
      <c r="L696" s="720">
        <v>0.06</v>
      </c>
      <c r="M696" s="63" t="s">
        <v>3213</v>
      </c>
      <c r="N696" s="440">
        <v>4.4999999999999998E-2</v>
      </c>
      <c r="O696" s="390">
        <v>6.0000000000000001E-3</v>
      </c>
      <c r="P696" s="390">
        <v>0</v>
      </c>
      <c r="Q696" s="390">
        <v>0</v>
      </c>
      <c r="R696" s="390">
        <v>0</v>
      </c>
      <c r="S696" s="63" t="s">
        <v>476</v>
      </c>
      <c r="T696" s="63"/>
      <c r="U696" s="1039"/>
      <c r="V696" s="1039"/>
      <c r="W696" s="1039"/>
      <c r="X696" s="64" t="s">
        <v>2364</v>
      </c>
      <c r="Y696" s="439"/>
      <c r="Z696" s="439"/>
      <c r="AA696" s="439"/>
    </row>
    <row r="697" spans="1:27" ht="15" customHeight="1">
      <c r="A697" s="63">
        <f t="shared" si="67"/>
        <v>694</v>
      </c>
      <c r="B697" s="63" t="s">
        <v>2332</v>
      </c>
      <c r="C697" s="63" t="s">
        <v>626</v>
      </c>
      <c r="D697" s="1234" t="s">
        <v>2064</v>
      </c>
      <c r="E697" s="64">
        <v>2393</v>
      </c>
      <c r="F697" s="65" t="s">
        <v>685</v>
      </c>
      <c r="G697" s="389">
        <f t="shared" si="68"/>
        <v>0.67999999999999994</v>
      </c>
      <c r="H697" s="389">
        <f t="shared" si="68"/>
        <v>0.6</v>
      </c>
      <c r="I697" s="389">
        <f t="shared" si="68"/>
        <v>0.5099999999999999</v>
      </c>
      <c r="J697" s="389">
        <f t="shared" si="68"/>
        <v>0.43</v>
      </c>
      <c r="K697" s="389">
        <f t="shared" si="68"/>
        <v>0.37</v>
      </c>
      <c r="L697" s="720">
        <v>0.06</v>
      </c>
      <c r="M697" s="63" t="s">
        <v>3166</v>
      </c>
      <c r="N697" s="440">
        <v>4.4999999999999998E-2</v>
      </c>
      <c r="O697" s="390">
        <v>6.0000000000000001E-3</v>
      </c>
      <c r="P697" s="390">
        <v>0</v>
      </c>
      <c r="Q697" s="390">
        <v>0</v>
      </c>
      <c r="R697" s="390">
        <v>0</v>
      </c>
      <c r="S697" s="63" t="s">
        <v>476</v>
      </c>
      <c r="T697" s="63"/>
      <c r="U697" s="1039"/>
      <c r="V697" s="1039"/>
      <c r="W697" s="1039"/>
      <c r="X697" s="64" t="s">
        <v>2364</v>
      </c>
      <c r="Y697" s="439"/>
      <c r="Z697" s="439"/>
      <c r="AA697" s="439"/>
    </row>
    <row r="698" spans="1:27" ht="15" customHeight="1">
      <c r="A698" s="63">
        <f t="shared" si="67"/>
        <v>695</v>
      </c>
      <c r="B698" s="63" t="s">
        <v>1308</v>
      </c>
      <c r="C698" s="63" t="s">
        <v>626</v>
      </c>
      <c r="D698" s="1234" t="s">
        <v>2296</v>
      </c>
      <c r="E698" s="64">
        <v>2487</v>
      </c>
      <c r="F698" s="65" t="s">
        <v>2065</v>
      </c>
      <c r="G698" s="389">
        <f t="shared" si="68"/>
        <v>0.67999999999999994</v>
      </c>
      <c r="H698" s="389">
        <f t="shared" si="68"/>
        <v>0.6</v>
      </c>
      <c r="I698" s="389">
        <f t="shared" si="68"/>
        <v>0.5099999999999999</v>
      </c>
      <c r="J698" s="389">
        <f t="shared" si="68"/>
        <v>0.43</v>
      </c>
      <c r="K698" s="389">
        <f t="shared" si="68"/>
        <v>0.37</v>
      </c>
      <c r="L698" s="720">
        <v>0.06</v>
      </c>
      <c r="M698" s="63" t="s">
        <v>3166</v>
      </c>
      <c r="N698" s="440">
        <v>4.4999999999999998E-2</v>
      </c>
      <c r="O698" s="390">
        <v>6.0000000000000001E-3</v>
      </c>
      <c r="P698" s="390">
        <v>0</v>
      </c>
      <c r="Q698" s="390">
        <v>0</v>
      </c>
      <c r="R698" s="390">
        <v>0</v>
      </c>
      <c r="S698" s="63" t="s">
        <v>476</v>
      </c>
      <c r="T698" s="63"/>
      <c r="U698" s="1039"/>
      <c r="V698" s="1039"/>
      <c r="W698" s="1039"/>
      <c r="X698" s="64" t="s">
        <v>2364</v>
      </c>
      <c r="Y698" s="439"/>
      <c r="Z698" s="439"/>
      <c r="AA698" s="439"/>
    </row>
    <row r="699" spans="1:27" ht="15" customHeight="1">
      <c r="A699" s="63">
        <f t="shared" si="67"/>
        <v>696</v>
      </c>
      <c r="B699" s="63" t="s">
        <v>1308</v>
      </c>
      <c r="C699" s="63" t="s">
        <v>626</v>
      </c>
      <c r="D699" s="1234" t="s">
        <v>2297</v>
      </c>
      <c r="E699" s="64">
        <v>2487</v>
      </c>
      <c r="F699" s="65" t="s">
        <v>685</v>
      </c>
      <c r="G699" s="389">
        <f t="shared" si="68"/>
        <v>0.65999999999999992</v>
      </c>
      <c r="H699" s="389">
        <f t="shared" si="68"/>
        <v>0.57999999999999996</v>
      </c>
      <c r="I699" s="389">
        <f t="shared" si="68"/>
        <v>0.48999999999999988</v>
      </c>
      <c r="J699" s="389">
        <f t="shared" si="68"/>
        <v>0.41</v>
      </c>
      <c r="K699" s="389">
        <f t="shared" si="68"/>
        <v>0.35</v>
      </c>
      <c r="L699" s="720">
        <v>0.06</v>
      </c>
      <c r="M699" s="63" t="s">
        <v>3161</v>
      </c>
      <c r="N699" s="440">
        <v>4.4999999999999998E-2</v>
      </c>
      <c r="O699" s="390">
        <v>6.0000000000000001E-3</v>
      </c>
      <c r="P699" s="390">
        <v>0</v>
      </c>
      <c r="Q699" s="390">
        <v>0</v>
      </c>
      <c r="R699" s="390">
        <v>0</v>
      </c>
      <c r="S699" s="63" t="s">
        <v>476</v>
      </c>
      <c r="T699" s="63"/>
      <c r="U699" s="1039"/>
      <c r="V699" s="1039"/>
      <c r="W699" s="1039"/>
      <c r="X699" s="64" t="s">
        <v>2364</v>
      </c>
      <c r="Y699" s="439"/>
      <c r="Z699" s="439"/>
      <c r="AA699" s="439"/>
    </row>
    <row r="700" spans="1:27" ht="15" customHeight="1">
      <c r="A700" s="63">
        <f t="shared" si="67"/>
        <v>697</v>
      </c>
      <c r="B700" s="63" t="s">
        <v>1308</v>
      </c>
      <c r="C700" s="63" t="s">
        <v>626</v>
      </c>
      <c r="D700" s="1234" t="s">
        <v>2298</v>
      </c>
      <c r="E700" s="64">
        <v>2487</v>
      </c>
      <c r="F700" s="65" t="s">
        <v>685</v>
      </c>
      <c r="G700" s="389">
        <f t="shared" ref="G700:K731" si="69">+INDEX($AW$4:$AW$138,MATCH(G$3&amp;$M700,$AT$4:$AT$138,0))</f>
        <v>0.65999999999999992</v>
      </c>
      <c r="H700" s="389">
        <f t="shared" si="69"/>
        <v>0.57999999999999996</v>
      </c>
      <c r="I700" s="389">
        <f t="shared" si="69"/>
        <v>0.48999999999999988</v>
      </c>
      <c r="J700" s="389">
        <f t="shared" si="69"/>
        <v>0.41</v>
      </c>
      <c r="K700" s="389">
        <f t="shared" si="69"/>
        <v>0.35</v>
      </c>
      <c r="L700" s="720">
        <v>0.06</v>
      </c>
      <c r="M700" s="63" t="s">
        <v>3161</v>
      </c>
      <c r="N700" s="440">
        <v>4.4999999999999998E-2</v>
      </c>
      <c r="O700" s="390">
        <v>6.0000000000000001E-3</v>
      </c>
      <c r="P700" s="390">
        <v>0</v>
      </c>
      <c r="Q700" s="390">
        <v>0</v>
      </c>
      <c r="R700" s="390">
        <v>0</v>
      </c>
      <c r="S700" s="63" t="s">
        <v>476</v>
      </c>
      <c r="T700" s="63"/>
      <c r="U700" s="1039"/>
      <c r="V700" s="1039"/>
      <c r="W700" s="1039"/>
      <c r="X700" s="64" t="s">
        <v>2364</v>
      </c>
      <c r="Y700" s="439"/>
      <c r="Z700" s="439"/>
      <c r="AA700" s="439"/>
    </row>
    <row r="701" spans="1:27" ht="15" customHeight="1">
      <c r="A701" s="63">
        <f t="shared" si="67"/>
        <v>698</v>
      </c>
      <c r="B701" s="63" t="s">
        <v>1308</v>
      </c>
      <c r="C701" s="63" t="s">
        <v>626</v>
      </c>
      <c r="D701" s="1234" t="s">
        <v>2299</v>
      </c>
      <c r="E701" s="64">
        <v>2487</v>
      </c>
      <c r="F701" s="65" t="s">
        <v>685</v>
      </c>
      <c r="G701" s="389">
        <f t="shared" si="69"/>
        <v>0.65999999999999992</v>
      </c>
      <c r="H701" s="389">
        <f t="shared" si="69"/>
        <v>0.57999999999999996</v>
      </c>
      <c r="I701" s="389">
        <f t="shared" si="69"/>
        <v>0.48999999999999988</v>
      </c>
      <c r="J701" s="389">
        <f t="shared" si="69"/>
        <v>0.41</v>
      </c>
      <c r="K701" s="389">
        <f t="shared" si="69"/>
        <v>0.35</v>
      </c>
      <c r="L701" s="720">
        <v>0.06</v>
      </c>
      <c r="M701" s="63" t="s">
        <v>3161</v>
      </c>
      <c r="N701" s="440">
        <v>4.4999999999999998E-2</v>
      </c>
      <c r="O701" s="390">
        <v>6.0000000000000001E-3</v>
      </c>
      <c r="P701" s="390">
        <v>0</v>
      </c>
      <c r="Q701" s="390">
        <v>0</v>
      </c>
      <c r="R701" s="390">
        <v>0</v>
      </c>
      <c r="S701" s="63" t="s">
        <v>476</v>
      </c>
      <c r="T701" s="63"/>
      <c r="U701" s="1039"/>
      <c r="V701" s="1039"/>
      <c r="W701" s="1039"/>
      <c r="X701" s="64" t="s">
        <v>2364</v>
      </c>
      <c r="Y701" s="439"/>
      <c r="Z701" s="439"/>
      <c r="AA701" s="439"/>
    </row>
    <row r="702" spans="1:27" ht="15" customHeight="1">
      <c r="A702" s="63">
        <f t="shared" si="67"/>
        <v>699</v>
      </c>
      <c r="B702" s="63" t="s">
        <v>2332</v>
      </c>
      <c r="C702" s="63" t="s">
        <v>626</v>
      </c>
      <c r="D702" s="1234" t="s">
        <v>2609</v>
      </c>
      <c r="E702" s="64">
        <v>2487</v>
      </c>
      <c r="F702" s="65" t="s">
        <v>379</v>
      </c>
      <c r="G702" s="389">
        <f t="shared" si="69"/>
        <v>0.64999999999999991</v>
      </c>
      <c r="H702" s="389">
        <f t="shared" si="69"/>
        <v>0.56999999999999995</v>
      </c>
      <c r="I702" s="389">
        <f t="shared" si="69"/>
        <v>0.47999999999999987</v>
      </c>
      <c r="J702" s="389">
        <f t="shared" si="69"/>
        <v>0.39999999999999997</v>
      </c>
      <c r="K702" s="389">
        <f t="shared" si="69"/>
        <v>0.33999999999999997</v>
      </c>
      <c r="L702" s="720">
        <v>0.06</v>
      </c>
      <c r="M702" s="63" t="s">
        <v>3214</v>
      </c>
      <c r="N702" s="440">
        <v>4.4999999999999998E-2</v>
      </c>
      <c r="O702" s="390">
        <v>6.0000000000000001E-3</v>
      </c>
      <c r="P702" s="390">
        <v>0</v>
      </c>
      <c r="Q702" s="390">
        <v>0</v>
      </c>
      <c r="R702" s="390">
        <v>0</v>
      </c>
      <c r="S702" s="63" t="s">
        <v>476</v>
      </c>
      <c r="T702" s="63"/>
      <c r="U702" s="1039"/>
      <c r="V702" s="1039"/>
      <c r="W702" s="1039"/>
      <c r="X702" s="64" t="s">
        <v>2364</v>
      </c>
      <c r="Y702" s="439"/>
      <c r="Z702" s="439"/>
      <c r="AA702" s="439"/>
    </row>
    <row r="703" spans="1:27" ht="15" customHeight="1">
      <c r="A703" s="63">
        <f t="shared" si="67"/>
        <v>700</v>
      </c>
      <c r="B703" s="63" t="s">
        <v>1308</v>
      </c>
      <c r="C703" s="63" t="s">
        <v>626</v>
      </c>
      <c r="D703" s="1234" t="s">
        <v>2610</v>
      </c>
      <c r="E703" s="64">
        <v>2487</v>
      </c>
      <c r="F703" s="65" t="s">
        <v>379</v>
      </c>
      <c r="G703" s="389">
        <f t="shared" si="69"/>
        <v>0.64999999999999991</v>
      </c>
      <c r="H703" s="389">
        <f t="shared" si="69"/>
        <v>0.56999999999999995</v>
      </c>
      <c r="I703" s="389">
        <f t="shared" si="69"/>
        <v>0.47999999999999987</v>
      </c>
      <c r="J703" s="389">
        <f t="shared" si="69"/>
        <v>0.39999999999999997</v>
      </c>
      <c r="K703" s="389">
        <f t="shared" si="69"/>
        <v>0.33999999999999997</v>
      </c>
      <c r="L703" s="720">
        <v>0.06</v>
      </c>
      <c r="M703" s="63" t="s">
        <v>3214</v>
      </c>
      <c r="N703" s="440">
        <v>4.4999999999999998E-2</v>
      </c>
      <c r="O703" s="390">
        <v>6.0000000000000001E-3</v>
      </c>
      <c r="P703" s="390">
        <v>0</v>
      </c>
      <c r="Q703" s="390">
        <v>0</v>
      </c>
      <c r="R703" s="390">
        <v>0</v>
      </c>
      <c r="S703" s="63" t="s">
        <v>476</v>
      </c>
      <c r="T703" s="63"/>
      <c r="U703" s="1039"/>
      <c r="V703" s="1039"/>
      <c r="W703" s="1039"/>
      <c r="X703" s="64" t="s">
        <v>2364</v>
      </c>
      <c r="Y703" s="439"/>
      <c r="Z703" s="439"/>
      <c r="AA703" s="439"/>
    </row>
    <row r="704" spans="1:27" ht="15" customHeight="1">
      <c r="A704" s="63">
        <f t="shared" si="67"/>
        <v>701</v>
      </c>
      <c r="B704" s="63" t="s">
        <v>1308</v>
      </c>
      <c r="C704" s="63" t="s">
        <v>626</v>
      </c>
      <c r="D704" s="1234" t="s">
        <v>2611</v>
      </c>
      <c r="E704" s="64">
        <v>2487</v>
      </c>
      <c r="F704" s="65" t="s">
        <v>55</v>
      </c>
      <c r="G704" s="389">
        <f t="shared" si="69"/>
        <v>0.64999999999999991</v>
      </c>
      <c r="H704" s="389">
        <f t="shared" si="69"/>
        <v>0.56999999999999995</v>
      </c>
      <c r="I704" s="389">
        <f t="shared" si="69"/>
        <v>0.47999999999999987</v>
      </c>
      <c r="J704" s="389">
        <f t="shared" si="69"/>
        <v>0.39999999999999997</v>
      </c>
      <c r="K704" s="389">
        <f t="shared" si="69"/>
        <v>0.33999999999999997</v>
      </c>
      <c r="L704" s="720">
        <v>0.06</v>
      </c>
      <c r="M704" s="63" t="s">
        <v>3214</v>
      </c>
      <c r="N704" s="440">
        <v>4.4999999999999998E-2</v>
      </c>
      <c r="O704" s="390">
        <v>6.0000000000000001E-3</v>
      </c>
      <c r="P704" s="390">
        <v>0</v>
      </c>
      <c r="Q704" s="390">
        <v>0</v>
      </c>
      <c r="R704" s="390">
        <v>0</v>
      </c>
      <c r="S704" s="63" t="s">
        <v>476</v>
      </c>
      <c r="T704" s="63"/>
      <c r="U704" s="1039"/>
      <c r="V704" s="1039"/>
      <c r="W704" s="1039"/>
      <c r="X704" s="64" t="s">
        <v>2364</v>
      </c>
      <c r="Y704" s="439"/>
      <c r="Z704" s="439"/>
      <c r="AA704" s="439"/>
    </row>
    <row r="705" spans="1:27" ht="15" customHeight="1">
      <c r="A705" s="63">
        <f t="shared" si="67"/>
        <v>702</v>
      </c>
      <c r="B705" s="63" t="s">
        <v>1308</v>
      </c>
      <c r="C705" s="63" t="s">
        <v>626</v>
      </c>
      <c r="D705" s="1234" t="s">
        <v>2066</v>
      </c>
      <c r="E705" s="64">
        <v>2487</v>
      </c>
      <c r="F705" s="65" t="s">
        <v>620</v>
      </c>
      <c r="G705" s="389" t="e">
        <f t="shared" si="69"/>
        <v>#N/A</v>
      </c>
      <c r="H705" s="389" t="e">
        <f t="shared" si="69"/>
        <v>#N/A</v>
      </c>
      <c r="I705" s="389" t="e">
        <f t="shared" si="69"/>
        <v>#N/A</v>
      </c>
      <c r="J705" s="389" t="e">
        <f t="shared" si="69"/>
        <v>#N/A</v>
      </c>
      <c r="K705" s="389" t="e">
        <f t="shared" si="69"/>
        <v>#N/A</v>
      </c>
      <c r="L705" s="720">
        <v>0.06</v>
      </c>
      <c r="M705" s="63"/>
      <c r="N705" s="440">
        <v>4.4999999999999998E-2</v>
      </c>
      <c r="O705" s="390">
        <v>6.0000000000000001E-3</v>
      </c>
      <c r="P705" s="390">
        <v>0</v>
      </c>
      <c r="Q705" s="390">
        <v>0</v>
      </c>
      <c r="R705" s="390">
        <v>0</v>
      </c>
      <c r="S705" s="63" t="s">
        <v>476</v>
      </c>
      <c r="T705" s="63"/>
      <c r="U705" s="1039"/>
      <c r="V705" s="1039"/>
      <c r="W705" s="1039"/>
      <c r="X705" s="64" t="s">
        <v>2364</v>
      </c>
      <c r="Y705" s="439"/>
      <c r="Z705" s="439"/>
      <c r="AA705" s="439"/>
    </row>
    <row r="706" spans="1:27" ht="15" customHeight="1">
      <c r="A706" s="63">
        <f t="shared" si="67"/>
        <v>703</v>
      </c>
      <c r="B706" s="63" t="s">
        <v>1308</v>
      </c>
      <c r="C706" s="63" t="s">
        <v>626</v>
      </c>
      <c r="D706" s="1234" t="s">
        <v>2060</v>
      </c>
      <c r="E706" s="64">
        <v>2487</v>
      </c>
      <c r="F706" s="65" t="s">
        <v>620</v>
      </c>
      <c r="G706" s="389" t="e">
        <f t="shared" si="69"/>
        <v>#N/A</v>
      </c>
      <c r="H706" s="389" t="e">
        <f t="shared" si="69"/>
        <v>#N/A</v>
      </c>
      <c r="I706" s="389" t="e">
        <f t="shared" si="69"/>
        <v>#N/A</v>
      </c>
      <c r="J706" s="389" t="e">
        <f t="shared" si="69"/>
        <v>#N/A</v>
      </c>
      <c r="K706" s="389" t="e">
        <f t="shared" si="69"/>
        <v>#N/A</v>
      </c>
      <c r="L706" s="720">
        <v>0.06</v>
      </c>
      <c r="M706" s="63"/>
      <c r="N706" s="440">
        <v>4.4999999999999998E-2</v>
      </c>
      <c r="O706" s="390">
        <v>6.0000000000000001E-3</v>
      </c>
      <c r="P706" s="390">
        <v>0</v>
      </c>
      <c r="Q706" s="390">
        <v>0</v>
      </c>
      <c r="R706" s="390">
        <v>0</v>
      </c>
      <c r="S706" s="63" t="s">
        <v>476</v>
      </c>
      <c r="T706" s="63"/>
      <c r="U706" s="1039"/>
      <c r="V706" s="1039"/>
      <c r="W706" s="1039"/>
      <c r="X706" s="64" t="s">
        <v>2364</v>
      </c>
      <c r="Y706" s="439"/>
      <c r="Z706" s="439"/>
      <c r="AA706" s="439"/>
    </row>
    <row r="707" spans="1:27" ht="15" customHeight="1">
      <c r="A707" s="63">
        <f t="shared" si="67"/>
        <v>704</v>
      </c>
      <c r="B707" s="63" t="s">
        <v>1308</v>
      </c>
      <c r="C707" s="63" t="s">
        <v>626</v>
      </c>
      <c r="D707" s="1234" t="s">
        <v>2061</v>
      </c>
      <c r="E707" s="64">
        <v>2487</v>
      </c>
      <c r="F707" s="65" t="s">
        <v>379</v>
      </c>
      <c r="G707" s="389">
        <f t="shared" si="69"/>
        <v>0.57999999999999996</v>
      </c>
      <c r="H707" s="389">
        <f t="shared" si="69"/>
        <v>0.5</v>
      </c>
      <c r="I707" s="389">
        <f t="shared" si="69"/>
        <v>0.41</v>
      </c>
      <c r="J707" s="389">
        <f t="shared" si="69"/>
        <v>0.32999999999999996</v>
      </c>
      <c r="K707" s="389">
        <f t="shared" si="69"/>
        <v>0.26999999999999996</v>
      </c>
      <c r="L707" s="720">
        <v>0.06</v>
      </c>
      <c r="M707" s="63" t="s">
        <v>3173</v>
      </c>
      <c r="N707" s="440">
        <v>4.4999999999999998E-2</v>
      </c>
      <c r="O707" s="390">
        <v>6.0000000000000001E-3</v>
      </c>
      <c r="P707" s="390">
        <v>0</v>
      </c>
      <c r="Q707" s="390">
        <v>0</v>
      </c>
      <c r="R707" s="390">
        <v>0</v>
      </c>
      <c r="S707" s="63" t="s">
        <v>476</v>
      </c>
      <c r="T707" s="63"/>
      <c r="U707" s="1039"/>
      <c r="V707" s="1039"/>
      <c r="W707" s="1039"/>
      <c r="X707" s="64" t="s">
        <v>2364</v>
      </c>
      <c r="Y707" s="439"/>
      <c r="Z707" s="439"/>
      <c r="AA707" s="439"/>
    </row>
    <row r="708" spans="1:27" ht="15" customHeight="1">
      <c r="A708" s="63">
        <f t="shared" si="67"/>
        <v>705</v>
      </c>
      <c r="B708" s="63" t="s">
        <v>1308</v>
      </c>
      <c r="C708" s="63" t="s">
        <v>626</v>
      </c>
      <c r="D708" s="1234" t="s">
        <v>2062</v>
      </c>
      <c r="E708" s="64">
        <v>2487</v>
      </c>
      <c r="F708" s="65" t="s">
        <v>379</v>
      </c>
      <c r="G708" s="389">
        <f t="shared" si="69"/>
        <v>0.57999999999999996</v>
      </c>
      <c r="H708" s="389">
        <f t="shared" si="69"/>
        <v>0.5</v>
      </c>
      <c r="I708" s="389">
        <f t="shared" si="69"/>
        <v>0.41</v>
      </c>
      <c r="J708" s="389">
        <f t="shared" si="69"/>
        <v>0.32999999999999996</v>
      </c>
      <c r="K708" s="389">
        <f t="shared" si="69"/>
        <v>0.26999999999999996</v>
      </c>
      <c r="L708" s="720">
        <v>0.06</v>
      </c>
      <c r="M708" s="63" t="s">
        <v>3173</v>
      </c>
      <c r="N708" s="440">
        <v>4.4999999999999998E-2</v>
      </c>
      <c r="O708" s="390">
        <v>6.0000000000000001E-3</v>
      </c>
      <c r="P708" s="390">
        <v>0</v>
      </c>
      <c r="Q708" s="390">
        <v>0</v>
      </c>
      <c r="R708" s="390">
        <v>0</v>
      </c>
      <c r="S708" s="63" t="s">
        <v>476</v>
      </c>
      <c r="T708" s="63"/>
      <c r="U708" s="1039"/>
      <c r="V708" s="1039"/>
      <c r="W708" s="1039"/>
      <c r="X708" s="64" t="s">
        <v>2364</v>
      </c>
      <c r="Y708" s="439"/>
      <c r="Z708" s="439"/>
      <c r="AA708" s="439"/>
    </row>
    <row r="709" spans="1:27" ht="15" customHeight="1">
      <c r="A709" s="63">
        <f t="shared" si="67"/>
        <v>706</v>
      </c>
      <c r="B709" s="63" t="s">
        <v>1306</v>
      </c>
      <c r="C709" s="63" t="s">
        <v>626</v>
      </c>
      <c r="D709" s="1234" t="s">
        <v>2564</v>
      </c>
      <c r="E709" s="64">
        <v>2487</v>
      </c>
      <c r="F709" s="65" t="s">
        <v>55</v>
      </c>
      <c r="G709" s="389">
        <f t="shared" si="69"/>
        <v>0.7</v>
      </c>
      <c r="H709" s="389">
        <f t="shared" si="69"/>
        <v>0.62</v>
      </c>
      <c r="I709" s="389">
        <f t="shared" si="69"/>
        <v>0.52999999999999992</v>
      </c>
      <c r="J709" s="389">
        <f t="shared" si="69"/>
        <v>0.45</v>
      </c>
      <c r="K709" s="389">
        <f t="shared" si="69"/>
        <v>0.39</v>
      </c>
      <c r="L709" s="720">
        <v>0.06</v>
      </c>
      <c r="M709" s="63" t="s">
        <v>3159</v>
      </c>
      <c r="N709" s="440">
        <v>4.4999999999999998E-2</v>
      </c>
      <c r="O709" s="390">
        <v>6.0000000000000001E-3</v>
      </c>
      <c r="P709" s="390">
        <v>0</v>
      </c>
      <c r="Q709" s="390">
        <v>0</v>
      </c>
      <c r="R709" s="390">
        <v>0</v>
      </c>
      <c r="S709" s="63" t="s">
        <v>476</v>
      </c>
      <c r="T709" s="63"/>
      <c r="U709" s="1039"/>
      <c r="V709" s="1039"/>
      <c r="W709" s="1039"/>
      <c r="X709" s="64" t="s">
        <v>2364</v>
      </c>
      <c r="Y709" s="439"/>
      <c r="Z709" s="439"/>
      <c r="AA709" s="439"/>
    </row>
    <row r="710" spans="1:27" ht="15" customHeight="1">
      <c r="A710" s="63">
        <f t="shared" si="67"/>
        <v>707</v>
      </c>
      <c r="B710" s="63" t="s">
        <v>1308</v>
      </c>
      <c r="C710" s="63" t="s">
        <v>626</v>
      </c>
      <c r="D710" s="1234" t="s">
        <v>1454</v>
      </c>
      <c r="E710" s="64">
        <v>2998</v>
      </c>
      <c r="F710" s="65" t="s">
        <v>619</v>
      </c>
      <c r="G710" s="389">
        <f t="shared" si="69"/>
        <v>0.54</v>
      </c>
      <c r="H710" s="389">
        <f t="shared" si="69"/>
        <v>0.45999999999999996</v>
      </c>
      <c r="I710" s="389">
        <f t="shared" si="69"/>
        <v>0.37</v>
      </c>
      <c r="J710" s="389">
        <f t="shared" si="69"/>
        <v>0.28999999999999998</v>
      </c>
      <c r="K710" s="389">
        <f t="shared" si="69"/>
        <v>0.23</v>
      </c>
      <c r="L710" s="720">
        <v>0.06</v>
      </c>
      <c r="M710" s="63" t="s">
        <v>3175</v>
      </c>
      <c r="N710" s="440">
        <v>4.4999999999999998E-2</v>
      </c>
      <c r="O710" s="390">
        <v>6.0000000000000001E-3</v>
      </c>
      <c r="P710" s="390">
        <v>0</v>
      </c>
      <c r="Q710" s="390">
        <v>0</v>
      </c>
      <c r="R710" s="390">
        <v>0</v>
      </c>
      <c r="S710" s="63" t="s">
        <v>476</v>
      </c>
      <c r="T710" s="63"/>
      <c r="U710" s="1039"/>
      <c r="V710" s="1039"/>
      <c r="W710" s="1039"/>
      <c r="X710" s="64" t="s">
        <v>2364</v>
      </c>
      <c r="Y710" s="439"/>
      <c r="Z710" s="439"/>
      <c r="AA710" s="439"/>
    </row>
    <row r="711" spans="1:27" ht="15" customHeight="1">
      <c r="A711" s="63">
        <f t="shared" si="67"/>
        <v>708</v>
      </c>
      <c r="B711" s="63" t="s">
        <v>1308</v>
      </c>
      <c r="C711" s="63"/>
      <c r="D711" s="63"/>
      <c r="E711" s="64"/>
      <c r="F711" s="65"/>
      <c r="G711" s="389" t="e">
        <f t="shared" si="69"/>
        <v>#N/A</v>
      </c>
      <c r="H711" s="389" t="e">
        <f t="shared" si="69"/>
        <v>#N/A</v>
      </c>
      <c r="I711" s="389" t="e">
        <f t="shared" si="69"/>
        <v>#N/A</v>
      </c>
      <c r="J711" s="389" t="e">
        <f t="shared" si="69"/>
        <v>#N/A</v>
      </c>
      <c r="K711" s="389" t="e">
        <f t="shared" si="69"/>
        <v>#N/A</v>
      </c>
      <c r="L711" s="720"/>
      <c r="M711" s="63"/>
      <c r="N711" s="440"/>
      <c r="O711" s="390"/>
      <c r="P711" s="390">
        <v>0</v>
      </c>
      <c r="Q711" s="390">
        <v>0</v>
      </c>
      <c r="R711" s="390">
        <v>0</v>
      </c>
      <c r="S711" s="63" t="s">
        <v>476</v>
      </c>
      <c r="T711" s="63"/>
      <c r="U711" s="1039"/>
      <c r="V711" s="1039"/>
      <c r="W711" s="1039"/>
      <c r="X711" s="64" t="s">
        <v>2364</v>
      </c>
      <c r="Y711" s="439"/>
      <c r="Z711" s="439"/>
      <c r="AA711" s="439"/>
    </row>
    <row r="712" spans="1:27" ht="15" customHeight="1">
      <c r="A712" s="63">
        <f t="shared" si="67"/>
        <v>709</v>
      </c>
      <c r="B712" s="63" t="s">
        <v>1308</v>
      </c>
      <c r="C712" s="63"/>
      <c r="D712" s="63"/>
      <c r="E712" s="64"/>
      <c r="F712" s="65"/>
      <c r="G712" s="389" t="e">
        <f t="shared" si="69"/>
        <v>#N/A</v>
      </c>
      <c r="H712" s="389" t="e">
        <f t="shared" si="69"/>
        <v>#N/A</v>
      </c>
      <c r="I712" s="389" t="e">
        <f t="shared" si="69"/>
        <v>#N/A</v>
      </c>
      <c r="J712" s="389" t="e">
        <f t="shared" si="69"/>
        <v>#N/A</v>
      </c>
      <c r="K712" s="389" t="e">
        <f t="shared" si="69"/>
        <v>#N/A</v>
      </c>
      <c r="L712" s="720"/>
      <c r="M712" s="63"/>
      <c r="N712" s="440"/>
      <c r="O712" s="390"/>
      <c r="P712" s="390">
        <v>0</v>
      </c>
      <c r="Q712" s="390">
        <v>0</v>
      </c>
      <c r="R712" s="390">
        <v>0</v>
      </c>
      <c r="S712" s="63" t="s">
        <v>476</v>
      </c>
      <c r="T712" s="63"/>
      <c r="U712" s="1039"/>
      <c r="V712" s="1039"/>
      <c r="W712" s="1039"/>
      <c r="X712" s="64" t="s">
        <v>2364</v>
      </c>
      <c r="Y712" s="439"/>
      <c r="Z712" s="439"/>
      <c r="AA712" s="439"/>
    </row>
    <row r="713" spans="1:27" ht="15" customHeight="1">
      <c r="A713" s="63">
        <f t="shared" si="67"/>
        <v>710</v>
      </c>
      <c r="B713" s="63" t="s">
        <v>1308</v>
      </c>
      <c r="C713" s="63"/>
      <c r="D713" s="63"/>
      <c r="E713" s="64"/>
      <c r="F713" s="65"/>
      <c r="G713" s="389" t="e">
        <f t="shared" si="69"/>
        <v>#N/A</v>
      </c>
      <c r="H713" s="389" t="e">
        <f t="shared" si="69"/>
        <v>#N/A</v>
      </c>
      <c r="I713" s="389" t="e">
        <f t="shared" si="69"/>
        <v>#N/A</v>
      </c>
      <c r="J713" s="389" t="e">
        <f t="shared" si="69"/>
        <v>#N/A</v>
      </c>
      <c r="K713" s="389" t="e">
        <f t="shared" si="69"/>
        <v>#N/A</v>
      </c>
      <c r="L713" s="720"/>
      <c r="M713" s="63"/>
      <c r="N713" s="440"/>
      <c r="O713" s="390"/>
      <c r="P713" s="390">
        <v>0</v>
      </c>
      <c r="Q713" s="390">
        <v>0</v>
      </c>
      <c r="R713" s="390">
        <v>0</v>
      </c>
      <c r="S713" s="63" t="s">
        <v>476</v>
      </c>
      <c r="T713" s="63"/>
      <c r="U713" s="1039"/>
      <c r="V713" s="1039"/>
      <c r="W713" s="1039"/>
      <c r="X713" s="64" t="s">
        <v>2364</v>
      </c>
      <c r="Y713" s="439"/>
      <c r="Z713" s="439"/>
      <c r="AA713" s="439"/>
    </row>
    <row r="714" spans="1:27" ht="15" customHeight="1">
      <c r="A714" s="63">
        <f t="shared" ref="A714:A730" si="70">ROW()-3</f>
        <v>711</v>
      </c>
      <c r="B714" s="63" t="s">
        <v>1308</v>
      </c>
      <c r="C714" s="63"/>
      <c r="D714" s="63"/>
      <c r="E714" s="64"/>
      <c r="F714" s="65"/>
      <c r="G714" s="389" t="e">
        <f t="shared" si="69"/>
        <v>#N/A</v>
      </c>
      <c r="H714" s="389" t="e">
        <f t="shared" si="69"/>
        <v>#N/A</v>
      </c>
      <c r="I714" s="389" t="e">
        <f t="shared" si="69"/>
        <v>#N/A</v>
      </c>
      <c r="J714" s="389" t="e">
        <f t="shared" si="69"/>
        <v>#N/A</v>
      </c>
      <c r="K714" s="389" t="e">
        <f t="shared" si="69"/>
        <v>#N/A</v>
      </c>
      <c r="L714" s="720"/>
      <c r="M714" s="63"/>
      <c r="N714" s="440"/>
      <c r="O714" s="390"/>
      <c r="P714" s="390">
        <v>0</v>
      </c>
      <c r="Q714" s="390">
        <v>0</v>
      </c>
      <c r="R714" s="390">
        <v>0</v>
      </c>
      <c r="S714" s="63" t="s">
        <v>476</v>
      </c>
      <c r="T714" s="63"/>
      <c r="U714" s="1039"/>
      <c r="V714" s="1039"/>
      <c r="W714" s="1039"/>
      <c r="X714" s="64" t="s">
        <v>2364</v>
      </c>
      <c r="Y714" s="439"/>
      <c r="Z714" s="439"/>
      <c r="AA714" s="439"/>
    </row>
    <row r="715" spans="1:27" ht="15" customHeight="1">
      <c r="A715" s="63">
        <f t="shared" si="70"/>
        <v>712</v>
      </c>
      <c r="B715" s="63" t="s">
        <v>1308</v>
      </c>
      <c r="C715" s="63"/>
      <c r="D715" s="63"/>
      <c r="E715" s="64"/>
      <c r="F715" s="65"/>
      <c r="G715" s="389" t="e">
        <f t="shared" si="69"/>
        <v>#N/A</v>
      </c>
      <c r="H715" s="389" t="e">
        <f t="shared" si="69"/>
        <v>#N/A</v>
      </c>
      <c r="I715" s="389" t="e">
        <f t="shared" si="69"/>
        <v>#N/A</v>
      </c>
      <c r="J715" s="389" t="e">
        <f t="shared" si="69"/>
        <v>#N/A</v>
      </c>
      <c r="K715" s="389" t="e">
        <f t="shared" si="69"/>
        <v>#N/A</v>
      </c>
      <c r="L715" s="720"/>
      <c r="M715" s="63"/>
      <c r="N715" s="440"/>
      <c r="O715" s="390"/>
      <c r="P715" s="390">
        <v>0</v>
      </c>
      <c r="Q715" s="390">
        <v>0</v>
      </c>
      <c r="R715" s="390">
        <v>0</v>
      </c>
      <c r="S715" s="63" t="s">
        <v>476</v>
      </c>
      <c r="T715" s="63"/>
      <c r="U715" s="1039"/>
      <c r="V715" s="1039"/>
      <c r="W715" s="1039"/>
      <c r="X715" s="64" t="s">
        <v>2364</v>
      </c>
      <c r="Y715" s="439"/>
      <c r="Z715" s="439"/>
      <c r="AA715" s="439"/>
    </row>
    <row r="716" spans="1:27" ht="15" customHeight="1">
      <c r="A716" s="63">
        <f t="shared" si="70"/>
        <v>713</v>
      </c>
      <c r="B716" s="63" t="s">
        <v>1308</v>
      </c>
      <c r="C716" s="63"/>
      <c r="D716" s="63"/>
      <c r="E716" s="64"/>
      <c r="F716" s="65"/>
      <c r="G716" s="389" t="e">
        <f t="shared" si="69"/>
        <v>#N/A</v>
      </c>
      <c r="H716" s="389" t="e">
        <f t="shared" si="69"/>
        <v>#N/A</v>
      </c>
      <c r="I716" s="389" t="e">
        <f t="shared" si="69"/>
        <v>#N/A</v>
      </c>
      <c r="J716" s="389" t="e">
        <f t="shared" si="69"/>
        <v>#N/A</v>
      </c>
      <c r="K716" s="389" t="e">
        <f t="shared" si="69"/>
        <v>#N/A</v>
      </c>
      <c r="L716" s="720"/>
      <c r="M716" s="63"/>
      <c r="N716" s="440"/>
      <c r="O716" s="390"/>
      <c r="P716" s="390">
        <v>0</v>
      </c>
      <c r="Q716" s="390">
        <v>0</v>
      </c>
      <c r="R716" s="390">
        <v>0</v>
      </c>
      <c r="S716" s="63" t="s">
        <v>476</v>
      </c>
      <c r="T716" s="63"/>
      <c r="U716" s="1039"/>
      <c r="V716" s="1039"/>
      <c r="W716" s="1039"/>
      <c r="X716" s="64" t="s">
        <v>2364</v>
      </c>
      <c r="Y716" s="439"/>
      <c r="Z716" s="439"/>
      <c r="AA716" s="439"/>
    </row>
    <row r="717" spans="1:27" ht="15" customHeight="1">
      <c r="A717" s="63">
        <f t="shared" si="70"/>
        <v>714</v>
      </c>
      <c r="B717" s="63" t="s">
        <v>1308</v>
      </c>
      <c r="C717" s="63"/>
      <c r="D717" s="63"/>
      <c r="E717" s="64"/>
      <c r="F717" s="65"/>
      <c r="G717" s="389" t="e">
        <f t="shared" si="69"/>
        <v>#N/A</v>
      </c>
      <c r="H717" s="389" t="e">
        <f t="shared" si="69"/>
        <v>#N/A</v>
      </c>
      <c r="I717" s="389" t="e">
        <f t="shared" si="69"/>
        <v>#N/A</v>
      </c>
      <c r="J717" s="389" t="e">
        <f t="shared" si="69"/>
        <v>#N/A</v>
      </c>
      <c r="K717" s="389" t="e">
        <f t="shared" si="69"/>
        <v>#N/A</v>
      </c>
      <c r="L717" s="720"/>
      <c r="M717" s="63"/>
      <c r="N717" s="440"/>
      <c r="O717" s="390"/>
      <c r="P717" s="390">
        <v>0</v>
      </c>
      <c r="Q717" s="390">
        <v>0</v>
      </c>
      <c r="R717" s="390">
        <v>0</v>
      </c>
      <c r="S717" s="63" t="s">
        <v>476</v>
      </c>
      <c r="T717" s="63"/>
      <c r="U717" s="1039"/>
      <c r="V717" s="1039"/>
      <c r="W717" s="1039"/>
      <c r="X717" s="64" t="s">
        <v>2364</v>
      </c>
      <c r="Y717" s="439"/>
      <c r="Z717" s="439"/>
      <c r="AA717" s="439"/>
    </row>
    <row r="718" spans="1:27" ht="15" customHeight="1">
      <c r="A718" s="63">
        <f t="shared" si="70"/>
        <v>715</v>
      </c>
      <c r="B718" s="63" t="s">
        <v>1308</v>
      </c>
      <c r="C718" s="63" t="s">
        <v>696</v>
      </c>
      <c r="D718" s="1234" t="s">
        <v>2067</v>
      </c>
      <c r="E718" s="64">
        <v>1498</v>
      </c>
      <c r="F718" s="65" t="s">
        <v>189</v>
      </c>
      <c r="G718" s="389">
        <f t="shared" si="69"/>
        <v>0.65999999999999992</v>
      </c>
      <c r="H718" s="389">
        <f t="shared" si="69"/>
        <v>0.57999999999999996</v>
      </c>
      <c r="I718" s="389">
        <f t="shared" si="69"/>
        <v>0.48999999999999988</v>
      </c>
      <c r="J718" s="389">
        <f t="shared" si="69"/>
        <v>0.41</v>
      </c>
      <c r="K718" s="389">
        <f t="shared" si="69"/>
        <v>0.35</v>
      </c>
      <c r="L718" s="720">
        <v>0.06</v>
      </c>
      <c r="M718" s="63" t="s">
        <v>3161</v>
      </c>
      <c r="N718" s="440">
        <v>4.4999999999999998E-2</v>
      </c>
      <c r="O718" s="390">
        <v>6.0000000000000001E-3</v>
      </c>
      <c r="P718" s="390">
        <v>0</v>
      </c>
      <c r="Q718" s="390">
        <v>0</v>
      </c>
      <c r="R718" s="390">
        <v>0</v>
      </c>
      <c r="S718" s="63" t="s">
        <v>476</v>
      </c>
      <c r="T718" s="63"/>
      <c r="U718" s="1039"/>
      <c r="V718" s="1039"/>
      <c r="W718" s="1039"/>
      <c r="X718" s="64" t="s">
        <v>2364</v>
      </c>
      <c r="Y718" s="439"/>
      <c r="Z718" s="439"/>
      <c r="AA718" s="439"/>
    </row>
    <row r="719" spans="1:27" ht="15" customHeight="1">
      <c r="A719" s="63">
        <f t="shared" si="70"/>
        <v>716</v>
      </c>
      <c r="B719" s="63" t="s">
        <v>1308</v>
      </c>
      <c r="C719" s="63" t="s">
        <v>696</v>
      </c>
      <c r="D719" s="1234" t="s">
        <v>2612</v>
      </c>
      <c r="E719" s="64">
        <v>1993</v>
      </c>
      <c r="F719" s="65" t="s">
        <v>55</v>
      </c>
      <c r="G719" s="389">
        <f t="shared" si="69"/>
        <v>0.65999999999999992</v>
      </c>
      <c r="H719" s="389">
        <f t="shared" si="69"/>
        <v>0.57999999999999996</v>
      </c>
      <c r="I719" s="389">
        <f t="shared" si="69"/>
        <v>0.48999999999999988</v>
      </c>
      <c r="J719" s="389">
        <f t="shared" si="69"/>
        <v>0.41</v>
      </c>
      <c r="K719" s="389">
        <f t="shared" si="69"/>
        <v>0.35</v>
      </c>
      <c r="L719" s="720">
        <v>0.06</v>
      </c>
      <c r="M719" s="63" t="s">
        <v>3161</v>
      </c>
      <c r="N719" s="440">
        <v>4.4999999999999998E-2</v>
      </c>
      <c r="O719" s="390">
        <v>6.0000000000000001E-3</v>
      </c>
      <c r="P719" s="390">
        <v>0</v>
      </c>
      <c r="Q719" s="390">
        <v>0</v>
      </c>
      <c r="R719" s="390">
        <v>0</v>
      </c>
      <c r="S719" s="63" t="s">
        <v>476</v>
      </c>
      <c r="T719" s="63"/>
      <c r="U719" s="1039"/>
      <c r="V719" s="1039"/>
      <c r="W719" s="1039"/>
      <c r="X719" s="64" t="s">
        <v>2364</v>
      </c>
      <c r="Y719" s="439"/>
      <c r="Z719" s="439"/>
      <c r="AA719" s="439"/>
    </row>
    <row r="720" spans="1:27" ht="15" customHeight="1">
      <c r="A720" s="63">
        <f t="shared" si="70"/>
        <v>717</v>
      </c>
      <c r="B720" s="63" t="s">
        <v>1308</v>
      </c>
      <c r="C720" s="63" t="s">
        <v>696</v>
      </c>
      <c r="D720" s="1234" t="s">
        <v>2613</v>
      </c>
      <c r="E720" s="64">
        <v>1993</v>
      </c>
      <c r="F720" s="65" t="s">
        <v>55</v>
      </c>
      <c r="G720" s="389">
        <f t="shared" si="69"/>
        <v>0.65999999999999992</v>
      </c>
      <c r="H720" s="389">
        <f t="shared" si="69"/>
        <v>0.57999999999999996</v>
      </c>
      <c r="I720" s="389">
        <f t="shared" si="69"/>
        <v>0.48999999999999988</v>
      </c>
      <c r="J720" s="389">
        <f t="shared" si="69"/>
        <v>0.41</v>
      </c>
      <c r="K720" s="389">
        <f t="shared" si="69"/>
        <v>0.35</v>
      </c>
      <c r="L720" s="720">
        <v>0.06</v>
      </c>
      <c r="M720" s="63" t="s">
        <v>3161</v>
      </c>
      <c r="N720" s="440">
        <v>4.4999999999999998E-2</v>
      </c>
      <c r="O720" s="390">
        <v>6.0000000000000001E-3</v>
      </c>
      <c r="P720" s="390">
        <v>0</v>
      </c>
      <c r="Q720" s="390">
        <v>0</v>
      </c>
      <c r="R720" s="390">
        <v>0</v>
      </c>
      <c r="S720" s="63" t="s">
        <v>476</v>
      </c>
      <c r="T720" s="63"/>
      <c r="U720" s="1039"/>
      <c r="V720" s="1039"/>
      <c r="W720" s="1039"/>
      <c r="X720" s="64" t="s">
        <v>2364</v>
      </c>
      <c r="Y720" s="439"/>
      <c r="Z720" s="439"/>
      <c r="AA720" s="439"/>
    </row>
    <row r="721" spans="1:27" ht="15" customHeight="1">
      <c r="A721" s="63">
        <f t="shared" si="70"/>
        <v>718</v>
      </c>
      <c r="B721" s="63" t="s">
        <v>1306</v>
      </c>
      <c r="C721" s="63" t="s">
        <v>696</v>
      </c>
      <c r="D721" s="1234" t="s">
        <v>2568</v>
      </c>
      <c r="E721" s="64">
        <v>1993</v>
      </c>
      <c r="F721" s="65" t="s">
        <v>189</v>
      </c>
      <c r="G721" s="389">
        <f t="shared" si="69"/>
        <v>0.64999999999999991</v>
      </c>
      <c r="H721" s="389">
        <f t="shared" si="69"/>
        <v>0.56999999999999995</v>
      </c>
      <c r="I721" s="389">
        <f t="shared" si="69"/>
        <v>0.47999999999999987</v>
      </c>
      <c r="J721" s="389">
        <f t="shared" si="69"/>
        <v>0.39999999999999997</v>
      </c>
      <c r="K721" s="389">
        <f t="shared" si="69"/>
        <v>0.33999999999999997</v>
      </c>
      <c r="L721" s="720">
        <v>0.06</v>
      </c>
      <c r="M721" s="63" t="s">
        <v>3198</v>
      </c>
      <c r="N721" s="440">
        <v>4.4999999999999998E-2</v>
      </c>
      <c r="O721" s="390">
        <v>6.0000000000000001E-3</v>
      </c>
      <c r="P721" s="390">
        <v>0</v>
      </c>
      <c r="Q721" s="390">
        <v>0</v>
      </c>
      <c r="R721" s="390">
        <v>0</v>
      </c>
      <c r="S721" s="63" t="s">
        <v>476</v>
      </c>
      <c r="T721" s="63"/>
      <c r="U721" s="1039"/>
      <c r="V721" s="1039"/>
      <c r="W721" s="1039"/>
      <c r="X721" s="64" t="s">
        <v>2364</v>
      </c>
      <c r="Y721" s="439"/>
      <c r="Z721" s="439"/>
      <c r="AA721" s="439"/>
    </row>
    <row r="722" spans="1:27" ht="15" customHeight="1">
      <c r="A722" s="63">
        <f t="shared" si="70"/>
        <v>719</v>
      </c>
      <c r="B722" s="63" t="s">
        <v>1306</v>
      </c>
      <c r="C722" s="63" t="s">
        <v>696</v>
      </c>
      <c r="D722" s="1234" t="s">
        <v>2569</v>
      </c>
      <c r="E722" s="64">
        <v>1498</v>
      </c>
      <c r="F722" s="65" t="s">
        <v>685</v>
      </c>
      <c r="G722" s="389">
        <f t="shared" si="69"/>
        <v>0.64999999999999991</v>
      </c>
      <c r="H722" s="389">
        <f t="shared" si="69"/>
        <v>0.56999999999999995</v>
      </c>
      <c r="I722" s="389">
        <f t="shared" si="69"/>
        <v>0.47999999999999987</v>
      </c>
      <c r="J722" s="389">
        <f t="shared" si="69"/>
        <v>0.39999999999999997</v>
      </c>
      <c r="K722" s="389">
        <f t="shared" si="69"/>
        <v>0.33999999999999997</v>
      </c>
      <c r="L722" s="720">
        <v>0.06</v>
      </c>
      <c r="M722" s="63" t="s">
        <v>3198</v>
      </c>
      <c r="N722" s="440">
        <v>4.4999999999999998E-2</v>
      </c>
      <c r="O722" s="390">
        <v>6.0000000000000001E-3</v>
      </c>
      <c r="P722" s="390">
        <v>0</v>
      </c>
      <c r="Q722" s="390">
        <v>0</v>
      </c>
      <c r="R722" s="390">
        <v>0</v>
      </c>
      <c r="S722" s="63" t="s">
        <v>476</v>
      </c>
      <c r="T722" s="63"/>
      <c r="U722" s="1039"/>
      <c r="V722" s="1039"/>
      <c r="W722" s="1039"/>
      <c r="X722" s="64" t="s">
        <v>2364</v>
      </c>
      <c r="Y722" s="439"/>
      <c r="Z722" s="439"/>
      <c r="AA722" s="439"/>
    </row>
    <row r="723" spans="1:27" ht="15" customHeight="1">
      <c r="A723" s="63">
        <f t="shared" si="70"/>
        <v>720</v>
      </c>
      <c r="B723" s="63" t="s">
        <v>1306</v>
      </c>
      <c r="C723" s="63" t="s">
        <v>696</v>
      </c>
      <c r="D723" s="1234" t="s">
        <v>2570</v>
      </c>
      <c r="E723" s="64">
        <v>3471</v>
      </c>
      <c r="F723" s="65" t="s">
        <v>189</v>
      </c>
      <c r="G723" s="389">
        <f t="shared" si="69"/>
        <v>0.54</v>
      </c>
      <c r="H723" s="389">
        <f t="shared" si="69"/>
        <v>0.45999999999999996</v>
      </c>
      <c r="I723" s="389">
        <f t="shared" si="69"/>
        <v>0.37</v>
      </c>
      <c r="J723" s="389">
        <f t="shared" si="69"/>
        <v>0.28999999999999998</v>
      </c>
      <c r="K723" s="389">
        <f t="shared" si="69"/>
        <v>0.23</v>
      </c>
      <c r="L723" s="720">
        <v>0.06</v>
      </c>
      <c r="M723" s="63" t="s">
        <v>3190</v>
      </c>
      <c r="N723" s="440">
        <v>4.4999999999999998E-2</v>
      </c>
      <c r="O723" s="390">
        <v>6.0000000000000001E-3</v>
      </c>
      <c r="P723" s="390">
        <v>0</v>
      </c>
      <c r="Q723" s="390">
        <v>0</v>
      </c>
      <c r="R723" s="390">
        <v>0</v>
      </c>
      <c r="S723" s="63" t="s">
        <v>476</v>
      </c>
      <c r="T723" s="63"/>
      <c r="U723" s="1039"/>
      <c r="V723" s="1039"/>
      <c r="W723" s="1039"/>
      <c r="X723" s="64" t="s">
        <v>2364</v>
      </c>
      <c r="Y723" s="439"/>
      <c r="Z723" s="439"/>
      <c r="AA723" s="439"/>
    </row>
    <row r="724" spans="1:27" ht="15" customHeight="1">
      <c r="A724" s="63">
        <f t="shared" si="70"/>
        <v>721</v>
      </c>
      <c r="B724" s="63" t="s">
        <v>1308</v>
      </c>
      <c r="C724" s="63" t="s">
        <v>696</v>
      </c>
      <c r="D724" s="1234" t="s">
        <v>2068</v>
      </c>
      <c r="E724" s="64">
        <v>3471</v>
      </c>
      <c r="F724" s="65" t="s">
        <v>189</v>
      </c>
      <c r="G724" s="389">
        <f t="shared" si="69"/>
        <v>0.54</v>
      </c>
      <c r="H724" s="389">
        <f t="shared" si="69"/>
        <v>0.45999999999999996</v>
      </c>
      <c r="I724" s="389">
        <f t="shared" si="69"/>
        <v>0.37</v>
      </c>
      <c r="J724" s="389">
        <f t="shared" si="69"/>
        <v>0.28999999999999998</v>
      </c>
      <c r="K724" s="389">
        <f t="shared" si="69"/>
        <v>0.23</v>
      </c>
      <c r="L724" s="720">
        <v>0.06</v>
      </c>
      <c r="M724" s="63" t="s">
        <v>3175</v>
      </c>
      <c r="N724" s="440">
        <v>4.4999999999999998E-2</v>
      </c>
      <c r="O724" s="390">
        <v>6.0000000000000001E-3</v>
      </c>
      <c r="P724" s="390">
        <v>0</v>
      </c>
      <c r="Q724" s="390">
        <v>0</v>
      </c>
      <c r="R724" s="390">
        <v>0</v>
      </c>
      <c r="S724" s="63" t="s">
        <v>476</v>
      </c>
      <c r="T724" s="63"/>
      <c r="U724" s="1039"/>
      <c r="V724" s="1039"/>
      <c r="W724" s="1039"/>
      <c r="X724" s="64" t="s">
        <v>2364</v>
      </c>
      <c r="Y724" s="439"/>
      <c r="Z724" s="439"/>
      <c r="AA724" s="439"/>
    </row>
    <row r="725" spans="1:27" ht="15" customHeight="1">
      <c r="A725" s="63">
        <f t="shared" si="70"/>
        <v>722</v>
      </c>
      <c r="B725" s="63" t="s">
        <v>1308</v>
      </c>
      <c r="C725" s="63"/>
      <c r="D725" s="63"/>
      <c r="E725" s="64"/>
      <c r="F725" s="65"/>
      <c r="G725" s="389" t="e">
        <f t="shared" si="69"/>
        <v>#N/A</v>
      </c>
      <c r="H725" s="389" t="e">
        <f t="shared" si="69"/>
        <v>#N/A</v>
      </c>
      <c r="I725" s="389" t="e">
        <f t="shared" si="69"/>
        <v>#N/A</v>
      </c>
      <c r="J725" s="389" t="e">
        <f t="shared" si="69"/>
        <v>#N/A</v>
      </c>
      <c r="K725" s="389" t="e">
        <f t="shared" si="69"/>
        <v>#N/A</v>
      </c>
      <c r="L725" s="720"/>
      <c r="M725" s="63"/>
      <c r="N725" s="440"/>
      <c r="O725" s="390"/>
      <c r="P725" s="390">
        <v>0</v>
      </c>
      <c r="Q725" s="390">
        <v>0</v>
      </c>
      <c r="R725" s="390">
        <v>0</v>
      </c>
      <c r="S725" s="63" t="s">
        <v>476</v>
      </c>
      <c r="T725" s="63"/>
      <c r="U725" s="1039"/>
      <c r="V725" s="1039"/>
      <c r="W725" s="1039"/>
      <c r="X725" s="64" t="s">
        <v>2364</v>
      </c>
      <c r="Y725" s="439"/>
      <c r="Z725" s="439"/>
      <c r="AA725" s="439"/>
    </row>
    <row r="726" spans="1:27" ht="15" customHeight="1">
      <c r="A726" s="63">
        <f t="shared" si="70"/>
        <v>723</v>
      </c>
      <c r="B726" s="63" t="s">
        <v>1308</v>
      </c>
      <c r="C726" s="63"/>
      <c r="D726" s="63"/>
      <c r="E726" s="64"/>
      <c r="F726" s="65"/>
      <c r="G726" s="389" t="e">
        <f t="shared" si="69"/>
        <v>#N/A</v>
      </c>
      <c r="H726" s="389" t="e">
        <f t="shared" si="69"/>
        <v>#N/A</v>
      </c>
      <c r="I726" s="389" t="e">
        <f t="shared" si="69"/>
        <v>#N/A</v>
      </c>
      <c r="J726" s="389" t="e">
        <f t="shared" si="69"/>
        <v>#N/A</v>
      </c>
      <c r="K726" s="389" t="e">
        <f t="shared" si="69"/>
        <v>#N/A</v>
      </c>
      <c r="L726" s="720"/>
      <c r="M726" s="63"/>
      <c r="N726" s="440"/>
      <c r="O726" s="390"/>
      <c r="P726" s="390">
        <v>0</v>
      </c>
      <c r="Q726" s="390">
        <v>0</v>
      </c>
      <c r="R726" s="390">
        <v>0</v>
      </c>
      <c r="S726" s="63" t="s">
        <v>476</v>
      </c>
      <c r="T726" s="63"/>
      <c r="U726" s="1039"/>
      <c r="V726" s="1039"/>
      <c r="W726" s="1039"/>
      <c r="X726" s="64" t="s">
        <v>2364</v>
      </c>
      <c r="Y726" s="439"/>
      <c r="Z726" s="439"/>
      <c r="AA726" s="439"/>
    </row>
    <row r="727" spans="1:27" ht="15" customHeight="1">
      <c r="A727" s="63">
        <f t="shared" si="70"/>
        <v>724</v>
      </c>
      <c r="B727" s="63" t="s">
        <v>1308</v>
      </c>
      <c r="C727" s="63"/>
      <c r="D727" s="63"/>
      <c r="E727" s="64"/>
      <c r="F727" s="65"/>
      <c r="G727" s="389" t="e">
        <f t="shared" si="69"/>
        <v>#N/A</v>
      </c>
      <c r="H727" s="389" t="e">
        <f t="shared" si="69"/>
        <v>#N/A</v>
      </c>
      <c r="I727" s="389" t="e">
        <f t="shared" si="69"/>
        <v>#N/A</v>
      </c>
      <c r="J727" s="389" t="e">
        <f t="shared" si="69"/>
        <v>#N/A</v>
      </c>
      <c r="K727" s="389" t="e">
        <f t="shared" si="69"/>
        <v>#N/A</v>
      </c>
      <c r="L727" s="720"/>
      <c r="M727" s="63"/>
      <c r="N727" s="440"/>
      <c r="O727" s="390"/>
      <c r="P727" s="390">
        <v>0</v>
      </c>
      <c r="Q727" s="390">
        <v>0</v>
      </c>
      <c r="R727" s="390">
        <v>0</v>
      </c>
      <c r="S727" s="63" t="s">
        <v>476</v>
      </c>
      <c r="T727" s="63"/>
      <c r="U727" s="1039"/>
      <c r="V727" s="1039"/>
      <c r="W727" s="1039"/>
      <c r="X727" s="64" t="s">
        <v>2364</v>
      </c>
      <c r="Y727" s="439"/>
      <c r="Z727" s="439"/>
      <c r="AA727" s="439"/>
    </row>
    <row r="728" spans="1:27" ht="15" customHeight="1">
      <c r="A728" s="63">
        <f t="shared" si="70"/>
        <v>725</v>
      </c>
      <c r="B728" s="63" t="s">
        <v>1308</v>
      </c>
      <c r="C728" s="63"/>
      <c r="D728" s="63"/>
      <c r="E728" s="64"/>
      <c r="F728" s="65"/>
      <c r="G728" s="389" t="e">
        <f t="shared" si="69"/>
        <v>#N/A</v>
      </c>
      <c r="H728" s="389" t="e">
        <f t="shared" si="69"/>
        <v>#N/A</v>
      </c>
      <c r="I728" s="389" t="e">
        <f t="shared" si="69"/>
        <v>#N/A</v>
      </c>
      <c r="J728" s="389" t="e">
        <f t="shared" si="69"/>
        <v>#N/A</v>
      </c>
      <c r="K728" s="389" t="e">
        <f t="shared" si="69"/>
        <v>#N/A</v>
      </c>
      <c r="L728" s="720"/>
      <c r="M728" s="63"/>
      <c r="N728" s="440"/>
      <c r="O728" s="390"/>
      <c r="P728" s="390">
        <v>0</v>
      </c>
      <c r="Q728" s="390">
        <v>0</v>
      </c>
      <c r="R728" s="390">
        <v>0</v>
      </c>
      <c r="S728" s="63" t="s">
        <v>476</v>
      </c>
      <c r="T728" s="63"/>
      <c r="U728" s="1039"/>
      <c r="V728" s="1039"/>
      <c r="W728" s="1039"/>
      <c r="X728" s="64" t="s">
        <v>2364</v>
      </c>
      <c r="Y728" s="439"/>
      <c r="Z728" s="439"/>
      <c r="AA728" s="439"/>
    </row>
    <row r="729" spans="1:27" ht="15" customHeight="1">
      <c r="A729" s="63">
        <f t="shared" si="70"/>
        <v>726</v>
      </c>
      <c r="B729" s="63" t="s">
        <v>1308</v>
      </c>
      <c r="C729" s="63"/>
      <c r="D729" s="63"/>
      <c r="E729" s="64"/>
      <c r="F729" s="65"/>
      <c r="G729" s="389" t="e">
        <f t="shared" si="69"/>
        <v>#N/A</v>
      </c>
      <c r="H729" s="389" t="e">
        <f t="shared" si="69"/>
        <v>#N/A</v>
      </c>
      <c r="I729" s="389" t="e">
        <f t="shared" si="69"/>
        <v>#N/A</v>
      </c>
      <c r="J729" s="389" t="e">
        <f t="shared" si="69"/>
        <v>#N/A</v>
      </c>
      <c r="K729" s="389" t="e">
        <f t="shared" si="69"/>
        <v>#N/A</v>
      </c>
      <c r="L729" s="720"/>
      <c r="M729" s="63"/>
      <c r="N729" s="440"/>
      <c r="O729" s="390"/>
      <c r="P729" s="390">
        <v>0</v>
      </c>
      <c r="Q729" s="390">
        <v>0</v>
      </c>
      <c r="R729" s="390">
        <v>0</v>
      </c>
      <c r="S729" s="63" t="s">
        <v>476</v>
      </c>
      <c r="T729" s="63"/>
      <c r="U729" s="1039"/>
      <c r="V729" s="1039"/>
      <c r="W729" s="1039"/>
      <c r="X729" s="64" t="s">
        <v>2364</v>
      </c>
      <c r="Y729" s="439"/>
      <c r="Z729" s="439"/>
      <c r="AA729" s="439"/>
    </row>
    <row r="730" spans="1:27" ht="15" customHeight="1">
      <c r="A730" s="63">
        <f t="shared" si="70"/>
        <v>727</v>
      </c>
      <c r="B730" s="63" t="s">
        <v>1308</v>
      </c>
      <c r="C730" s="63"/>
      <c r="D730" s="63"/>
      <c r="E730" s="64"/>
      <c r="F730" s="65"/>
      <c r="G730" s="389" t="e">
        <f t="shared" si="69"/>
        <v>#N/A</v>
      </c>
      <c r="H730" s="389" t="e">
        <f t="shared" si="69"/>
        <v>#N/A</v>
      </c>
      <c r="I730" s="389" t="e">
        <f t="shared" si="69"/>
        <v>#N/A</v>
      </c>
      <c r="J730" s="389" t="e">
        <f t="shared" si="69"/>
        <v>#N/A</v>
      </c>
      <c r="K730" s="389" t="e">
        <f t="shared" si="69"/>
        <v>#N/A</v>
      </c>
      <c r="L730" s="720"/>
      <c r="M730" s="63"/>
      <c r="N730" s="440"/>
      <c r="O730" s="390"/>
      <c r="P730" s="390">
        <v>0</v>
      </c>
      <c r="Q730" s="390">
        <v>0</v>
      </c>
      <c r="R730" s="390">
        <v>0</v>
      </c>
      <c r="S730" s="63" t="s">
        <v>476</v>
      </c>
      <c r="T730" s="63"/>
      <c r="U730" s="1039"/>
      <c r="V730" s="1039"/>
      <c r="W730" s="1039"/>
      <c r="X730" s="64" t="s">
        <v>2364</v>
      </c>
      <c r="Y730" s="439"/>
      <c r="Z730" s="439"/>
      <c r="AA730" s="439"/>
    </row>
    <row r="731" spans="1:27" ht="15" customHeight="1">
      <c r="A731" s="63">
        <f t="shared" ref="A731:A782" si="71">ROW()-3</f>
        <v>728</v>
      </c>
      <c r="B731" s="63" t="s">
        <v>1308</v>
      </c>
      <c r="C731" s="63" t="s">
        <v>697</v>
      </c>
      <c r="D731" s="63" t="s">
        <v>2070</v>
      </c>
      <c r="E731" s="64">
        <v>1499</v>
      </c>
      <c r="F731" s="65" t="s">
        <v>189</v>
      </c>
      <c r="G731" s="389">
        <f t="shared" si="69"/>
        <v>0.64999999999999991</v>
      </c>
      <c r="H731" s="389">
        <f t="shared" si="69"/>
        <v>0.56999999999999995</v>
      </c>
      <c r="I731" s="389">
        <f t="shared" si="69"/>
        <v>0.47999999999999987</v>
      </c>
      <c r="J731" s="389">
        <f t="shared" si="69"/>
        <v>0.39999999999999997</v>
      </c>
      <c r="K731" s="389">
        <f t="shared" si="69"/>
        <v>0.33999999999999997</v>
      </c>
      <c r="L731" s="720">
        <v>0.06</v>
      </c>
      <c r="M731" s="63" t="s">
        <v>3200</v>
      </c>
      <c r="N731" s="440">
        <v>4.4999999999999998E-2</v>
      </c>
      <c r="O731" s="390">
        <v>6.0000000000000001E-3</v>
      </c>
      <c r="P731" s="390">
        <v>0</v>
      </c>
      <c r="Q731" s="390">
        <v>0</v>
      </c>
      <c r="R731" s="390">
        <v>0</v>
      </c>
      <c r="S731" s="63" t="s">
        <v>476</v>
      </c>
      <c r="T731" s="63"/>
      <c r="U731" s="1039"/>
      <c r="V731" s="1039"/>
      <c r="W731" s="1039"/>
      <c r="X731" s="64" t="s">
        <v>2364</v>
      </c>
      <c r="Y731" s="439"/>
      <c r="Z731" s="439"/>
      <c r="AA731" s="439"/>
    </row>
    <row r="732" spans="1:27" ht="15" customHeight="1">
      <c r="A732" s="63">
        <f t="shared" si="71"/>
        <v>729</v>
      </c>
      <c r="B732" s="63" t="s">
        <v>1308</v>
      </c>
      <c r="C732" s="63" t="s">
        <v>697</v>
      </c>
      <c r="D732" s="63" t="s">
        <v>1419</v>
      </c>
      <c r="E732" s="64">
        <v>1499</v>
      </c>
      <c r="F732" s="65" t="s">
        <v>189</v>
      </c>
      <c r="G732" s="389">
        <f t="shared" ref="G732:K763" si="72">+INDEX($AW$4:$AW$138,MATCH(G$3&amp;$M732,$AT$4:$AT$138,0))</f>
        <v>0.64999999999999991</v>
      </c>
      <c r="H732" s="389">
        <f t="shared" si="72"/>
        <v>0.56999999999999995</v>
      </c>
      <c r="I732" s="389">
        <f t="shared" si="72"/>
        <v>0.47999999999999987</v>
      </c>
      <c r="J732" s="389">
        <f t="shared" si="72"/>
        <v>0.39999999999999997</v>
      </c>
      <c r="K732" s="389">
        <f t="shared" si="72"/>
        <v>0.33999999999999997</v>
      </c>
      <c r="L732" s="720">
        <v>0.06</v>
      </c>
      <c r="M732" s="63" t="s">
        <v>3200</v>
      </c>
      <c r="N732" s="440">
        <v>4.4999999999999998E-2</v>
      </c>
      <c r="O732" s="390">
        <v>6.0000000000000001E-3</v>
      </c>
      <c r="P732" s="390">
        <v>0</v>
      </c>
      <c r="Q732" s="390">
        <v>0</v>
      </c>
      <c r="R732" s="390">
        <v>0</v>
      </c>
      <c r="S732" s="63" t="s">
        <v>476</v>
      </c>
      <c r="T732" s="63"/>
      <c r="U732" s="1039"/>
      <c r="V732" s="1039"/>
      <c r="W732" s="1039"/>
      <c r="X732" s="64" t="s">
        <v>2364</v>
      </c>
      <c r="Y732" s="439"/>
      <c r="Z732" s="439"/>
      <c r="AA732" s="439"/>
    </row>
    <row r="733" spans="1:27" ht="15" customHeight="1">
      <c r="A733" s="63">
        <f t="shared" si="71"/>
        <v>730</v>
      </c>
      <c r="B733" s="63" t="s">
        <v>1308</v>
      </c>
      <c r="C733" s="63" t="s">
        <v>697</v>
      </c>
      <c r="D733" s="1234" t="s">
        <v>2300</v>
      </c>
      <c r="E733" s="64">
        <v>1199</v>
      </c>
      <c r="F733" s="65" t="s">
        <v>189</v>
      </c>
      <c r="G733" s="389">
        <f t="shared" si="72"/>
        <v>0.64999999999999991</v>
      </c>
      <c r="H733" s="389">
        <f t="shared" si="72"/>
        <v>0.56999999999999995</v>
      </c>
      <c r="I733" s="389">
        <f t="shared" si="72"/>
        <v>0.47999999999999987</v>
      </c>
      <c r="J733" s="389">
        <f t="shared" si="72"/>
        <v>0.39999999999999997</v>
      </c>
      <c r="K733" s="389">
        <f t="shared" si="72"/>
        <v>0.33999999999999997</v>
      </c>
      <c r="L733" s="720">
        <v>0.06</v>
      </c>
      <c r="M733" s="63" t="s">
        <v>3200</v>
      </c>
      <c r="N733" s="440">
        <v>4.4999999999999998E-2</v>
      </c>
      <c r="O733" s="390">
        <v>6.0000000000000001E-3</v>
      </c>
      <c r="P733" s="390">
        <v>0</v>
      </c>
      <c r="Q733" s="390">
        <v>0</v>
      </c>
      <c r="R733" s="390">
        <v>0</v>
      </c>
      <c r="S733" s="63" t="s">
        <v>476</v>
      </c>
      <c r="T733" s="63"/>
      <c r="U733" s="1039"/>
      <c r="V733" s="1039"/>
      <c r="W733" s="1039"/>
      <c r="X733" s="64" t="s">
        <v>2364</v>
      </c>
      <c r="Y733" s="439"/>
      <c r="Z733" s="439"/>
      <c r="AA733" s="439"/>
    </row>
    <row r="734" spans="1:27" ht="15" customHeight="1">
      <c r="A734" s="63">
        <f t="shared" si="71"/>
        <v>731</v>
      </c>
      <c r="B734" s="63" t="s">
        <v>1308</v>
      </c>
      <c r="C734" s="63" t="s">
        <v>697</v>
      </c>
      <c r="D734" s="1234" t="s">
        <v>2432</v>
      </c>
      <c r="E734" s="64">
        <v>1199</v>
      </c>
      <c r="F734" s="65" t="s">
        <v>189</v>
      </c>
      <c r="G734" s="389">
        <f t="shared" si="72"/>
        <v>0.64999999999999991</v>
      </c>
      <c r="H734" s="389">
        <f t="shared" si="72"/>
        <v>0.56999999999999995</v>
      </c>
      <c r="I734" s="389">
        <f t="shared" si="72"/>
        <v>0.47999999999999987</v>
      </c>
      <c r="J734" s="389">
        <f t="shared" si="72"/>
        <v>0.39999999999999997</v>
      </c>
      <c r="K734" s="389">
        <f t="shared" si="72"/>
        <v>0.33999999999999997</v>
      </c>
      <c r="L734" s="720">
        <v>0.06</v>
      </c>
      <c r="M734" s="63" t="s">
        <v>3200</v>
      </c>
      <c r="N734" s="440">
        <v>4.4999999999999998E-2</v>
      </c>
      <c r="O734" s="390">
        <v>6.0000000000000001E-3</v>
      </c>
      <c r="P734" s="390">
        <v>0</v>
      </c>
      <c r="Q734" s="390">
        <v>0</v>
      </c>
      <c r="R734" s="390">
        <v>0</v>
      </c>
      <c r="S734" s="63" t="s">
        <v>476</v>
      </c>
      <c r="T734" s="63"/>
      <c r="U734" s="1039"/>
      <c r="V734" s="1039"/>
      <c r="W734" s="1039"/>
      <c r="X734" s="64" t="s">
        <v>2364</v>
      </c>
      <c r="Y734" s="439"/>
      <c r="Z734" s="439"/>
      <c r="AA734" s="439"/>
    </row>
    <row r="735" spans="1:27" ht="15" customHeight="1">
      <c r="A735" s="63">
        <f t="shared" si="71"/>
        <v>732</v>
      </c>
      <c r="B735" s="63" t="s">
        <v>1308</v>
      </c>
      <c r="C735" s="63" t="s">
        <v>697</v>
      </c>
      <c r="D735" s="63" t="s">
        <v>2071</v>
      </c>
      <c r="E735" s="64">
        <v>1499</v>
      </c>
      <c r="F735" s="65" t="s">
        <v>189</v>
      </c>
      <c r="G735" s="389">
        <f t="shared" si="72"/>
        <v>0.64999999999999991</v>
      </c>
      <c r="H735" s="389">
        <f t="shared" si="72"/>
        <v>0.56999999999999995</v>
      </c>
      <c r="I735" s="389">
        <f t="shared" si="72"/>
        <v>0.47999999999999987</v>
      </c>
      <c r="J735" s="389">
        <f t="shared" si="72"/>
        <v>0.39999999999999997</v>
      </c>
      <c r="K735" s="389">
        <f t="shared" si="72"/>
        <v>0.33999999999999997</v>
      </c>
      <c r="L735" s="720">
        <v>0.06</v>
      </c>
      <c r="M735" s="63" t="s">
        <v>3200</v>
      </c>
      <c r="N735" s="440">
        <v>4.4999999999999998E-2</v>
      </c>
      <c r="O735" s="390">
        <v>6.0000000000000001E-3</v>
      </c>
      <c r="P735" s="390">
        <v>0</v>
      </c>
      <c r="Q735" s="390">
        <v>0</v>
      </c>
      <c r="R735" s="390">
        <v>0</v>
      </c>
      <c r="S735" s="63" t="s">
        <v>476</v>
      </c>
      <c r="T735" s="63"/>
      <c r="U735" s="1039"/>
      <c r="V735" s="1039"/>
      <c r="W735" s="1039"/>
      <c r="X735" s="64" t="s">
        <v>2364</v>
      </c>
      <c r="Y735" s="439"/>
      <c r="Z735" s="439"/>
      <c r="AA735" s="439"/>
    </row>
    <row r="736" spans="1:27" ht="15" customHeight="1">
      <c r="A736" s="63">
        <f t="shared" si="71"/>
        <v>733</v>
      </c>
      <c r="B736" s="63" t="s">
        <v>1308</v>
      </c>
      <c r="C736" s="63" t="s">
        <v>697</v>
      </c>
      <c r="D736" s="63" t="s">
        <v>2301</v>
      </c>
      <c r="E736" s="64">
        <v>1499</v>
      </c>
      <c r="F736" s="65" t="s">
        <v>189</v>
      </c>
      <c r="G736" s="389">
        <f t="shared" si="72"/>
        <v>0.64999999999999991</v>
      </c>
      <c r="H736" s="389">
        <f t="shared" si="72"/>
        <v>0.56999999999999995</v>
      </c>
      <c r="I736" s="389">
        <f t="shared" si="72"/>
        <v>0.47999999999999987</v>
      </c>
      <c r="J736" s="389">
        <f t="shared" si="72"/>
        <v>0.39999999999999997</v>
      </c>
      <c r="K736" s="389">
        <f t="shared" si="72"/>
        <v>0.33999999999999997</v>
      </c>
      <c r="L736" s="720">
        <v>0.06</v>
      </c>
      <c r="M736" s="63" t="s">
        <v>3200</v>
      </c>
      <c r="N736" s="440">
        <v>4.4999999999999998E-2</v>
      </c>
      <c r="O736" s="390">
        <v>6.0000000000000001E-3</v>
      </c>
      <c r="P736" s="390">
        <v>0</v>
      </c>
      <c r="Q736" s="390">
        <v>0</v>
      </c>
      <c r="R736" s="390">
        <v>0</v>
      </c>
      <c r="S736" s="63" t="s">
        <v>476</v>
      </c>
      <c r="T736" s="63"/>
      <c r="U736" s="1039"/>
      <c r="V736" s="1039"/>
      <c r="W736" s="1039"/>
      <c r="X736" s="64" t="s">
        <v>2364</v>
      </c>
      <c r="Y736" s="439"/>
      <c r="Z736" s="439"/>
      <c r="AA736" s="439"/>
    </row>
    <row r="737" spans="1:27" ht="15" customHeight="1">
      <c r="A737" s="63">
        <f t="shared" si="71"/>
        <v>734</v>
      </c>
      <c r="B737" s="63" t="s">
        <v>1308</v>
      </c>
      <c r="C737" s="63" t="s">
        <v>697</v>
      </c>
      <c r="D737" s="63" t="s">
        <v>2302</v>
      </c>
      <c r="E737" s="64">
        <v>1499</v>
      </c>
      <c r="F737" s="65" t="s">
        <v>189</v>
      </c>
      <c r="G737" s="389">
        <f t="shared" si="72"/>
        <v>0.64999999999999991</v>
      </c>
      <c r="H737" s="389">
        <f t="shared" si="72"/>
        <v>0.56999999999999995</v>
      </c>
      <c r="I737" s="389">
        <f t="shared" si="72"/>
        <v>0.47999999999999987</v>
      </c>
      <c r="J737" s="389">
        <f t="shared" si="72"/>
        <v>0.39999999999999997</v>
      </c>
      <c r="K737" s="389">
        <f t="shared" si="72"/>
        <v>0.33999999999999997</v>
      </c>
      <c r="L737" s="720">
        <v>0.06</v>
      </c>
      <c r="M737" s="63" t="s">
        <v>3200</v>
      </c>
      <c r="N737" s="440">
        <v>4.4999999999999998E-2</v>
      </c>
      <c r="O737" s="390">
        <v>6.0000000000000001E-3</v>
      </c>
      <c r="P737" s="390">
        <v>0</v>
      </c>
      <c r="Q737" s="390">
        <v>0</v>
      </c>
      <c r="R737" s="390">
        <v>0</v>
      </c>
      <c r="S737" s="63" t="s">
        <v>476</v>
      </c>
      <c r="T737" s="63"/>
      <c r="U737" s="1039"/>
      <c r="V737" s="1039"/>
      <c r="W737" s="1039"/>
      <c r="X737" s="64" t="s">
        <v>2364</v>
      </c>
      <c r="Y737" s="439"/>
      <c r="Z737" s="439"/>
      <c r="AA737" s="439"/>
    </row>
    <row r="738" spans="1:27" ht="15" customHeight="1">
      <c r="A738" s="63">
        <f t="shared" si="71"/>
        <v>735</v>
      </c>
      <c r="B738" s="63" t="s">
        <v>1308</v>
      </c>
      <c r="C738" s="63" t="s">
        <v>697</v>
      </c>
      <c r="D738" s="1234" t="s">
        <v>2072</v>
      </c>
      <c r="E738" s="64">
        <v>1199</v>
      </c>
      <c r="F738" s="65" t="s">
        <v>189</v>
      </c>
      <c r="G738" s="389">
        <f t="shared" si="72"/>
        <v>0.64999999999999991</v>
      </c>
      <c r="H738" s="389">
        <f t="shared" si="72"/>
        <v>0.56999999999999995</v>
      </c>
      <c r="I738" s="389">
        <f t="shared" si="72"/>
        <v>0.47999999999999987</v>
      </c>
      <c r="J738" s="389">
        <f t="shared" si="72"/>
        <v>0.39999999999999997</v>
      </c>
      <c r="K738" s="389">
        <f t="shared" si="72"/>
        <v>0.33999999999999997</v>
      </c>
      <c r="L738" s="720">
        <v>0.06</v>
      </c>
      <c r="M738" s="63" t="s">
        <v>3200</v>
      </c>
      <c r="N738" s="440">
        <v>4.4999999999999998E-2</v>
      </c>
      <c r="O738" s="390">
        <v>6.0000000000000001E-3</v>
      </c>
      <c r="P738" s="390">
        <v>0</v>
      </c>
      <c r="Q738" s="390">
        <v>0</v>
      </c>
      <c r="R738" s="390">
        <v>0</v>
      </c>
      <c r="S738" s="63" t="s">
        <v>476</v>
      </c>
      <c r="T738" s="63"/>
      <c r="U738" s="1039"/>
      <c r="V738" s="1039"/>
      <c r="W738" s="1039"/>
      <c r="X738" s="64" t="s">
        <v>2364</v>
      </c>
      <c r="Y738" s="439"/>
      <c r="Z738" s="439"/>
      <c r="AA738" s="439"/>
    </row>
    <row r="739" spans="1:27" ht="15" customHeight="1">
      <c r="A739" s="63">
        <f t="shared" si="71"/>
        <v>736</v>
      </c>
      <c r="B739" s="63" t="s">
        <v>1308</v>
      </c>
      <c r="C739" s="63" t="s">
        <v>697</v>
      </c>
      <c r="D739" s="1234" t="s">
        <v>2073</v>
      </c>
      <c r="E739" s="64">
        <v>1199</v>
      </c>
      <c r="F739" s="65" t="s">
        <v>189</v>
      </c>
      <c r="G739" s="389">
        <f t="shared" si="72"/>
        <v>0.64999999999999991</v>
      </c>
      <c r="H739" s="389">
        <f t="shared" si="72"/>
        <v>0.56999999999999995</v>
      </c>
      <c r="I739" s="389">
        <f t="shared" si="72"/>
        <v>0.47999999999999987</v>
      </c>
      <c r="J739" s="389">
        <f t="shared" si="72"/>
        <v>0.39999999999999997</v>
      </c>
      <c r="K739" s="389">
        <f t="shared" si="72"/>
        <v>0.33999999999999997</v>
      </c>
      <c r="L739" s="720">
        <v>0.06</v>
      </c>
      <c r="M739" s="63" t="s">
        <v>3200</v>
      </c>
      <c r="N739" s="440">
        <v>4.4999999999999998E-2</v>
      </c>
      <c r="O739" s="390">
        <v>6.0000000000000001E-3</v>
      </c>
      <c r="P739" s="390">
        <v>0</v>
      </c>
      <c r="Q739" s="390">
        <v>0</v>
      </c>
      <c r="R739" s="390">
        <v>0</v>
      </c>
      <c r="S739" s="63" t="s">
        <v>476</v>
      </c>
      <c r="T739" s="63"/>
      <c r="U739" s="1039"/>
      <c r="V739" s="1039"/>
      <c r="W739" s="1039"/>
      <c r="X739" s="64" t="s">
        <v>2364</v>
      </c>
      <c r="Y739" s="439"/>
      <c r="Z739" s="439"/>
      <c r="AA739" s="439"/>
    </row>
    <row r="740" spans="1:27" ht="15" customHeight="1">
      <c r="A740" s="63">
        <f t="shared" si="71"/>
        <v>737</v>
      </c>
      <c r="B740" s="63" t="s">
        <v>1308</v>
      </c>
      <c r="C740" s="63" t="s">
        <v>697</v>
      </c>
      <c r="D740" s="63" t="s">
        <v>2074</v>
      </c>
      <c r="E740" s="64">
        <v>1499</v>
      </c>
      <c r="F740" s="65" t="s">
        <v>189</v>
      </c>
      <c r="G740" s="389">
        <f t="shared" si="72"/>
        <v>0.64999999999999991</v>
      </c>
      <c r="H740" s="389">
        <f t="shared" si="72"/>
        <v>0.56999999999999995</v>
      </c>
      <c r="I740" s="389">
        <f t="shared" si="72"/>
        <v>0.47999999999999987</v>
      </c>
      <c r="J740" s="389">
        <f t="shared" si="72"/>
        <v>0.39999999999999997</v>
      </c>
      <c r="K740" s="389">
        <f t="shared" si="72"/>
        <v>0.33999999999999997</v>
      </c>
      <c r="L740" s="720">
        <v>0.06</v>
      </c>
      <c r="M740" s="63" t="s">
        <v>3200</v>
      </c>
      <c r="N740" s="440">
        <v>4.4999999999999998E-2</v>
      </c>
      <c r="O740" s="390">
        <v>6.0000000000000001E-3</v>
      </c>
      <c r="P740" s="390">
        <v>0</v>
      </c>
      <c r="Q740" s="390">
        <v>0</v>
      </c>
      <c r="R740" s="390">
        <v>0</v>
      </c>
      <c r="S740" s="63" t="s">
        <v>476</v>
      </c>
      <c r="T740" s="63"/>
      <c r="U740" s="1039"/>
      <c r="V740" s="1039"/>
      <c r="W740" s="1039"/>
      <c r="X740" s="64" t="s">
        <v>2364</v>
      </c>
      <c r="Y740" s="439"/>
      <c r="Z740" s="439"/>
      <c r="AA740" s="439"/>
    </row>
    <row r="741" spans="1:27" ht="15" customHeight="1">
      <c r="A741" s="63">
        <f t="shared" si="71"/>
        <v>738</v>
      </c>
      <c r="B741" s="63" t="s">
        <v>1308</v>
      </c>
      <c r="C741" s="63" t="s">
        <v>697</v>
      </c>
      <c r="D741" s="63" t="s">
        <v>1420</v>
      </c>
      <c r="E741" s="64">
        <v>1499</v>
      </c>
      <c r="F741" s="65" t="s">
        <v>189</v>
      </c>
      <c r="G741" s="389">
        <f t="shared" si="72"/>
        <v>0.64999999999999991</v>
      </c>
      <c r="H741" s="389">
        <f t="shared" si="72"/>
        <v>0.56999999999999995</v>
      </c>
      <c r="I741" s="389">
        <f t="shared" si="72"/>
        <v>0.47999999999999987</v>
      </c>
      <c r="J741" s="389">
        <f t="shared" si="72"/>
        <v>0.39999999999999997</v>
      </c>
      <c r="K741" s="389">
        <f t="shared" si="72"/>
        <v>0.33999999999999997</v>
      </c>
      <c r="L741" s="720">
        <v>0.06</v>
      </c>
      <c r="M741" s="63" t="s">
        <v>3200</v>
      </c>
      <c r="N741" s="440">
        <v>4.4999999999999998E-2</v>
      </c>
      <c r="O741" s="390">
        <v>6.0000000000000001E-3</v>
      </c>
      <c r="P741" s="390">
        <v>0</v>
      </c>
      <c r="Q741" s="390">
        <v>0</v>
      </c>
      <c r="R741" s="390">
        <v>0</v>
      </c>
      <c r="S741" s="63" t="s">
        <v>476</v>
      </c>
      <c r="T741" s="63"/>
      <c r="U741" s="1039"/>
      <c r="V741" s="1039"/>
      <c r="W741" s="1039"/>
      <c r="X741" s="64" t="s">
        <v>2364</v>
      </c>
      <c r="Y741" s="439"/>
      <c r="Z741" s="439"/>
      <c r="AA741" s="439"/>
    </row>
    <row r="742" spans="1:27" ht="15" customHeight="1">
      <c r="A742" s="63">
        <f t="shared" si="71"/>
        <v>739</v>
      </c>
      <c r="B742" s="63" t="s">
        <v>2332</v>
      </c>
      <c r="C742" s="63" t="s">
        <v>697</v>
      </c>
      <c r="D742" s="63" t="s">
        <v>2303</v>
      </c>
      <c r="E742" s="64">
        <v>1997</v>
      </c>
      <c r="F742" s="65" t="s">
        <v>189</v>
      </c>
      <c r="G742" s="389">
        <f t="shared" si="72"/>
        <v>0.64999999999999991</v>
      </c>
      <c r="H742" s="389">
        <f t="shared" si="72"/>
        <v>0.56999999999999995</v>
      </c>
      <c r="I742" s="389">
        <f t="shared" si="72"/>
        <v>0.47999999999999987</v>
      </c>
      <c r="J742" s="389">
        <f t="shared" si="72"/>
        <v>0.39999999999999997</v>
      </c>
      <c r="K742" s="389">
        <f t="shared" si="72"/>
        <v>0.33999999999999997</v>
      </c>
      <c r="L742" s="720">
        <v>0.06</v>
      </c>
      <c r="M742" s="63" t="s">
        <v>3200</v>
      </c>
      <c r="N742" s="440">
        <v>4.4999999999999998E-2</v>
      </c>
      <c r="O742" s="390">
        <v>6.0000000000000001E-3</v>
      </c>
      <c r="P742" s="390">
        <v>0</v>
      </c>
      <c r="Q742" s="390">
        <v>0</v>
      </c>
      <c r="R742" s="390">
        <v>0</v>
      </c>
      <c r="S742" s="63" t="s">
        <v>476</v>
      </c>
      <c r="T742" s="63"/>
      <c r="U742" s="1039"/>
      <c r="V742" s="1039"/>
      <c r="W742" s="1039"/>
      <c r="X742" s="64" t="s">
        <v>2364</v>
      </c>
      <c r="Y742" s="439"/>
      <c r="Z742" s="439"/>
      <c r="AA742" s="439"/>
    </row>
    <row r="743" spans="1:27" ht="15" customHeight="1">
      <c r="A743" s="63">
        <f t="shared" si="71"/>
        <v>740</v>
      </c>
      <c r="B743" s="63" t="s">
        <v>1308</v>
      </c>
      <c r="C743" s="63" t="s">
        <v>697</v>
      </c>
      <c r="D743" s="1234" t="s">
        <v>2304</v>
      </c>
      <c r="E743" s="64">
        <v>1499</v>
      </c>
      <c r="F743" s="65" t="s">
        <v>144</v>
      </c>
      <c r="G743" s="389">
        <f t="shared" si="72"/>
        <v>0.64999999999999991</v>
      </c>
      <c r="H743" s="389">
        <f t="shared" si="72"/>
        <v>0.56999999999999995</v>
      </c>
      <c r="I743" s="389">
        <f t="shared" si="72"/>
        <v>0.47999999999999987</v>
      </c>
      <c r="J743" s="389">
        <f t="shared" si="72"/>
        <v>0.39999999999999997</v>
      </c>
      <c r="K743" s="389">
        <f t="shared" si="72"/>
        <v>0.33999999999999997</v>
      </c>
      <c r="L743" s="720">
        <v>0.06</v>
      </c>
      <c r="M743" s="63" t="s">
        <v>3200</v>
      </c>
      <c r="N743" s="440">
        <v>4.4999999999999998E-2</v>
      </c>
      <c r="O743" s="390">
        <v>6.0000000000000001E-3</v>
      </c>
      <c r="P743" s="390">
        <v>0</v>
      </c>
      <c r="Q743" s="390">
        <v>0</v>
      </c>
      <c r="R743" s="390">
        <v>0</v>
      </c>
      <c r="S743" s="63" t="s">
        <v>476</v>
      </c>
      <c r="T743" s="63"/>
      <c r="U743" s="1039"/>
      <c r="V743" s="1039"/>
      <c r="W743" s="1039"/>
      <c r="X743" s="64" t="s">
        <v>2364</v>
      </c>
      <c r="Y743" s="439"/>
      <c r="Z743" s="439"/>
      <c r="AA743" s="439"/>
    </row>
    <row r="744" spans="1:27" ht="15" customHeight="1">
      <c r="A744" s="63">
        <f t="shared" si="71"/>
        <v>741</v>
      </c>
      <c r="B744" s="63" t="s">
        <v>1308</v>
      </c>
      <c r="C744" s="63" t="s">
        <v>697</v>
      </c>
      <c r="D744" s="1234" t="s">
        <v>1517</v>
      </c>
      <c r="E744" s="64">
        <v>1499</v>
      </c>
      <c r="F744" s="65" t="s">
        <v>144</v>
      </c>
      <c r="G744" s="389">
        <f t="shared" si="72"/>
        <v>0.64999999999999991</v>
      </c>
      <c r="H744" s="389">
        <f t="shared" si="72"/>
        <v>0.56999999999999995</v>
      </c>
      <c r="I744" s="389">
        <f t="shared" si="72"/>
        <v>0.47999999999999987</v>
      </c>
      <c r="J744" s="389">
        <f t="shared" si="72"/>
        <v>0.39999999999999997</v>
      </c>
      <c r="K744" s="389">
        <f t="shared" si="72"/>
        <v>0.33999999999999997</v>
      </c>
      <c r="L744" s="720">
        <v>0.06</v>
      </c>
      <c r="M744" s="63" t="s">
        <v>3200</v>
      </c>
      <c r="N744" s="440">
        <v>4.4999999999999998E-2</v>
      </c>
      <c r="O744" s="390">
        <v>6.0000000000000001E-3</v>
      </c>
      <c r="P744" s="390">
        <v>0</v>
      </c>
      <c r="Q744" s="390">
        <v>0</v>
      </c>
      <c r="R744" s="390">
        <v>0</v>
      </c>
      <c r="S744" s="63" t="s">
        <v>476</v>
      </c>
      <c r="T744" s="63"/>
      <c r="U744" s="1039"/>
      <c r="V744" s="1039"/>
      <c r="W744" s="1039"/>
      <c r="X744" s="64" t="s">
        <v>2364</v>
      </c>
      <c r="Y744" s="439"/>
      <c r="Z744" s="439"/>
      <c r="AA744" s="439"/>
    </row>
    <row r="745" spans="1:27" ht="15" customHeight="1">
      <c r="A745" s="63">
        <f t="shared" si="71"/>
        <v>742</v>
      </c>
      <c r="B745" s="63" t="s">
        <v>1308</v>
      </c>
      <c r="C745" s="63" t="s">
        <v>697</v>
      </c>
      <c r="D745" s="1234" t="s">
        <v>2305</v>
      </c>
      <c r="E745" s="64">
        <v>1199</v>
      </c>
      <c r="F745" s="65" t="s">
        <v>144</v>
      </c>
      <c r="G745" s="389">
        <f t="shared" si="72"/>
        <v>0.64999999999999991</v>
      </c>
      <c r="H745" s="389">
        <f t="shared" si="72"/>
        <v>0.56999999999999995</v>
      </c>
      <c r="I745" s="389">
        <f t="shared" si="72"/>
        <v>0.47999999999999987</v>
      </c>
      <c r="J745" s="389">
        <f t="shared" si="72"/>
        <v>0.39999999999999997</v>
      </c>
      <c r="K745" s="389">
        <f t="shared" si="72"/>
        <v>0.33999999999999997</v>
      </c>
      <c r="L745" s="720">
        <v>0.06</v>
      </c>
      <c r="M745" s="63" t="s">
        <v>3200</v>
      </c>
      <c r="N745" s="440">
        <v>4.4999999999999998E-2</v>
      </c>
      <c r="O745" s="390">
        <v>6.0000000000000001E-3</v>
      </c>
      <c r="P745" s="390">
        <v>0</v>
      </c>
      <c r="Q745" s="390">
        <v>0</v>
      </c>
      <c r="R745" s="390">
        <v>0</v>
      </c>
      <c r="S745" s="63" t="s">
        <v>476</v>
      </c>
      <c r="T745" s="63"/>
      <c r="U745" s="1039"/>
      <c r="V745" s="1039"/>
      <c r="W745" s="1039"/>
      <c r="X745" s="64" t="s">
        <v>2364</v>
      </c>
      <c r="Y745" s="439"/>
      <c r="Z745" s="439"/>
      <c r="AA745" s="439"/>
    </row>
    <row r="746" spans="1:27" ht="15" customHeight="1">
      <c r="A746" s="63">
        <f t="shared" si="71"/>
        <v>743</v>
      </c>
      <c r="B746" s="63" t="s">
        <v>1308</v>
      </c>
      <c r="C746" s="63" t="s">
        <v>697</v>
      </c>
      <c r="D746" s="1234" t="s">
        <v>2306</v>
      </c>
      <c r="E746" s="64">
        <v>1199</v>
      </c>
      <c r="F746" s="65" t="s">
        <v>144</v>
      </c>
      <c r="G746" s="389">
        <f t="shared" si="72"/>
        <v>0.64999999999999991</v>
      </c>
      <c r="H746" s="389">
        <f t="shared" si="72"/>
        <v>0.56999999999999995</v>
      </c>
      <c r="I746" s="389">
        <f t="shared" si="72"/>
        <v>0.47999999999999987</v>
      </c>
      <c r="J746" s="389">
        <f t="shared" si="72"/>
        <v>0.39999999999999997</v>
      </c>
      <c r="K746" s="389">
        <f t="shared" si="72"/>
        <v>0.33999999999999997</v>
      </c>
      <c r="L746" s="720">
        <v>0.06</v>
      </c>
      <c r="M746" s="63" t="s">
        <v>3200</v>
      </c>
      <c r="N746" s="440">
        <v>4.4999999999999998E-2</v>
      </c>
      <c r="O746" s="390">
        <v>6.0000000000000001E-3</v>
      </c>
      <c r="P746" s="390">
        <v>0</v>
      </c>
      <c r="Q746" s="390">
        <v>0</v>
      </c>
      <c r="R746" s="390">
        <v>0</v>
      </c>
      <c r="S746" s="63" t="s">
        <v>476</v>
      </c>
      <c r="T746" s="63"/>
      <c r="U746" s="1039"/>
      <c r="V746" s="1039"/>
      <c r="W746" s="1039"/>
      <c r="X746" s="64" t="s">
        <v>2364</v>
      </c>
      <c r="Y746" s="439"/>
      <c r="Z746" s="439"/>
      <c r="AA746" s="439"/>
    </row>
    <row r="747" spans="1:27" ht="15" customHeight="1">
      <c r="A747" s="63">
        <f t="shared" si="71"/>
        <v>744</v>
      </c>
      <c r="B747" s="63" t="s">
        <v>1308</v>
      </c>
      <c r="C747" s="63" t="s">
        <v>697</v>
      </c>
      <c r="D747" s="63" t="s">
        <v>1421</v>
      </c>
      <c r="E747" s="64">
        <v>1499</v>
      </c>
      <c r="F747" s="65" t="s">
        <v>144</v>
      </c>
      <c r="G747" s="389">
        <f t="shared" si="72"/>
        <v>0.57999999999999996</v>
      </c>
      <c r="H747" s="389">
        <f t="shared" si="72"/>
        <v>0.5</v>
      </c>
      <c r="I747" s="389">
        <f t="shared" si="72"/>
        <v>0.41</v>
      </c>
      <c r="J747" s="389">
        <f t="shared" si="72"/>
        <v>0.32999999999999996</v>
      </c>
      <c r="K747" s="389">
        <f t="shared" si="72"/>
        <v>0.26999999999999996</v>
      </c>
      <c r="L747" s="720">
        <v>0.06</v>
      </c>
      <c r="M747" s="63" t="s">
        <v>3167</v>
      </c>
      <c r="N747" s="440">
        <v>4.4999999999999998E-2</v>
      </c>
      <c r="O747" s="390">
        <v>6.0000000000000001E-3</v>
      </c>
      <c r="P747" s="390">
        <v>0</v>
      </c>
      <c r="Q747" s="390">
        <v>0</v>
      </c>
      <c r="R747" s="390">
        <v>0</v>
      </c>
      <c r="S747" s="63" t="s">
        <v>476</v>
      </c>
      <c r="T747" s="63"/>
      <c r="U747" s="1039"/>
      <c r="V747" s="1039"/>
      <c r="W747" s="1039"/>
      <c r="X747" s="64" t="s">
        <v>2364</v>
      </c>
      <c r="Y747" s="439"/>
      <c r="Z747" s="439"/>
      <c r="AA747" s="439"/>
    </row>
    <row r="748" spans="1:27" ht="15" customHeight="1">
      <c r="A748" s="63">
        <f t="shared" si="71"/>
        <v>745</v>
      </c>
      <c r="B748" s="63" t="s">
        <v>1308</v>
      </c>
      <c r="C748" s="63" t="s">
        <v>697</v>
      </c>
      <c r="D748" s="63" t="s">
        <v>2307</v>
      </c>
      <c r="E748" s="64">
        <v>1499</v>
      </c>
      <c r="F748" s="65" t="s">
        <v>144</v>
      </c>
      <c r="G748" s="389">
        <f t="shared" si="72"/>
        <v>0.57999999999999996</v>
      </c>
      <c r="H748" s="389">
        <f t="shared" si="72"/>
        <v>0.5</v>
      </c>
      <c r="I748" s="389">
        <f t="shared" si="72"/>
        <v>0.41</v>
      </c>
      <c r="J748" s="389">
        <f t="shared" si="72"/>
        <v>0.32999999999999996</v>
      </c>
      <c r="K748" s="389">
        <f t="shared" si="72"/>
        <v>0.26999999999999996</v>
      </c>
      <c r="L748" s="720">
        <v>0.06</v>
      </c>
      <c r="M748" s="63" t="s">
        <v>3167</v>
      </c>
      <c r="N748" s="440">
        <v>4.4999999999999998E-2</v>
      </c>
      <c r="O748" s="390">
        <v>6.0000000000000001E-3</v>
      </c>
      <c r="P748" s="390">
        <v>0</v>
      </c>
      <c r="Q748" s="390">
        <v>0</v>
      </c>
      <c r="R748" s="390">
        <v>0</v>
      </c>
      <c r="S748" s="63" t="s">
        <v>476</v>
      </c>
      <c r="T748" s="63"/>
      <c r="U748" s="1039"/>
      <c r="V748" s="1039"/>
      <c r="W748" s="1039"/>
      <c r="X748" s="64" t="s">
        <v>2364</v>
      </c>
      <c r="Y748" s="439"/>
      <c r="Z748" s="439"/>
      <c r="AA748" s="439"/>
    </row>
    <row r="749" spans="1:27" ht="15" customHeight="1">
      <c r="A749" s="63">
        <f t="shared" si="71"/>
        <v>746</v>
      </c>
      <c r="B749" s="63" t="s">
        <v>2332</v>
      </c>
      <c r="C749" s="63" t="s">
        <v>697</v>
      </c>
      <c r="D749" s="63" t="s">
        <v>2308</v>
      </c>
      <c r="E749" s="64">
        <v>1499</v>
      </c>
      <c r="F749" s="65" t="s">
        <v>144</v>
      </c>
      <c r="G749" s="389">
        <f t="shared" si="72"/>
        <v>0.57999999999999996</v>
      </c>
      <c r="H749" s="389">
        <f t="shared" si="72"/>
        <v>0.5</v>
      </c>
      <c r="I749" s="389">
        <f t="shared" si="72"/>
        <v>0.41</v>
      </c>
      <c r="J749" s="389">
        <f t="shared" si="72"/>
        <v>0.32999999999999996</v>
      </c>
      <c r="K749" s="389">
        <f t="shared" si="72"/>
        <v>0.26999999999999996</v>
      </c>
      <c r="L749" s="720">
        <v>0.06</v>
      </c>
      <c r="M749" s="63" t="s">
        <v>3167</v>
      </c>
      <c r="N749" s="440">
        <v>4.4999999999999998E-2</v>
      </c>
      <c r="O749" s="390">
        <v>6.0000000000000001E-3</v>
      </c>
      <c r="P749" s="390">
        <v>0</v>
      </c>
      <c r="Q749" s="390">
        <v>0</v>
      </c>
      <c r="R749" s="390">
        <v>0</v>
      </c>
      <c r="S749" s="63" t="s">
        <v>476</v>
      </c>
      <c r="T749" s="63"/>
      <c r="U749" s="1039"/>
      <c r="V749" s="1039"/>
      <c r="W749" s="1039"/>
      <c r="X749" s="64" t="s">
        <v>2364</v>
      </c>
      <c r="Y749" s="439"/>
      <c r="Z749" s="439"/>
      <c r="AA749" s="439"/>
    </row>
    <row r="750" spans="1:27" ht="15" customHeight="1">
      <c r="A750" s="63">
        <f t="shared" si="71"/>
        <v>747</v>
      </c>
      <c r="B750" s="63" t="s">
        <v>1308</v>
      </c>
      <c r="C750" s="63" t="s">
        <v>697</v>
      </c>
      <c r="D750" s="63" t="s">
        <v>2309</v>
      </c>
      <c r="E750" s="64" t="s">
        <v>1015</v>
      </c>
      <c r="F750" s="65" t="s">
        <v>190</v>
      </c>
      <c r="G750" s="389">
        <f t="shared" si="72"/>
        <v>0.54</v>
      </c>
      <c r="H750" s="389">
        <f t="shared" si="72"/>
        <v>0.45999999999999996</v>
      </c>
      <c r="I750" s="389">
        <f t="shared" si="72"/>
        <v>0.37</v>
      </c>
      <c r="J750" s="389">
        <f t="shared" si="72"/>
        <v>0.28999999999999998</v>
      </c>
      <c r="K750" s="389">
        <f t="shared" si="72"/>
        <v>0.23</v>
      </c>
      <c r="L750" s="720">
        <v>0.06</v>
      </c>
      <c r="M750" s="63" t="s">
        <v>3181</v>
      </c>
      <c r="N750" s="440">
        <v>5.1999999999999998E-2</v>
      </c>
      <c r="O750" s="390">
        <v>6.0000000000000001E-3</v>
      </c>
      <c r="P750" s="390">
        <v>0</v>
      </c>
      <c r="Q750" s="390">
        <v>0</v>
      </c>
      <c r="R750" s="390">
        <v>0</v>
      </c>
      <c r="S750" s="63" t="s">
        <v>476</v>
      </c>
      <c r="T750" s="63"/>
      <c r="U750" s="1039"/>
      <c r="V750" s="1039"/>
      <c r="W750" s="1039"/>
      <c r="X750" s="64" t="s">
        <v>2364</v>
      </c>
      <c r="Y750" s="439"/>
      <c r="Z750" s="439"/>
      <c r="AA750" s="439"/>
    </row>
    <row r="751" spans="1:27" ht="15" customHeight="1">
      <c r="A751" s="63">
        <f t="shared" si="71"/>
        <v>748</v>
      </c>
      <c r="B751" s="63" t="s">
        <v>1308</v>
      </c>
      <c r="C751" s="63" t="s">
        <v>697</v>
      </c>
      <c r="D751" s="63" t="s">
        <v>2310</v>
      </c>
      <c r="E751" s="64" t="s">
        <v>1015</v>
      </c>
      <c r="F751" s="65" t="s">
        <v>190</v>
      </c>
      <c r="G751" s="389">
        <f t="shared" si="72"/>
        <v>0.54</v>
      </c>
      <c r="H751" s="389">
        <f t="shared" si="72"/>
        <v>0.45999999999999996</v>
      </c>
      <c r="I751" s="389">
        <f t="shared" si="72"/>
        <v>0.37</v>
      </c>
      <c r="J751" s="389">
        <f t="shared" si="72"/>
        <v>0.28999999999999998</v>
      </c>
      <c r="K751" s="389">
        <f t="shared" si="72"/>
        <v>0.23</v>
      </c>
      <c r="L751" s="720">
        <v>0.06</v>
      </c>
      <c r="M751" s="63" t="s">
        <v>3181</v>
      </c>
      <c r="N751" s="440">
        <v>5.1999999999999998E-2</v>
      </c>
      <c r="O751" s="390">
        <v>6.0000000000000001E-3</v>
      </c>
      <c r="P751" s="390">
        <v>0</v>
      </c>
      <c r="Q751" s="390">
        <v>0</v>
      </c>
      <c r="R751" s="390">
        <v>0</v>
      </c>
      <c r="S751" s="63" t="s">
        <v>476</v>
      </c>
      <c r="T751" s="63"/>
      <c r="U751" s="1039"/>
      <c r="V751" s="1039"/>
      <c r="W751" s="1039"/>
      <c r="X751" s="64" t="s">
        <v>2364</v>
      </c>
      <c r="Y751" s="439"/>
      <c r="Z751" s="439"/>
      <c r="AA751" s="439"/>
    </row>
    <row r="752" spans="1:27" ht="15" customHeight="1">
      <c r="A752" s="63">
        <f t="shared" si="71"/>
        <v>749</v>
      </c>
      <c r="B752" s="63" t="s">
        <v>1308</v>
      </c>
      <c r="C752" s="63" t="s">
        <v>697</v>
      </c>
      <c r="D752" s="63" t="s">
        <v>1422</v>
      </c>
      <c r="E752" s="64" t="s">
        <v>1015</v>
      </c>
      <c r="F752" s="65" t="s">
        <v>190</v>
      </c>
      <c r="G752" s="389">
        <f t="shared" si="72"/>
        <v>0.54</v>
      </c>
      <c r="H752" s="389">
        <f t="shared" si="72"/>
        <v>0.45999999999999996</v>
      </c>
      <c r="I752" s="389">
        <f t="shared" si="72"/>
        <v>0.37</v>
      </c>
      <c r="J752" s="389">
        <f t="shared" si="72"/>
        <v>0.28999999999999998</v>
      </c>
      <c r="K752" s="389">
        <f t="shared" si="72"/>
        <v>0.23</v>
      </c>
      <c r="L752" s="720">
        <v>0.06</v>
      </c>
      <c r="M752" s="63" t="s">
        <v>3181</v>
      </c>
      <c r="N752" s="440">
        <v>5.1999999999999998E-2</v>
      </c>
      <c r="O752" s="390">
        <v>6.0000000000000001E-3</v>
      </c>
      <c r="P752" s="390">
        <v>0</v>
      </c>
      <c r="Q752" s="390">
        <v>0</v>
      </c>
      <c r="R752" s="390">
        <v>0</v>
      </c>
      <c r="S752" s="63" t="s">
        <v>476</v>
      </c>
      <c r="T752" s="63"/>
      <c r="U752" s="1039"/>
      <c r="V752" s="1039"/>
      <c r="W752" s="1039"/>
      <c r="X752" s="64" t="s">
        <v>2364</v>
      </c>
      <c r="Y752" s="439"/>
      <c r="Z752" s="439"/>
      <c r="AA752" s="439"/>
    </row>
    <row r="753" spans="1:27" ht="15" customHeight="1">
      <c r="A753" s="63">
        <f t="shared" si="71"/>
        <v>750</v>
      </c>
      <c r="B753" s="63" t="s">
        <v>1308</v>
      </c>
      <c r="C753" s="63" t="s">
        <v>697</v>
      </c>
      <c r="D753" s="63" t="s">
        <v>2311</v>
      </c>
      <c r="E753" s="64" t="s">
        <v>2069</v>
      </c>
      <c r="F753" s="65" t="s">
        <v>190</v>
      </c>
      <c r="G753" s="389">
        <f t="shared" si="72"/>
        <v>0.54</v>
      </c>
      <c r="H753" s="389">
        <f t="shared" si="72"/>
        <v>0.45999999999999996</v>
      </c>
      <c r="I753" s="389">
        <f t="shared" si="72"/>
        <v>0.37</v>
      </c>
      <c r="J753" s="389">
        <f t="shared" si="72"/>
        <v>0.28999999999999998</v>
      </c>
      <c r="K753" s="389">
        <f t="shared" si="72"/>
        <v>0.23</v>
      </c>
      <c r="L753" s="720">
        <v>0.06</v>
      </c>
      <c r="M753" s="63" t="s">
        <v>3181</v>
      </c>
      <c r="N753" s="440">
        <v>5.1999999999999998E-2</v>
      </c>
      <c r="O753" s="390">
        <v>6.0000000000000001E-3</v>
      </c>
      <c r="P753" s="390">
        <v>0</v>
      </c>
      <c r="Q753" s="390">
        <v>0</v>
      </c>
      <c r="R753" s="390">
        <v>0</v>
      </c>
      <c r="S753" s="63" t="s">
        <v>476</v>
      </c>
      <c r="T753" s="63"/>
      <c r="U753" s="1039"/>
      <c r="V753" s="1039"/>
      <c r="W753" s="1039"/>
      <c r="X753" s="64" t="s">
        <v>2364</v>
      </c>
      <c r="Y753" s="439"/>
      <c r="Z753" s="439"/>
      <c r="AA753" s="439"/>
    </row>
    <row r="754" spans="1:27" ht="15" customHeight="1">
      <c r="A754" s="63">
        <f t="shared" si="71"/>
        <v>751</v>
      </c>
      <c r="B754" s="63" t="s">
        <v>1308</v>
      </c>
      <c r="C754" s="63"/>
      <c r="D754" s="63"/>
      <c r="E754" s="64"/>
      <c r="F754" s="65"/>
      <c r="G754" s="389" t="e">
        <f t="shared" si="72"/>
        <v>#N/A</v>
      </c>
      <c r="H754" s="389" t="e">
        <f t="shared" si="72"/>
        <v>#N/A</v>
      </c>
      <c r="I754" s="389" t="e">
        <f t="shared" si="72"/>
        <v>#N/A</v>
      </c>
      <c r="J754" s="389" t="e">
        <f t="shared" si="72"/>
        <v>#N/A</v>
      </c>
      <c r="K754" s="389" t="e">
        <f t="shared" si="72"/>
        <v>#N/A</v>
      </c>
      <c r="L754" s="720"/>
      <c r="M754" s="63"/>
      <c r="N754" s="440"/>
      <c r="O754" s="390"/>
      <c r="P754" s="390">
        <v>0</v>
      </c>
      <c r="Q754" s="390">
        <v>0</v>
      </c>
      <c r="R754" s="390">
        <v>0</v>
      </c>
      <c r="S754" s="63" t="s">
        <v>476</v>
      </c>
      <c r="T754" s="63"/>
      <c r="U754" s="1039"/>
      <c r="V754" s="1039"/>
      <c r="W754" s="1039"/>
      <c r="X754" s="64" t="s">
        <v>2364</v>
      </c>
      <c r="Y754" s="439"/>
      <c r="Z754" s="439"/>
      <c r="AA754" s="439"/>
    </row>
    <row r="755" spans="1:27" ht="15" customHeight="1">
      <c r="A755" s="63">
        <f t="shared" si="71"/>
        <v>752</v>
      </c>
      <c r="B755" s="63" t="s">
        <v>1308</v>
      </c>
      <c r="C755" s="63"/>
      <c r="D755" s="63"/>
      <c r="E755" s="64"/>
      <c r="F755" s="65"/>
      <c r="G755" s="389" t="e">
        <f t="shared" si="72"/>
        <v>#N/A</v>
      </c>
      <c r="H755" s="389" t="e">
        <f t="shared" si="72"/>
        <v>#N/A</v>
      </c>
      <c r="I755" s="389" t="e">
        <f t="shared" si="72"/>
        <v>#N/A</v>
      </c>
      <c r="J755" s="389" t="e">
        <f t="shared" si="72"/>
        <v>#N/A</v>
      </c>
      <c r="K755" s="389" t="e">
        <f t="shared" si="72"/>
        <v>#N/A</v>
      </c>
      <c r="L755" s="720"/>
      <c r="M755" s="63"/>
      <c r="N755" s="440"/>
      <c r="O755" s="390"/>
      <c r="P755" s="390">
        <v>0</v>
      </c>
      <c r="Q755" s="390">
        <v>0</v>
      </c>
      <c r="R755" s="390">
        <v>0</v>
      </c>
      <c r="S755" s="63" t="s">
        <v>476</v>
      </c>
      <c r="T755" s="63"/>
      <c r="U755" s="1039"/>
      <c r="V755" s="1039"/>
      <c r="W755" s="1039"/>
      <c r="X755" s="64" t="s">
        <v>2364</v>
      </c>
      <c r="Y755" s="439"/>
      <c r="Z755" s="439"/>
      <c r="AA755" s="439"/>
    </row>
    <row r="756" spans="1:27" ht="15" customHeight="1">
      <c r="A756" s="63">
        <f t="shared" si="71"/>
        <v>753</v>
      </c>
      <c r="B756" s="63" t="s">
        <v>1308</v>
      </c>
      <c r="C756" s="63"/>
      <c r="D756" s="63"/>
      <c r="E756" s="64"/>
      <c r="F756" s="65"/>
      <c r="G756" s="389" t="e">
        <f t="shared" si="72"/>
        <v>#N/A</v>
      </c>
      <c r="H756" s="389" t="e">
        <f t="shared" si="72"/>
        <v>#N/A</v>
      </c>
      <c r="I756" s="389" t="e">
        <f t="shared" si="72"/>
        <v>#N/A</v>
      </c>
      <c r="J756" s="389" t="e">
        <f t="shared" si="72"/>
        <v>#N/A</v>
      </c>
      <c r="K756" s="389" t="e">
        <f t="shared" si="72"/>
        <v>#N/A</v>
      </c>
      <c r="L756" s="720"/>
      <c r="M756" s="63"/>
      <c r="N756" s="440"/>
      <c r="O756" s="390"/>
      <c r="P756" s="390">
        <v>0</v>
      </c>
      <c r="Q756" s="390">
        <v>0</v>
      </c>
      <c r="R756" s="390">
        <v>0</v>
      </c>
      <c r="S756" s="63" t="s">
        <v>476</v>
      </c>
      <c r="T756" s="63"/>
      <c r="U756" s="1039"/>
      <c r="V756" s="1039"/>
      <c r="W756" s="1039"/>
      <c r="X756" s="64" t="s">
        <v>2364</v>
      </c>
      <c r="Y756" s="439"/>
      <c r="Z756" s="439"/>
      <c r="AA756" s="439"/>
    </row>
    <row r="757" spans="1:27" ht="15" customHeight="1">
      <c r="A757" s="63">
        <f t="shared" si="71"/>
        <v>754</v>
      </c>
      <c r="B757" s="63" t="s">
        <v>1308</v>
      </c>
      <c r="C757" s="63" t="s">
        <v>698</v>
      </c>
      <c r="D757" s="63" t="s">
        <v>1423</v>
      </c>
      <c r="E757" s="64">
        <v>3604</v>
      </c>
      <c r="F757" s="65" t="s">
        <v>144</v>
      </c>
      <c r="G757" s="389">
        <f t="shared" si="72"/>
        <v>0.54</v>
      </c>
      <c r="H757" s="389">
        <f t="shared" si="72"/>
        <v>0.45999999999999996</v>
      </c>
      <c r="I757" s="389">
        <f t="shared" si="72"/>
        <v>0.37</v>
      </c>
      <c r="J757" s="389">
        <f t="shared" si="72"/>
        <v>0.28999999999999998</v>
      </c>
      <c r="K757" s="389">
        <f t="shared" si="72"/>
        <v>0.23</v>
      </c>
      <c r="L757" s="720">
        <v>0.06</v>
      </c>
      <c r="M757" s="63" t="s">
        <v>3179</v>
      </c>
      <c r="N757" s="440">
        <v>4.4999999999999998E-2</v>
      </c>
      <c r="O757" s="390">
        <v>6.0000000000000001E-3</v>
      </c>
      <c r="P757" s="390">
        <v>0</v>
      </c>
      <c r="Q757" s="390">
        <v>0</v>
      </c>
      <c r="R757" s="390">
        <v>0</v>
      </c>
      <c r="S757" s="63" t="s">
        <v>476</v>
      </c>
      <c r="T757" s="63"/>
      <c r="U757" s="1039"/>
      <c r="V757" s="1039"/>
      <c r="W757" s="1039"/>
      <c r="X757" s="64" t="s">
        <v>2364</v>
      </c>
      <c r="Y757" s="439"/>
      <c r="Z757" s="439"/>
      <c r="AA757" s="439"/>
    </row>
    <row r="758" spans="1:27" ht="15" customHeight="1">
      <c r="A758" s="63">
        <f t="shared" si="71"/>
        <v>755</v>
      </c>
      <c r="B758" s="63" t="s">
        <v>1308</v>
      </c>
      <c r="C758" s="63" t="s">
        <v>698</v>
      </c>
      <c r="D758" s="63" t="s">
        <v>2312</v>
      </c>
      <c r="E758" s="64">
        <v>3604</v>
      </c>
      <c r="F758" s="65" t="s">
        <v>144</v>
      </c>
      <c r="G758" s="389">
        <f t="shared" si="72"/>
        <v>0.54</v>
      </c>
      <c r="H758" s="389">
        <f t="shared" si="72"/>
        <v>0.45999999999999996</v>
      </c>
      <c r="I758" s="389">
        <f t="shared" si="72"/>
        <v>0.37</v>
      </c>
      <c r="J758" s="389">
        <f t="shared" si="72"/>
        <v>0.28999999999999998</v>
      </c>
      <c r="K758" s="389">
        <f t="shared" si="72"/>
        <v>0.23</v>
      </c>
      <c r="L758" s="720">
        <v>0.06</v>
      </c>
      <c r="M758" s="63" t="s">
        <v>3175</v>
      </c>
      <c r="N758" s="440">
        <v>4.4999999999999998E-2</v>
      </c>
      <c r="O758" s="390">
        <v>6.0000000000000001E-3</v>
      </c>
      <c r="P758" s="390">
        <v>0</v>
      </c>
      <c r="Q758" s="390">
        <v>0</v>
      </c>
      <c r="R758" s="390">
        <v>0</v>
      </c>
      <c r="S758" s="63" t="s">
        <v>476</v>
      </c>
      <c r="T758" s="63"/>
      <c r="U758" s="1039"/>
      <c r="V758" s="1039"/>
      <c r="W758" s="1039"/>
      <c r="X758" s="64" t="s">
        <v>2364</v>
      </c>
      <c r="Y758" s="439"/>
      <c r="Z758" s="439"/>
      <c r="AA758" s="439"/>
    </row>
    <row r="759" spans="1:27" ht="15" customHeight="1">
      <c r="A759" s="63">
        <f t="shared" si="71"/>
        <v>756</v>
      </c>
      <c r="B759" s="63" t="s">
        <v>1308</v>
      </c>
      <c r="C759" s="63" t="s">
        <v>698</v>
      </c>
      <c r="D759" s="63" t="s">
        <v>2313</v>
      </c>
      <c r="E759" s="64">
        <v>3604</v>
      </c>
      <c r="F759" s="65" t="s">
        <v>189</v>
      </c>
      <c r="G759" s="389">
        <f t="shared" si="72"/>
        <v>0.54</v>
      </c>
      <c r="H759" s="389">
        <f t="shared" si="72"/>
        <v>0.45999999999999996</v>
      </c>
      <c r="I759" s="389">
        <f t="shared" si="72"/>
        <v>0.37</v>
      </c>
      <c r="J759" s="389">
        <f t="shared" si="72"/>
        <v>0.28999999999999998</v>
      </c>
      <c r="K759" s="389">
        <f t="shared" si="72"/>
        <v>0.23</v>
      </c>
      <c r="L759" s="720">
        <v>0.06</v>
      </c>
      <c r="M759" s="63" t="s">
        <v>3175</v>
      </c>
      <c r="N759" s="440">
        <v>4.4999999999999998E-2</v>
      </c>
      <c r="O759" s="390">
        <v>6.0000000000000001E-3</v>
      </c>
      <c r="P759" s="390">
        <v>0</v>
      </c>
      <c r="Q759" s="390">
        <v>0</v>
      </c>
      <c r="R759" s="390">
        <v>0</v>
      </c>
      <c r="S759" s="63" t="s">
        <v>476</v>
      </c>
      <c r="T759" s="63"/>
      <c r="U759" s="1039"/>
      <c r="V759" s="1039"/>
      <c r="W759" s="1039"/>
      <c r="X759" s="64" t="s">
        <v>2364</v>
      </c>
      <c r="Y759" s="439"/>
      <c r="Z759" s="439"/>
      <c r="AA759" s="439"/>
    </row>
    <row r="760" spans="1:27" ht="15" customHeight="1">
      <c r="A760" s="63">
        <f t="shared" si="71"/>
        <v>757</v>
      </c>
      <c r="B760" s="63" t="s">
        <v>2332</v>
      </c>
      <c r="C760" s="63"/>
      <c r="D760" s="63"/>
      <c r="E760" s="64"/>
      <c r="F760" s="65"/>
      <c r="G760" s="389" t="e">
        <f t="shared" si="72"/>
        <v>#N/A</v>
      </c>
      <c r="H760" s="389" t="e">
        <f t="shared" si="72"/>
        <v>#N/A</v>
      </c>
      <c r="I760" s="389" t="e">
        <f t="shared" si="72"/>
        <v>#N/A</v>
      </c>
      <c r="J760" s="389" t="e">
        <f t="shared" si="72"/>
        <v>#N/A</v>
      </c>
      <c r="K760" s="389" t="e">
        <f t="shared" si="72"/>
        <v>#N/A</v>
      </c>
      <c r="L760" s="720"/>
      <c r="M760" s="63"/>
      <c r="N760" s="440"/>
      <c r="O760" s="390"/>
      <c r="P760" s="390">
        <v>0</v>
      </c>
      <c r="Q760" s="390">
        <v>0</v>
      </c>
      <c r="R760" s="390">
        <v>0</v>
      </c>
      <c r="S760" s="63" t="s">
        <v>476</v>
      </c>
      <c r="T760" s="63"/>
      <c r="U760" s="1039"/>
      <c r="V760" s="1039"/>
      <c r="W760" s="1039"/>
      <c r="X760" s="64" t="s">
        <v>2364</v>
      </c>
      <c r="Y760" s="439"/>
      <c r="Z760" s="439"/>
      <c r="AA760" s="439"/>
    </row>
    <row r="761" spans="1:27" ht="15" customHeight="1">
      <c r="A761" s="63">
        <f t="shared" si="71"/>
        <v>758</v>
      </c>
      <c r="B761" s="63" t="s">
        <v>1308</v>
      </c>
      <c r="C761" s="63"/>
      <c r="D761" s="63"/>
      <c r="E761" s="64"/>
      <c r="F761" s="65"/>
      <c r="G761" s="389" t="e">
        <f t="shared" si="72"/>
        <v>#N/A</v>
      </c>
      <c r="H761" s="389" t="e">
        <f t="shared" si="72"/>
        <v>#N/A</v>
      </c>
      <c r="I761" s="389" t="e">
        <f t="shared" si="72"/>
        <v>#N/A</v>
      </c>
      <c r="J761" s="389" t="e">
        <f t="shared" si="72"/>
        <v>#N/A</v>
      </c>
      <c r="K761" s="389" t="e">
        <f t="shared" si="72"/>
        <v>#N/A</v>
      </c>
      <c r="L761" s="720"/>
      <c r="M761" s="63"/>
      <c r="N761" s="440"/>
      <c r="O761" s="390"/>
      <c r="P761" s="390">
        <v>0</v>
      </c>
      <c r="Q761" s="390">
        <v>0</v>
      </c>
      <c r="R761" s="390">
        <v>0</v>
      </c>
      <c r="S761" s="63" t="s">
        <v>476</v>
      </c>
      <c r="T761" s="63"/>
      <c r="U761" s="1039"/>
      <c r="V761" s="1039"/>
      <c r="W761" s="1039"/>
      <c r="X761" s="64" t="s">
        <v>2364</v>
      </c>
      <c r="Y761" s="439"/>
      <c r="Z761" s="439"/>
      <c r="AA761" s="439"/>
    </row>
    <row r="762" spans="1:27" ht="15" customHeight="1">
      <c r="A762" s="63">
        <f t="shared" si="71"/>
        <v>759</v>
      </c>
      <c r="B762" s="63" t="s">
        <v>1308</v>
      </c>
      <c r="C762" s="63" t="s">
        <v>2075</v>
      </c>
      <c r="D762" s="63" t="s">
        <v>2078</v>
      </c>
      <c r="E762" s="64">
        <v>1999</v>
      </c>
      <c r="F762" s="65" t="s">
        <v>189</v>
      </c>
      <c r="G762" s="389">
        <f t="shared" si="72"/>
        <v>0.57999999999999996</v>
      </c>
      <c r="H762" s="389">
        <f t="shared" si="72"/>
        <v>0.5</v>
      </c>
      <c r="I762" s="389">
        <f t="shared" si="72"/>
        <v>0.41</v>
      </c>
      <c r="J762" s="389">
        <f t="shared" si="72"/>
        <v>0.32999999999999996</v>
      </c>
      <c r="K762" s="389">
        <f t="shared" si="72"/>
        <v>0.26999999999999996</v>
      </c>
      <c r="L762" s="720">
        <v>0.06</v>
      </c>
      <c r="M762" s="63" t="s">
        <v>3167</v>
      </c>
      <c r="N762" s="440">
        <v>4.4999999999999998E-2</v>
      </c>
      <c r="O762" s="390">
        <v>6.0000000000000001E-3</v>
      </c>
      <c r="P762" s="390">
        <v>0</v>
      </c>
      <c r="Q762" s="390">
        <v>0</v>
      </c>
      <c r="R762" s="390">
        <v>0</v>
      </c>
      <c r="S762" s="63" t="s">
        <v>476</v>
      </c>
      <c r="T762" s="63"/>
      <c r="U762" s="1039"/>
      <c r="V762" s="1039"/>
      <c r="W762" s="1039"/>
      <c r="X762" s="64" t="s">
        <v>2364</v>
      </c>
      <c r="Y762" s="439"/>
      <c r="Z762" s="439"/>
      <c r="AA762" s="439"/>
    </row>
    <row r="763" spans="1:27" ht="15" customHeight="1">
      <c r="A763" s="63">
        <f t="shared" si="71"/>
        <v>760</v>
      </c>
      <c r="B763" s="63" t="s">
        <v>1306</v>
      </c>
      <c r="C763" s="63" t="s">
        <v>2075</v>
      </c>
      <c r="D763" s="1234" t="s">
        <v>2565</v>
      </c>
      <c r="E763" s="64">
        <v>1955</v>
      </c>
      <c r="F763" s="65" t="s">
        <v>189</v>
      </c>
      <c r="G763" s="389">
        <f t="shared" si="72"/>
        <v>0.57999999999999996</v>
      </c>
      <c r="H763" s="389">
        <f t="shared" si="72"/>
        <v>0.5</v>
      </c>
      <c r="I763" s="389">
        <f t="shared" si="72"/>
        <v>0.41</v>
      </c>
      <c r="J763" s="389">
        <f t="shared" si="72"/>
        <v>0.32999999999999996</v>
      </c>
      <c r="K763" s="389">
        <f t="shared" si="72"/>
        <v>0.26999999999999996</v>
      </c>
      <c r="L763" s="720">
        <v>0.06</v>
      </c>
      <c r="M763" s="63" t="s">
        <v>3167</v>
      </c>
      <c r="N763" s="440">
        <v>4.4999999999999998E-2</v>
      </c>
      <c r="O763" s="390">
        <v>6.0000000000000001E-3</v>
      </c>
      <c r="P763" s="390">
        <v>0</v>
      </c>
      <c r="Q763" s="390">
        <v>0</v>
      </c>
      <c r="R763" s="390">
        <v>0</v>
      </c>
      <c r="S763" s="63" t="s">
        <v>476</v>
      </c>
      <c r="T763" s="63"/>
      <c r="U763" s="1039"/>
      <c r="V763" s="1039"/>
      <c r="W763" s="1039"/>
      <c r="X763" s="64" t="s">
        <v>2364</v>
      </c>
      <c r="Y763" s="439"/>
      <c r="Z763" s="439"/>
      <c r="AA763" s="439"/>
    </row>
    <row r="764" spans="1:27" ht="15" customHeight="1">
      <c r="A764" s="63">
        <f t="shared" si="71"/>
        <v>761</v>
      </c>
      <c r="B764" s="63" t="s">
        <v>1308</v>
      </c>
      <c r="C764" s="63" t="s">
        <v>2433</v>
      </c>
      <c r="D764" s="1234" t="s">
        <v>1424</v>
      </c>
      <c r="E764" s="64">
        <v>2694</v>
      </c>
      <c r="F764" s="65" t="s">
        <v>189</v>
      </c>
      <c r="G764" s="389">
        <f t="shared" ref="G764:K795" si="73">+INDEX($AW$4:$AW$138,MATCH(G$3&amp;$M764,$AT$4:$AT$138,0))</f>
        <v>0.57999999999999996</v>
      </c>
      <c r="H764" s="389">
        <f t="shared" si="73"/>
        <v>0.5</v>
      </c>
      <c r="I764" s="389">
        <f t="shared" si="73"/>
        <v>0.41</v>
      </c>
      <c r="J764" s="389">
        <f t="shared" si="73"/>
        <v>0.32999999999999996</v>
      </c>
      <c r="K764" s="389">
        <f t="shared" si="73"/>
        <v>0.26999999999999996</v>
      </c>
      <c r="L764" s="720">
        <v>0.06</v>
      </c>
      <c r="M764" s="63" t="s">
        <v>3167</v>
      </c>
      <c r="N764" s="440">
        <v>4.4999999999999998E-2</v>
      </c>
      <c r="O764" s="390">
        <v>6.0000000000000001E-3</v>
      </c>
      <c r="P764" s="390">
        <v>0</v>
      </c>
      <c r="Q764" s="390">
        <v>0</v>
      </c>
      <c r="R764" s="390">
        <v>0</v>
      </c>
      <c r="S764" s="63" t="s">
        <v>476</v>
      </c>
      <c r="T764" s="63"/>
      <c r="U764" s="1039"/>
      <c r="V764" s="1039"/>
      <c r="W764" s="1039"/>
      <c r="X764" s="64" t="s">
        <v>2364</v>
      </c>
      <c r="Y764" s="439"/>
      <c r="Z764" s="439"/>
      <c r="AA764" s="439"/>
    </row>
    <row r="765" spans="1:27" ht="15" customHeight="1">
      <c r="A765" s="63">
        <f t="shared" si="71"/>
        <v>762</v>
      </c>
      <c r="B765" s="63" t="s">
        <v>1308</v>
      </c>
      <c r="C765" s="63" t="s">
        <v>2075</v>
      </c>
      <c r="D765" s="1234" t="s">
        <v>2076</v>
      </c>
      <c r="E765" s="64">
        <v>3496</v>
      </c>
      <c r="F765" s="65" t="s">
        <v>2077</v>
      </c>
      <c r="G765" s="389">
        <f t="shared" si="73"/>
        <v>0.57999999999999996</v>
      </c>
      <c r="H765" s="389">
        <f t="shared" si="73"/>
        <v>0.5</v>
      </c>
      <c r="I765" s="389">
        <f t="shared" si="73"/>
        <v>0.41</v>
      </c>
      <c r="J765" s="389">
        <f t="shared" si="73"/>
        <v>0.32999999999999996</v>
      </c>
      <c r="K765" s="389">
        <f t="shared" si="73"/>
        <v>0.26999999999999996</v>
      </c>
      <c r="L765" s="720">
        <v>0.06</v>
      </c>
      <c r="M765" s="63" t="s">
        <v>3167</v>
      </c>
      <c r="N765" s="440">
        <v>4.4999999999999998E-2</v>
      </c>
      <c r="O765" s="390">
        <v>6.0000000000000001E-3</v>
      </c>
      <c r="P765" s="390">
        <v>0</v>
      </c>
      <c r="Q765" s="390">
        <v>0</v>
      </c>
      <c r="R765" s="390">
        <v>0</v>
      </c>
      <c r="S765" s="63" t="s">
        <v>476</v>
      </c>
      <c r="T765" s="63"/>
      <c r="U765" s="1039"/>
      <c r="V765" s="1039"/>
      <c r="W765" s="1039"/>
      <c r="X765" s="64" t="s">
        <v>2364</v>
      </c>
      <c r="Y765" s="439"/>
      <c r="Z765" s="439"/>
      <c r="AA765" s="439"/>
    </row>
    <row r="766" spans="1:27" ht="15" customHeight="1">
      <c r="A766" s="63">
        <f t="shared" si="71"/>
        <v>763</v>
      </c>
      <c r="B766" s="63" t="s">
        <v>1308</v>
      </c>
      <c r="C766" s="63" t="s">
        <v>2075</v>
      </c>
      <c r="D766" s="1234" t="s">
        <v>2079</v>
      </c>
      <c r="E766" s="64">
        <v>2956</v>
      </c>
      <c r="F766" s="65" t="s">
        <v>620</v>
      </c>
      <c r="G766" s="389">
        <f t="shared" si="73"/>
        <v>0.65999999999999992</v>
      </c>
      <c r="H766" s="389">
        <f t="shared" si="73"/>
        <v>0.57999999999999996</v>
      </c>
      <c r="I766" s="389">
        <f t="shared" si="73"/>
        <v>0.48999999999999988</v>
      </c>
      <c r="J766" s="389">
        <f t="shared" si="73"/>
        <v>0.41</v>
      </c>
      <c r="K766" s="389">
        <f t="shared" si="73"/>
        <v>0.35</v>
      </c>
      <c r="L766" s="720">
        <v>0.06</v>
      </c>
      <c r="M766" s="63" t="s">
        <v>3169</v>
      </c>
      <c r="N766" s="440">
        <v>4.4999999999999998E-2</v>
      </c>
      <c r="O766" s="390">
        <v>6.0000000000000001E-3</v>
      </c>
      <c r="P766" s="390">
        <v>0</v>
      </c>
      <c r="Q766" s="390">
        <v>0</v>
      </c>
      <c r="R766" s="390">
        <v>0</v>
      </c>
      <c r="S766" s="63" t="s">
        <v>476</v>
      </c>
      <c r="T766" s="63"/>
      <c r="U766" s="1039"/>
      <c r="V766" s="1039"/>
      <c r="W766" s="1039"/>
      <c r="X766" s="64" t="s">
        <v>2364</v>
      </c>
      <c r="Y766" s="439"/>
      <c r="Z766" s="439"/>
      <c r="AA766" s="439"/>
    </row>
    <row r="767" spans="1:27" ht="15" customHeight="1">
      <c r="A767" s="63">
        <f t="shared" si="71"/>
        <v>764</v>
      </c>
      <c r="B767" s="63" t="s">
        <v>1308</v>
      </c>
      <c r="C767" s="63" t="s">
        <v>2075</v>
      </c>
      <c r="D767" s="1234" t="s">
        <v>2080</v>
      </c>
      <c r="E767" s="64">
        <v>2956</v>
      </c>
      <c r="F767" s="65" t="s">
        <v>620</v>
      </c>
      <c r="G767" s="389">
        <f t="shared" si="73"/>
        <v>0.65999999999999992</v>
      </c>
      <c r="H767" s="389">
        <f t="shared" si="73"/>
        <v>0.57999999999999996</v>
      </c>
      <c r="I767" s="389">
        <f t="shared" si="73"/>
        <v>0.48999999999999988</v>
      </c>
      <c r="J767" s="389">
        <f t="shared" si="73"/>
        <v>0.41</v>
      </c>
      <c r="K767" s="389">
        <f t="shared" si="73"/>
        <v>0.35</v>
      </c>
      <c r="L767" s="720">
        <v>0.06</v>
      </c>
      <c r="M767" s="63" t="s">
        <v>3169</v>
      </c>
      <c r="N767" s="440">
        <v>4.4999999999999998E-2</v>
      </c>
      <c r="O767" s="390">
        <v>6.0000000000000001E-3</v>
      </c>
      <c r="P767" s="390">
        <v>0</v>
      </c>
      <c r="Q767" s="390">
        <v>0</v>
      </c>
      <c r="R767" s="390">
        <v>0</v>
      </c>
      <c r="S767" s="63" t="s">
        <v>476</v>
      </c>
      <c r="T767" s="63"/>
      <c r="U767" s="1039"/>
      <c r="V767" s="1039"/>
      <c r="W767" s="1039"/>
      <c r="X767" s="64" t="s">
        <v>2364</v>
      </c>
      <c r="Y767" s="439"/>
      <c r="Z767" s="439"/>
      <c r="AA767" s="439"/>
    </row>
    <row r="768" spans="1:27" ht="15" customHeight="1">
      <c r="A768" s="63">
        <f t="shared" si="71"/>
        <v>765</v>
      </c>
      <c r="B768" s="63" t="s">
        <v>1308</v>
      </c>
      <c r="C768" s="63"/>
      <c r="D768" s="63"/>
      <c r="E768" s="64"/>
      <c r="F768" s="65"/>
      <c r="G768" s="389" t="e">
        <f t="shared" si="73"/>
        <v>#N/A</v>
      </c>
      <c r="H768" s="389" t="e">
        <f t="shared" si="73"/>
        <v>#N/A</v>
      </c>
      <c r="I768" s="389" t="e">
        <f t="shared" si="73"/>
        <v>#N/A</v>
      </c>
      <c r="J768" s="389" t="e">
        <f t="shared" si="73"/>
        <v>#N/A</v>
      </c>
      <c r="K768" s="389" t="e">
        <f t="shared" si="73"/>
        <v>#N/A</v>
      </c>
      <c r="L768" s="720"/>
      <c r="M768" s="63"/>
      <c r="N768" s="440"/>
      <c r="O768" s="390"/>
      <c r="P768" s="390">
        <v>0</v>
      </c>
      <c r="Q768" s="390">
        <v>0</v>
      </c>
      <c r="R768" s="390">
        <v>0</v>
      </c>
      <c r="S768" s="63" t="s">
        <v>476</v>
      </c>
      <c r="T768" s="63"/>
      <c r="U768" s="1039"/>
      <c r="V768" s="1039"/>
      <c r="W768" s="1039"/>
      <c r="X768" s="64" t="s">
        <v>2364</v>
      </c>
      <c r="Y768" s="439"/>
      <c r="Z768" s="439"/>
      <c r="AA768" s="439"/>
    </row>
    <row r="769" spans="1:27" ht="15" customHeight="1">
      <c r="A769" s="63">
        <f t="shared" si="71"/>
        <v>766</v>
      </c>
      <c r="B769" s="63" t="s">
        <v>1308</v>
      </c>
      <c r="C769" s="63"/>
      <c r="D769" s="63"/>
      <c r="E769" s="64"/>
      <c r="F769" s="65"/>
      <c r="G769" s="389" t="e">
        <f t="shared" si="73"/>
        <v>#N/A</v>
      </c>
      <c r="H769" s="389" t="e">
        <f t="shared" si="73"/>
        <v>#N/A</v>
      </c>
      <c r="I769" s="389" t="e">
        <f t="shared" si="73"/>
        <v>#N/A</v>
      </c>
      <c r="J769" s="389" t="e">
        <f t="shared" si="73"/>
        <v>#N/A</v>
      </c>
      <c r="K769" s="389" t="e">
        <f t="shared" si="73"/>
        <v>#N/A</v>
      </c>
      <c r="L769" s="720"/>
      <c r="M769" s="63"/>
      <c r="N769" s="440"/>
      <c r="O769" s="390"/>
      <c r="P769" s="390">
        <v>0</v>
      </c>
      <c r="Q769" s="390">
        <v>0</v>
      </c>
      <c r="R769" s="390">
        <v>0</v>
      </c>
      <c r="S769" s="63" t="s">
        <v>476</v>
      </c>
      <c r="T769" s="63"/>
      <c r="U769" s="1039"/>
      <c r="V769" s="1039"/>
      <c r="W769" s="1039"/>
      <c r="X769" s="64" t="s">
        <v>2364</v>
      </c>
      <c r="Y769" s="439"/>
      <c r="Z769" s="439"/>
      <c r="AA769" s="439"/>
    </row>
    <row r="770" spans="1:27" ht="15" customHeight="1">
      <c r="A770" s="63">
        <f t="shared" si="71"/>
        <v>767</v>
      </c>
      <c r="B770" s="63" t="s">
        <v>1308</v>
      </c>
      <c r="C770" s="63" t="s">
        <v>2434</v>
      </c>
      <c r="D770" s="1234" t="s">
        <v>2083</v>
      </c>
      <c r="E770" s="64">
        <v>1499</v>
      </c>
      <c r="F770" s="65" t="s">
        <v>189</v>
      </c>
      <c r="G770" s="389">
        <f t="shared" si="73"/>
        <v>0.64999999999999991</v>
      </c>
      <c r="H770" s="389">
        <f t="shared" si="73"/>
        <v>0.56999999999999995</v>
      </c>
      <c r="I770" s="389">
        <f t="shared" si="73"/>
        <v>0.47999999999999987</v>
      </c>
      <c r="J770" s="389">
        <f t="shared" si="73"/>
        <v>0.39999999999999997</v>
      </c>
      <c r="K770" s="389">
        <f t="shared" si="73"/>
        <v>0.33999999999999997</v>
      </c>
      <c r="L770" s="720">
        <v>0.06</v>
      </c>
      <c r="M770" s="63" t="s">
        <v>3200</v>
      </c>
      <c r="N770" s="440">
        <v>4.4999999999999998E-2</v>
      </c>
      <c r="O770" s="390">
        <v>6.0000000000000001E-3</v>
      </c>
      <c r="P770" s="390">
        <v>0</v>
      </c>
      <c r="Q770" s="390">
        <v>0</v>
      </c>
      <c r="R770" s="390">
        <v>0</v>
      </c>
      <c r="S770" s="63" t="s">
        <v>476</v>
      </c>
      <c r="T770" s="63"/>
      <c r="U770" s="1039"/>
      <c r="V770" s="1039"/>
      <c r="W770" s="1039"/>
      <c r="X770" s="64" t="s">
        <v>2364</v>
      </c>
      <c r="Y770" s="439"/>
      <c r="Z770" s="439"/>
      <c r="AA770" s="439"/>
    </row>
    <row r="771" spans="1:27" ht="15" customHeight="1">
      <c r="A771" s="63">
        <f t="shared" si="71"/>
        <v>768</v>
      </c>
      <c r="B771" s="63" t="s">
        <v>1308</v>
      </c>
      <c r="C771" s="63" t="s">
        <v>2081</v>
      </c>
      <c r="D771" s="1234" t="s">
        <v>2314</v>
      </c>
      <c r="E771" s="64">
        <v>1499</v>
      </c>
      <c r="F771" s="65" t="s">
        <v>2077</v>
      </c>
      <c r="G771" s="389">
        <f t="shared" si="73"/>
        <v>0.64999999999999991</v>
      </c>
      <c r="H771" s="389">
        <f t="shared" si="73"/>
        <v>0.56999999999999995</v>
      </c>
      <c r="I771" s="389">
        <f t="shared" si="73"/>
        <v>0.47999999999999987</v>
      </c>
      <c r="J771" s="389">
        <f t="shared" si="73"/>
        <v>0.39999999999999997</v>
      </c>
      <c r="K771" s="389">
        <f t="shared" si="73"/>
        <v>0.33999999999999997</v>
      </c>
      <c r="L771" s="720">
        <v>0.06</v>
      </c>
      <c r="M771" s="63" t="s">
        <v>3200</v>
      </c>
      <c r="N771" s="440">
        <v>4.4999999999999998E-2</v>
      </c>
      <c r="O771" s="390">
        <v>6.0000000000000001E-3</v>
      </c>
      <c r="P771" s="390">
        <v>0</v>
      </c>
      <c r="Q771" s="390">
        <v>0</v>
      </c>
      <c r="R771" s="390">
        <v>0</v>
      </c>
      <c r="S771" s="63" t="s">
        <v>476</v>
      </c>
      <c r="T771" s="63"/>
      <c r="U771" s="1039"/>
      <c r="V771" s="1039"/>
      <c r="W771" s="1039"/>
      <c r="X771" s="64" t="s">
        <v>2364</v>
      </c>
      <c r="Y771" s="439"/>
      <c r="Z771" s="439"/>
      <c r="AA771" s="439"/>
    </row>
    <row r="772" spans="1:27" ht="15" customHeight="1">
      <c r="A772" s="63">
        <f t="shared" si="71"/>
        <v>769</v>
      </c>
      <c r="B772" s="63" t="s">
        <v>1308</v>
      </c>
      <c r="C772" s="63" t="s">
        <v>2081</v>
      </c>
      <c r="D772" s="1234" t="s">
        <v>2082</v>
      </c>
      <c r="E772" s="64">
        <v>1499</v>
      </c>
      <c r="F772" s="65" t="s">
        <v>189</v>
      </c>
      <c r="G772" s="389">
        <f t="shared" si="73"/>
        <v>0.64999999999999991</v>
      </c>
      <c r="H772" s="389">
        <f t="shared" si="73"/>
        <v>0.56999999999999995</v>
      </c>
      <c r="I772" s="389">
        <f t="shared" si="73"/>
        <v>0.47999999999999987</v>
      </c>
      <c r="J772" s="389">
        <f t="shared" si="73"/>
        <v>0.39999999999999997</v>
      </c>
      <c r="K772" s="389">
        <f t="shared" si="73"/>
        <v>0.33999999999999997</v>
      </c>
      <c r="L772" s="720">
        <v>0.06</v>
      </c>
      <c r="M772" s="63" t="s">
        <v>3200</v>
      </c>
      <c r="N772" s="440">
        <v>4.4999999999999998E-2</v>
      </c>
      <c r="O772" s="390">
        <v>6.0000000000000001E-3</v>
      </c>
      <c r="P772" s="390">
        <v>0</v>
      </c>
      <c r="Q772" s="390">
        <v>0</v>
      </c>
      <c r="R772" s="390">
        <v>0</v>
      </c>
      <c r="S772" s="63" t="s">
        <v>476</v>
      </c>
      <c r="T772" s="63"/>
      <c r="U772" s="1039"/>
      <c r="V772" s="1039"/>
      <c r="W772" s="1039"/>
      <c r="X772" s="64" t="s">
        <v>2364</v>
      </c>
      <c r="Y772" s="439"/>
      <c r="Z772" s="439"/>
      <c r="AA772" s="439"/>
    </row>
    <row r="773" spans="1:27" ht="15" customHeight="1">
      <c r="A773" s="63">
        <f t="shared" si="71"/>
        <v>770</v>
      </c>
      <c r="B773" s="63" t="s">
        <v>1308</v>
      </c>
      <c r="C773" s="63" t="s">
        <v>2434</v>
      </c>
      <c r="D773" s="1234" t="s">
        <v>628</v>
      </c>
      <c r="E773" s="64">
        <v>1499</v>
      </c>
      <c r="F773" s="65" t="s">
        <v>189</v>
      </c>
      <c r="G773" s="389">
        <f t="shared" si="73"/>
        <v>0.57999999999999996</v>
      </c>
      <c r="H773" s="389">
        <f t="shared" si="73"/>
        <v>0.5</v>
      </c>
      <c r="I773" s="389">
        <f t="shared" si="73"/>
        <v>0.41</v>
      </c>
      <c r="J773" s="389">
        <f t="shared" si="73"/>
        <v>0.32999999999999996</v>
      </c>
      <c r="K773" s="389">
        <f t="shared" si="73"/>
        <v>0.26999999999999996</v>
      </c>
      <c r="L773" s="720">
        <v>0.06</v>
      </c>
      <c r="M773" s="63" t="s">
        <v>3173</v>
      </c>
      <c r="N773" s="440">
        <v>4.4999999999999998E-2</v>
      </c>
      <c r="O773" s="390">
        <v>6.0000000000000001E-3</v>
      </c>
      <c r="P773" s="390">
        <v>0</v>
      </c>
      <c r="Q773" s="390">
        <v>0</v>
      </c>
      <c r="R773" s="390">
        <v>0</v>
      </c>
      <c r="S773" s="63" t="s">
        <v>476</v>
      </c>
      <c r="T773" s="63"/>
      <c r="U773" s="1039"/>
      <c r="V773" s="1039"/>
      <c r="W773" s="1039"/>
      <c r="X773" s="64" t="s">
        <v>2364</v>
      </c>
      <c r="Y773" s="439"/>
      <c r="Z773" s="439"/>
      <c r="AA773" s="439"/>
    </row>
    <row r="774" spans="1:27" ht="15" customHeight="1">
      <c r="A774" s="63">
        <f t="shared" si="71"/>
        <v>771</v>
      </c>
      <c r="B774" s="63" t="s">
        <v>1308</v>
      </c>
      <c r="C774" s="63" t="s">
        <v>2081</v>
      </c>
      <c r="D774" s="1234" t="s">
        <v>2435</v>
      </c>
      <c r="E774" s="64">
        <v>1499</v>
      </c>
      <c r="F774" s="65" t="s">
        <v>620</v>
      </c>
      <c r="G774" s="389">
        <f t="shared" si="73"/>
        <v>0.57999999999999996</v>
      </c>
      <c r="H774" s="389">
        <f t="shared" si="73"/>
        <v>0.5</v>
      </c>
      <c r="I774" s="389">
        <f t="shared" si="73"/>
        <v>0.41</v>
      </c>
      <c r="J774" s="389">
        <f t="shared" si="73"/>
        <v>0.32999999999999996</v>
      </c>
      <c r="K774" s="389">
        <f t="shared" si="73"/>
        <v>0.26999999999999996</v>
      </c>
      <c r="L774" s="720">
        <v>0.06</v>
      </c>
      <c r="M774" s="63" t="s">
        <v>3173</v>
      </c>
      <c r="N774" s="440">
        <v>4.4999999999999998E-2</v>
      </c>
      <c r="O774" s="390">
        <v>6.0000000000000001E-3</v>
      </c>
      <c r="P774" s="390">
        <v>0</v>
      </c>
      <c r="Q774" s="390">
        <v>0</v>
      </c>
      <c r="R774" s="390">
        <v>0</v>
      </c>
      <c r="S774" s="63" t="s">
        <v>476</v>
      </c>
      <c r="T774" s="63"/>
      <c r="U774" s="1039"/>
      <c r="V774" s="1039"/>
      <c r="W774" s="1039"/>
      <c r="X774" s="64" t="s">
        <v>2364</v>
      </c>
      <c r="Y774" s="439"/>
      <c r="Z774" s="439"/>
      <c r="AA774" s="439"/>
    </row>
    <row r="775" spans="1:27" ht="15" customHeight="1">
      <c r="A775" s="63">
        <f t="shared" si="71"/>
        <v>772</v>
      </c>
      <c r="B775" s="63" t="s">
        <v>1308</v>
      </c>
      <c r="C775" s="63"/>
      <c r="D775" s="63"/>
      <c r="E775" s="64"/>
      <c r="F775" s="65"/>
      <c r="G775" s="389" t="e">
        <f t="shared" si="73"/>
        <v>#N/A</v>
      </c>
      <c r="H775" s="389" t="e">
        <f t="shared" si="73"/>
        <v>#N/A</v>
      </c>
      <c r="I775" s="389" t="e">
        <f t="shared" si="73"/>
        <v>#N/A</v>
      </c>
      <c r="J775" s="389" t="e">
        <f t="shared" si="73"/>
        <v>#N/A</v>
      </c>
      <c r="K775" s="389" t="e">
        <f t="shared" si="73"/>
        <v>#N/A</v>
      </c>
      <c r="L775" s="720"/>
      <c r="M775" s="63"/>
      <c r="N775" s="440"/>
      <c r="O775" s="390"/>
      <c r="P775" s="390">
        <v>0</v>
      </c>
      <c r="Q775" s="390">
        <v>0</v>
      </c>
      <c r="R775" s="390">
        <v>0</v>
      </c>
      <c r="S775" s="63" t="s">
        <v>476</v>
      </c>
      <c r="T775" s="63"/>
      <c r="U775" s="1039"/>
      <c r="V775" s="1039"/>
      <c r="W775" s="1039"/>
      <c r="X775" s="64" t="s">
        <v>2364</v>
      </c>
      <c r="Y775" s="439"/>
      <c r="Z775" s="439"/>
      <c r="AA775" s="439"/>
    </row>
    <row r="776" spans="1:27" ht="15" customHeight="1">
      <c r="A776" s="63">
        <f t="shared" si="71"/>
        <v>773</v>
      </c>
      <c r="B776" s="63" t="s">
        <v>1308</v>
      </c>
      <c r="C776" s="63"/>
      <c r="D776" s="63"/>
      <c r="E776" s="64"/>
      <c r="F776" s="65"/>
      <c r="G776" s="389" t="e">
        <f t="shared" si="73"/>
        <v>#N/A</v>
      </c>
      <c r="H776" s="389" t="e">
        <f t="shared" si="73"/>
        <v>#N/A</v>
      </c>
      <c r="I776" s="389" t="e">
        <f t="shared" si="73"/>
        <v>#N/A</v>
      </c>
      <c r="J776" s="389" t="e">
        <f t="shared" si="73"/>
        <v>#N/A</v>
      </c>
      <c r="K776" s="389" t="e">
        <f t="shared" si="73"/>
        <v>#N/A</v>
      </c>
      <c r="L776" s="720"/>
      <c r="M776" s="63"/>
      <c r="N776" s="440"/>
      <c r="O776" s="390"/>
      <c r="P776" s="390">
        <v>0</v>
      </c>
      <c r="Q776" s="390">
        <v>0</v>
      </c>
      <c r="R776" s="390">
        <v>0</v>
      </c>
      <c r="S776" s="63" t="s">
        <v>476</v>
      </c>
      <c r="T776" s="63"/>
      <c r="U776" s="1039"/>
      <c r="V776" s="1039"/>
      <c r="W776" s="1039"/>
      <c r="X776" s="64" t="s">
        <v>2364</v>
      </c>
      <c r="Y776" s="439"/>
      <c r="Z776" s="439"/>
      <c r="AA776" s="439"/>
    </row>
    <row r="777" spans="1:27" ht="15" customHeight="1">
      <c r="A777" s="63">
        <f t="shared" si="71"/>
        <v>774</v>
      </c>
      <c r="B777" s="63" t="s">
        <v>1308</v>
      </c>
      <c r="C777" s="63"/>
      <c r="D777" s="63"/>
      <c r="E777" s="64"/>
      <c r="F777" s="65"/>
      <c r="G777" s="389" t="e">
        <f t="shared" si="73"/>
        <v>#N/A</v>
      </c>
      <c r="H777" s="389" t="e">
        <f t="shared" si="73"/>
        <v>#N/A</v>
      </c>
      <c r="I777" s="389" t="e">
        <f t="shared" si="73"/>
        <v>#N/A</v>
      </c>
      <c r="J777" s="389" t="e">
        <f t="shared" si="73"/>
        <v>#N/A</v>
      </c>
      <c r="K777" s="389" t="e">
        <f t="shared" si="73"/>
        <v>#N/A</v>
      </c>
      <c r="L777" s="720"/>
      <c r="M777" s="63"/>
      <c r="N777" s="440"/>
      <c r="O777" s="390"/>
      <c r="P777" s="390">
        <v>0</v>
      </c>
      <c r="Q777" s="390">
        <v>0</v>
      </c>
      <c r="R777" s="390">
        <v>0</v>
      </c>
      <c r="S777" s="63" t="s">
        <v>476</v>
      </c>
      <c r="T777" s="63"/>
      <c r="U777" s="1039"/>
      <c r="V777" s="1039"/>
      <c r="W777" s="1039"/>
      <c r="X777" s="64" t="s">
        <v>2364</v>
      </c>
      <c r="Y777" s="439"/>
      <c r="Z777" s="439"/>
      <c r="AA777" s="439"/>
    </row>
    <row r="778" spans="1:27" ht="15" customHeight="1">
      <c r="A778" s="63">
        <f t="shared" si="71"/>
        <v>775</v>
      </c>
      <c r="B778" s="63" t="s">
        <v>1308</v>
      </c>
      <c r="C778" s="63" t="s">
        <v>699</v>
      </c>
      <c r="D778" s="63" t="s">
        <v>1425</v>
      </c>
      <c r="E778" s="64">
        <v>1368</v>
      </c>
      <c r="F778" s="65" t="s">
        <v>144</v>
      </c>
      <c r="G778" s="389">
        <f t="shared" si="73"/>
        <v>0.54</v>
      </c>
      <c r="H778" s="389">
        <f t="shared" si="73"/>
        <v>0.45999999999999996</v>
      </c>
      <c r="I778" s="389">
        <f t="shared" si="73"/>
        <v>0.37</v>
      </c>
      <c r="J778" s="389">
        <f t="shared" si="73"/>
        <v>0.28999999999999998</v>
      </c>
      <c r="K778" s="389">
        <f t="shared" si="73"/>
        <v>0.23</v>
      </c>
      <c r="L778" s="720">
        <v>0.06</v>
      </c>
      <c r="M778" s="63" t="s">
        <v>3175</v>
      </c>
      <c r="N778" s="440">
        <v>4.4999999999999998E-2</v>
      </c>
      <c r="O778" s="390">
        <v>6.0000000000000001E-3</v>
      </c>
      <c r="P778" s="390">
        <v>0</v>
      </c>
      <c r="Q778" s="390">
        <v>0</v>
      </c>
      <c r="R778" s="390">
        <v>0</v>
      </c>
      <c r="S778" s="63" t="s">
        <v>476</v>
      </c>
      <c r="T778" s="63"/>
      <c r="U778" s="1039"/>
      <c r="V778" s="1039"/>
      <c r="W778" s="1039"/>
      <c r="X778" s="64" t="s">
        <v>2364</v>
      </c>
      <c r="Y778" s="439"/>
      <c r="Z778" s="439"/>
      <c r="AA778" s="439"/>
    </row>
    <row r="779" spans="1:27" ht="15" customHeight="1">
      <c r="A779" s="63">
        <f t="shared" si="71"/>
        <v>776</v>
      </c>
      <c r="B779" s="63" t="s">
        <v>1308</v>
      </c>
      <c r="C779" s="63" t="s">
        <v>699</v>
      </c>
      <c r="D779" s="63" t="s">
        <v>2315</v>
      </c>
      <c r="E779" s="64">
        <v>1368</v>
      </c>
      <c r="F779" s="65" t="s">
        <v>144</v>
      </c>
      <c r="G779" s="389">
        <f t="shared" si="73"/>
        <v>0.54</v>
      </c>
      <c r="H779" s="389">
        <f t="shared" si="73"/>
        <v>0.45999999999999996</v>
      </c>
      <c r="I779" s="389">
        <f t="shared" si="73"/>
        <v>0.37</v>
      </c>
      <c r="J779" s="389">
        <f t="shared" si="73"/>
        <v>0.28999999999999998</v>
      </c>
      <c r="K779" s="389">
        <f t="shared" si="73"/>
        <v>0.23</v>
      </c>
      <c r="L779" s="720">
        <v>0.06</v>
      </c>
      <c r="M779" s="63" t="s">
        <v>3175</v>
      </c>
      <c r="N779" s="440">
        <v>4.4999999999999998E-2</v>
      </c>
      <c r="O779" s="390">
        <v>6.0000000000000001E-3</v>
      </c>
      <c r="P779" s="390">
        <v>0</v>
      </c>
      <c r="Q779" s="390">
        <v>0</v>
      </c>
      <c r="R779" s="390">
        <v>0</v>
      </c>
      <c r="S779" s="63" t="s">
        <v>476</v>
      </c>
      <c r="T779" s="63"/>
      <c r="U779" s="1039"/>
      <c r="V779" s="1039"/>
      <c r="W779" s="1039"/>
      <c r="X779" s="64" t="s">
        <v>2364</v>
      </c>
      <c r="Y779" s="439"/>
      <c r="Z779" s="439"/>
      <c r="AA779" s="439"/>
    </row>
    <row r="780" spans="1:27" ht="15" customHeight="1">
      <c r="A780" s="63">
        <f t="shared" si="71"/>
        <v>777</v>
      </c>
      <c r="B780" s="63" t="s">
        <v>1308</v>
      </c>
      <c r="C780" s="63" t="s">
        <v>699</v>
      </c>
      <c r="D780" s="63" t="s">
        <v>1426</v>
      </c>
      <c r="E780" s="64">
        <v>1368</v>
      </c>
      <c r="F780" s="65" t="s">
        <v>144</v>
      </c>
      <c r="G780" s="389">
        <f t="shared" si="73"/>
        <v>0.54</v>
      </c>
      <c r="H780" s="389">
        <f t="shared" si="73"/>
        <v>0.45999999999999996</v>
      </c>
      <c r="I780" s="389">
        <f t="shared" si="73"/>
        <v>0.37</v>
      </c>
      <c r="J780" s="389">
        <f t="shared" si="73"/>
        <v>0.28999999999999998</v>
      </c>
      <c r="K780" s="389">
        <f t="shared" si="73"/>
        <v>0.23</v>
      </c>
      <c r="L780" s="720">
        <v>0.06</v>
      </c>
      <c r="M780" s="63" t="s">
        <v>3175</v>
      </c>
      <c r="N780" s="440">
        <v>4.4999999999999998E-2</v>
      </c>
      <c r="O780" s="390">
        <v>6.0000000000000001E-3</v>
      </c>
      <c r="P780" s="390">
        <v>0</v>
      </c>
      <c r="Q780" s="390">
        <v>0</v>
      </c>
      <c r="R780" s="390">
        <v>0</v>
      </c>
      <c r="S780" s="63" t="s">
        <v>476</v>
      </c>
      <c r="T780" s="63"/>
      <c r="U780" s="1039"/>
      <c r="V780" s="1039"/>
      <c r="W780" s="1039"/>
      <c r="X780" s="64" t="s">
        <v>2364</v>
      </c>
      <c r="Y780" s="439"/>
      <c r="Z780" s="439"/>
      <c r="AA780" s="439"/>
    </row>
    <row r="781" spans="1:27" ht="15" customHeight="1">
      <c r="A781" s="63">
        <f t="shared" si="71"/>
        <v>778</v>
      </c>
      <c r="B781" s="63" t="s">
        <v>2332</v>
      </c>
      <c r="C781" s="63" t="s">
        <v>699</v>
      </c>
      <c r="D781" s="63" t="s">
        <v>1427</v>
      </c>
      <c r="E781" s="64">
        <v>1956</v>
      </c>
      <c r="F781" s="65" t="s">
        <v>189</v>
      </c>
      <c r="G781" s="389">
        <f t="shared" si="73"/>
        <v>0.54</v>
      </c>
      <c r="H781" s="389">
        <f t="shared" si="73"/>
        <v>0.45999999999999996</v>
      </c>
      <c r="I781" s="389">
        <f t="shared" si="73"/>
        <v>0.37</v>
      </c>
      <c r="J781" s="389">
        <f t="shared" si="73"/>
        <v>0.28999999999999998</v>
      </c>
      <c r="K781" s="389">
        <f t="shared" si="73"/>
        <v>0.23</v>
      </c>
      <c r="L781" s="720">
        <v>0.06</v>
      </c>
      <c r="M781" s="63" t="s">
        <v>3175</v>
      </c>
      <c r="N781" s="440">
        <v>4.4999999999999998E-2</v>
      </c>
      <c r="O781" s="390">
        <v>6.0000000000000001E-3</v>
      </c>
      <c r="P781" s="390">
        <v>0</v>
      </c>
      <c r="Q781" s="390">
        <v>0</v>
      </c>
      <c r="R781" s="390">
        <v>0</v>
      </c>
      <c r="S781" s="63" t="s">
        <v>476</v>
      </c>
      <c r="T781" s="63"/>
      <c r="U781" s="1039"/>
      <c r="V781" s="1039"/>
      <c r="W781" s="1039"/>
      <c r="X781" s="64" t="s">
        <v>2364</v>
      </c>
      <c r="Y781" s="439"/>
      <c r="Z781" s="439"/>
      <c r="AA781" s="439"/>
    </row>
    <row r="782" spans="1:27" ht="15" customHeight="1">
      <c r="A782" s="63">
        <f t="shared" si="71"/>
        <v>779</v>
      </c>
      <c r="B782" s="63" t="s">
        <v>1308</v>
      </c>
      <c r="C782" s="63" t="s">
        <v>699</v>
      </c>
      <c r="D782" s="63" t="s">
        <v>1428</v>
      </c>
      <c r="E782" s="64">
        <v>1956</v>
      </c>
      <c r="F782" s="65" t="s">
        <v>189</v>
      </c>
      <c r="G782" s="389">
        <f t="shared" si="73"/>
        <v>0.54</v>
      </c>
      <c r="H782" s="389">
        <f t="shared" si="73"/>
        <v>0.45999999999999996</v>
      </c>
      <c r="I782" s="389">
        <f t="shared" si="73"/>
        <v>0.37</v>
      </c>
      <c r="J782" s="389">
        <f t="shared" si="73"/>
        <v>0.28999999999999998</v>
      </c>
      <c r="K782" s="389">
        <f t="shared" si="73"/>
        <v>0.23</v>
      </c>
      <c r="L782" s="720">
        <v>0.06</v>
      </c>
      <c r="M782" s="63" t="s">
        <v>3175</v>
      </c>
      <c r="N782" s="440">
        <v>4.4999999999999998E-2</v>
      </c>
      <c r="O782" s="390">
        <v>6.0000000000000001E-3</v>
      </c>
      <c r="P782" s="390">
        <v>0</v>
      </c>
      <c r="Q782" s="390">
        <v>0</v>
      </c>
      <c r="R782" s="390">
        <v>0</v>
      </c>
      <c r="S782" s="63" t="s">
        <v>476</v>
      </c>
      <c r="T782" s="63"/>
      <c r="U782" s="1039"/>
      <c r="V782" s="1039"/>
      <c r="W782" s="1039"/>
      <c r="X782" s="64" t="s">
        <v>2364</v>
      </c>
      <c r="Y782" s="439"/>
      <c r="Z782" s="439"/>
      <c r="AA782" s="439"/>
    </row>
    <row r="783" spans="1:27" ht="15" customHeight="1">
      <c r="A783" s="63">
        <f t="shared" ref="A783:A847" si="74">ROW()-3</f>
        <v>780</v>
      </c>
      <c r="B783" s="63" t="s">
        <v>1308</v>
      </c>
      <c r="C783" s="63" t="s">
        <v>699</v>
      </c>
      <c r="D783" s="63" t="s">
        <v>1429</v>
      </c>
      <c r="E783" s="64">
        <v>2360</v>
      </c>
      <c r="F783" s="65" t="s">
        <v>189</v>
      </c>
      <c r="G783" s="389">
        <f t="shared" si="73"/>
        <v>0.54</v>
      </c>
      <c r="H783" s="389">
        <f t="shared" si="73"/>
        <v>0.45999999999999996</v>
      </c>
      <c r="I783" s="389">
        <f t="shared" si="73"/>
        <v>0.37</v>
      </c>
      <c r="J783" s="389">
        <f t="shared" si="73"/>
        <v>0.28999999999999998</v>
      </c>
      <c r="K783" s="389">
        <f t="shared" si="73"/>
        <v>0.23</v>
      </c>
      <c r="L783" s="720">
        <v>0.06</v>
      </c>
      <c r="M783" s="63" t="s">
        <v>3175</v>
      </c>
      <c r="N783" s="440">
        <v>4.4999999999999998E-2</v>
      </c>
      <c r="O783" s="390">
        <v>6.0000000000000001E-3</v>
      </c>
      <c r="P783" s="390">
        <v>0</v>
      </c>
      <c r="Q783" s="390">
        <v>0</v>
      </c>
      <c r="R783" s="390">
        <v>0</v>
      </c>
      <c r="S783" s="63" t="s">
        <v>476</v>
      </c>
      <c r="T783" s="63"/>
      <c r="U783" s="1039"/>
      <c r="V783" s="1039"/>
      <c r="W783" s="1039"/>
      <c r="X783" s="64" t="s">
        <v>2364</v>
      </c>
      <c r="Y783" s="439"/>
      <c r="Z783" s="439"/>
      <c r="AA783" s="439"/>
    </row>
    <row r="784" spans="1:27" ht="15" customHeight="1">
      <c r="A784" s="63">
        <f t="shared" si="74"/>
        <v>781</v>
      </c>
      <c r="B784" s="63" t="s">
        <v>1308</v>
      </c>
      <c r="C784" s="63"/>
      <c r="D784" s="63"/>
      <c r="E784" s="64"/>
      <c r="F784" s="65"/>
      <c r="G784" s="389" t="e">
        <f t="shared" si="73"/>
        <v>#N/A</v>
      </c>
      <c r="H784" s="389" t="e">
        <f t="shared" si="73"/>
        <v>#N/A</v>
      </c>
      <c r="I784" s="389" t="e">
        <f t="shared" si="73"/>
        <v>#N/A</v>
      </c>
      <c r="J784" s="389" t="e">
        <f t="shared" si="73"/>
        <v>#N/A</v>
      </c>
      <c r="K784" s="389" t="e">
        <f t="shared" si="73"/>
        <v>#N/A</v>
      </c>
      <c r="L784" s="720">
        <v>0.06</v>
      </c>
      <c r="M784" s="63"/>
      <c r="N784" s="440"/>
      <c r="O784" s="390"/>
      <c r="P784" s="390">
        <v>0</v>
      </c>
      <c r="Q784" s="390">
        <v>0</v>
      </c>
      <c r="R784" s="390">
        <v>0</v>
      </c>
      <c r="S784" s="63" t="s">
        <v>476</v>
      </c>
      <c r="T784" s="63"/>
      <c r="U784" s="1039"/>
      <c r="V784" s="1039"/>
      <c r="W784" s="1039"/>
      <c r="X784" s="64" t="s">
        <v>2364</v>
      </c>
      <c r="Y784" s="439"/>
      <c r="Z784" s="439"/>
      <c r="AA784" s="439"/>
    </row>
    <row r="785" spans="1:27" ht="15" customHeight="1">
      <c r="A785" s="63">
        <f t="shared" si="74"/>
        <v>782</v>
      </c>
      <c r="B785" s="63" t="s">
        <v>1308</v>
      </c>
      <c r="C785" s="63"/>
      <c r="D785" s="63"/>
      <c r="E785" s="64"/>
      <c r="F785" s="65"/>
      <c r="G785" s="389" t="e">
        <f t="shared" si="73"/>
        <v>#N/A</v>
      </c>
      <c r="H785" s="389" t="e">
        <f t="shared" si="73"/>
        <v>#N/A</v>
      </c>
      <c r="I785" s="389" t="e">
        <f t="shared" si="73"/>
        <v>#N/A</v>
      </c>
      <c r="J785" s="389" t="e">
        <f t="shared" si="73"/>
        <v>#N/A</v>
      </c>
      <c r="K785" s="389" t="e">
        <f t="shared" si="73"/>
        <v>#N/A</v>
      </c>
      <c r="L785" s="720">
        <v>0.06</v>
      </c>
      <c r="M785" s="63"/>
      <c r="N785" s="440"/>
      <c r="O785" s="390"/>
      <c r="P785" s="390">
        <v>0</v>
      </c>
      <c r="Q785" s="390">
        <v>0</v>
      </c>
      <c r="R785" s="390">
        <v>0</v>
      </c>
      <c r="S785" s="63" t="s">
        <v>476</v>
      </c>
      <c r="T785" s="63"/>
      <c r="U785" s="1039"/>
      <c r="V785" s="1039"/>
      <c r="W785" s="1039"/>
      <c r="X785" s="64" t="s">
        <v>2364</v>
      </c>
      <c r="Y785" s="439"/>
      <c r="Z785" s="439"/>
      <c r="AA785" s="439"/>
    </row>
    <row r="786" spans="1:27" ht="15" customHeight="1">
      <c r="A786" s="63">
        <f t="shared" si="74"/>
        <v>783</v>
      </c>
      <c r="B786" s="63" t="s">
        <v>1308</v>
      </c>
      <c r="C786" s="63"/>
      <c r="D786" s="63"/>
      <c r="E786" s="64"/>
      <c r="F786" s="65"/>
      <c r="G786" s="389" t="e">
        <f t="shared" si="73"/>
        <v>#N/A</v>
      </c>
      <c r="H786" s="389" t="e">
        <f t="shared" si="73"/>
        <v>#N/A</v>
      </c>
      <c r="I786" s="389" t="e">
        <f t="shared" si="73"/>
        <v>#N/A</v>
      </c>
      <c r="J786" s="389" t="e">
        <f t="shared" si="73"/>
        <v>#N/A</v>
      </c>
      <c r="K786" s="389" t="e">
        <f t="shared" si="73"/>
        <v>#N/A</v>
      </c>
      <c r="L786" s="720">
        <v>0.06</v>
      </c>
      <c r="M786" s="63"/>
      <c r="N786" s="440"/>
      <c r="O786" s="390"/>
      <c r="P786" s="390">
        <v>0</v>
      </c>
      <c r="Q786" s="390">
        <v>0</v>
      </c>
      <c r="R786" s="390">
        <v>0</v>
      </c>
      <c r="S786" s="63" t="s">
        <v>476</v>
      </c>
      <c r="T786" s="63"/>
      <c r="U786" s="1039"/>
      <c r="V786" s="1039"/>
      <c r="W786" s="1039"/>
      <c r="X786" s="64" t="s">
        <v>2364</v>
      </c>
      <c r="Y786" s="439"/>
      <c r="Z786" s="439"/>
      <c r="AA786" s="439"/>
    </row>
    <row r="787" spans="1:27" ht="15" customHeight="1">
      <c r="A787" s="63">
        <f t="shared" si="74"/>
        <v>784</v>
      </c>
      <c r="B787" s="63" t="s">
        <v>1308</v>
      </c>
      <c r="C787" s="63" t="s">
        <v>2084</v>
      </c>
      <c r="D787" s="1234" t="s">
        <v>1430</v>
      </c>
      <c r="E787" s="1235">
        <v>6749</v>
      </c>
      <c r="F787" s="65" t="s">
        <v>2085</v>
      </c>
      <c r="G787" s="389">
        <f t="shared" si="73"/>
        <v>0.57999999999999996</v>
      </c>
      <c r="H787" s="389">
        <f t="shared" si="73"/>
        <v>0.5</v>
      </c>
      <c r="I787" s="389">
        <f t="shared" si="73"/>
        <v>0.41</v>
      </c>
      <c r="J787" s="389">
        <f t="shared" si="73"/>
        <v>0.32999999999999996</v>
      </c>
      <c r="K787" s="389">
        <f t="shared" si="73"/>
        <v>0.26999999999999996</v>
      </c>
      <c r="L787" s="720">
        <v>0.06</v>
      </c>
      <c r="M787" s="63" t="s">
        <v>3173</v>
      </c>
      <c r="N787" s="440">
        <v>4.4999999999999998E-2</v>
      </c>
      <c r="O787" s="390">
        <v>6.0000000000000001E-3</v>
      </c>
      <c r="P787" s="390">
        <v>0</v>
      </c>
      <c r="Q787" s="390">
        <v>0</v>
      </c>
      <c r="R787" s="390">
        <v>0</v>
      </c>
      <c r="S787" s="63" t="s">
        <v>476</v>
      </c>
      <c r="T787" s="63"/>
      <c r="U787" s="1039"/>
      <c r="V787" s="1039"/>
      <c r="W787" s="1039"/>
      <c r="X787" s="64" t="s">
        <v>2364</v>
      </c>
      <c r="Y787" s="439"/>
      <c r="Z787" s="439"/>
      <c r="AA787" s="439"/>
    </row>
    <row r="788" spans="1:27" ht="15" customHeight="1">
      <c r="A788" s="63">
        <f t="shared" si="74"/>
        <v>785</v>
      </c>
      <c r="B788" s="63" t="s">
        <v>1308</v>
      </c>
      <c r="C788" s="63" t="s">
        <v>2084</v>
      </c>
      <c r="D788" s="1234" t="s">
        <v>2086</v>
      </c>
      <c r="E788" s="1235">
        <v>6749</v>
      </c>
      <c r="F788" s="65" t="s">
        <v>1873</v>
      </c>
      <c r="G788" s="389">
        <f t="shared" si="73"/>
        <v>0.57999999999999996</v>
      </c>
      <c r="H788" s="389">
        <f t="shared" si="73"/>
        <v>0.5</v>
      </c>
      <c r="I788" s="389">
        <f t="shared" si="73"/>
        <v>0.41</v>
      </c>
      <c r="J788" s="389">
        <f t="shared" si="73"/>
        <v>0.32999999999999996</v>
      </c>
      <c r="K788" s="389">
        <f t="shared" si="73"/>
        <v>0.26999999999999996</v>
      </c>
      <c r="L788" s="720">
        <v>0.06</v>
      </c>
      <c r="M788" s="63" t="s">
        <v>3173</v>
      </c>
      <c r="N788" s="440">
        <v>4.4999999999999998E-2</v>
      </c>
      <c r="O788" s="390">
        <v>6.0000000000000001E-3</v>
      </c>
      <c r="P788" s="390">
        <v>0</v>
      </c>
      <c r="Q788" s="390">
        <v>0</v>
      </c>
      <c r="R788" s="390">
        <v>0</v>
      </c>
      <c r="S788" s="63" t="s">
        <v>476</v>
      </c>
      <c r="T788" s="63"/>
      <c r="U788" s="1039"/>
      <c r="V788" s="1039"/>
      <c r="W788" s="1039"/>
      <c r="X788" s="64" t="s">
        <v>2364</v>
      </c>
      <c r="Y788" s="439"/>
      <c r="Z788" s="439"/>
      <c r="AA788" s="439"/>
    </row>
    <row r="789" spans="1:27" ht="15" customHeight="1">
      <c r="A789" s="63">
        <f t="shared" si="74"/>
        <v>786</v>
      </c>
      <c r="B789" s="63" t="s">
        <v>1308</v>
      </c>
      <c r="C789" s="63" t="s">
        <v>2084</v>
      </c>
      <c r="D789" s="1234" t="s">
        <v>1431</v>
      </c>
      <c r="E789" s="1235">
        <v>6749</v>
      </c>
      <c r="F789" s="65" t="s">
        <v>1873</v>
      </c>
      <c r="G789" s="389">
        <f t="shared" si="73"/>
        <v>0.57999999999999996</v>
      </c>
      <c r="H789" s="389">
        <f t="shared" si="73"/>
        <v>0.5</v>
      </c>
      <c r="I789" s="389">
        <f t="shared" si="73"/>
        <v>0.41</v>
      </c>
      <c r="J789" s="389">
        <f t="shared" si="73"/>
        <v>0.32999999999999996</v>
      </c>
      <c r="K789" s="389">
        <f t="shared" si="73"/>
        <v>0.26999999999999996</v>
      </c>
      <c r="L789" s="720">
        <v>0.06</v>
      </c>
      <c r="M789" s="63" t="s">
        <v>3173</v>
      </c>
      <c r="N789" s="440">
        <v>4.4999999999999998E-2</v>
      </c>
      <c r="O789" s="390">
        <v>6.0000000000000001E-3</v>
      </c>
      <c r="P789" s="390">
        <v>0</v>
      </c>
      <c r="Q789" s="390">
        <v>0</v>
      </c>
      <c r="R789" s="390">
        <v>0</v>
      </c>
      <c r="S789" s="63" t="s">
        <v>476</v>
      </c>
      <c r="T789" s="63"/>
      <c r="U789" s="1039"/>
      <c r="V789" s="1039"/>
      <c r="W789" s="1039"/>
      <c r="X789" s="64" t="s">
        <v>2364</v>
      </c>
      <c r="Y789" s="439"/>
      <c r="Z789" s="439"/>
      <c r="AA789" s="439"/>
    </row>
    <row r="790" spans="1:27" ht="15" customHeight="1">
      <c r="A790" s="63">
        <f t="shared" si="74"/>
        <v>787</v>
      </c>
      <c r="B790" s="63" t="s">
        <v>1308</v>
      </c>
      <c r="C790" s="63" t="s">
        <v>2084</v>
      </c>
      <c r="D790" s="63" t="s">
        <v>2087</v>
      </c>
      <c r="E790" s="64">
        <v>0</v>
      </c>
      <c r="F790" s="65" t="s">
        <v>2045</v>
      </c>
      <c r="G790" s="389">
        <f t="shared" si="73"/>
        <v>0.57999999999999996</v>
      </c>
      <c r="H790" s="389">
        <f t="shared" si="73"/>
        <v>0.5</v>
      </c>
      <c r="I790" s="389">
        <f t="shared" si="73"/>
        <v>0.41</v>
      </c>
      <c r="J790" s="389">
        <f t="shared" si="73"/>
        <v>0.32999999999999996</v>
      </c>
      <c r="K790" s="389">
        <f t="shared" si="73"/>
        <v>0.26999999999999996</v>
      </c>
      <c r="L790" s="720">
        <v>0.06</v>
      </c>
      <c r="M790" s="63" t="s">
        <v>3173</v>
      </c>
      <c r="N790" s="440">
        <v>4.4999999999999998E-2</v>
      </c>
      <c r="O790" s="390">
        <v>6.0000000000000001E-3</v>
      </c>
      <c r="P790" s="390">
        <v>0</v>
      </c>
      <c r="Q790" s="390">
        <v>0</v>
      </c>
      <c r="R790" s="390">
        <v>0</v>
      </c>
      <c r="S790" s="63" t="s">
        <v>476</v>
      </c>
      <c r="T790" s="63"/>
      <c r="U790" s="1039"/>
      <c r="V790" s="1039"/>
      <c r="W790" s="1039"/>
      <c r="X790" s="64" t="s">
        <v>2364</v>
      </c>
      <c r="Y790" s="439"/>
      <c r="Z790" s="439"/>
      <c r="AA790" s="439"/>
    </row>
    <row r="791" spans="1:27" ht="15" customHeight="1">
      <c r="A791" s="63">
        <f t="shared" si="74"/>
        <v>788</v>
      </c>
      <c r="B791" s="63" t="s">
        <v>1308</v>
      </c>
      <c r="C791" s="63" t="s">
        <v>2084</v>
      </c>
      <c r="D791" s="63" t="s">
        <v>2090</v>
      </c>
      <c r="E791" s="64">
        <v>6592</v>
      </c>
      <c r="F791" s="65" t="s">
        <v>619</v>
      </c>
      <c r="G791" s="389">
        <f t="shared" si="73"/>
        <v>0.57999999999999996</v>
      </c>
      <c r="H791" s="389">
        <f t="shared" si="73"/>
        <v>0.5</v>
      </c>
      <c r="I791" s="389">
        <f t="shared" si="73"/>
        <v>0.41</v>
      </c>
      <c r="J791" s="389">
        <f t="shared" si="73"/>
        <v>0.32999999999999996</v>
      </c>
      <c r="K791" s="389">
        <f t="shared" si="73"/>
        <v>0.26999999999999996</v>
      </c>
      <c r="L791" s="720">
        <v>0.06</v>
      </c>
      <c r="M791" s="63" t="s">
        <v>3173</v>
      </c>
      <c r="N791" s="440">
        <v>4.4999999999999998E-2</v>
      </c>
      <c r="O791" s="390">
        <v>6.0000000000000001E-3</v>
      </c>
      <c r="P791" s="390">
        <v>0</v>
      </c>
      <c r="Q791" s="390">
        <v>0</v>
      </c>
      <c r="R791" s="390">
        <v>0</v>
      </c>
      <c r="S791" s="63" t="s">
        <v>476</v>
      </c>
      <c r="T791" s="63"/>
      <c r="U791" s="1039"/>
      <c r="V791" s="1039"/>
      <c r="W791" s="1039"/>
      <c r="X791" s="64" t="s">
        <v>2364</v>
      </c>
      <c r="Y791" s="439"/>
      <c r="Z791" s="439"/>
      <c r="AA791" s="439"/>
    </row>
    <row r="792" spans="1:27" ht="15" customHeight="1">
      <c r="A792" s="63">
        <f t="shared" si="74"/>
        <v>789</v>
      </c>
      <c r="B792" s="63" t="s">
        <v>2332</v>
      </c>
      <c r="C792" s="63" t="s">
        <v>2084</v>
      </c>
      <c r="D792" s="63" t="s">
        <v>2088</v>
      </c>
      <c r="E792" s="64">
        <v>6592</v>
      </c>
      <c r="F792" s="65" t="s">
        <v>1873</v>
      </c>
      <c r="G792" s="389">
        <f t="shared" si="73"/>
        <v>0.57999999999999996</v>
      </c>
      <c r="H792" s="389">
        <f t="shared" si="73"/>
        <v>0.5</v>
      </c>
      <c r="I792" s="389">
        <f t="shared" si="73"/>
        <v>0.41</v>
      </c>
      <c r="J792" s="389">
        <f t="shared" si="73"/>
        <v>0.32999999999999996</v>
      </c>
      <c r="K792" s="389">
        <f t="shared" si="73"/>
        <v>0.26999999999999996</v>
      </c>
      <c r="L792" s="720">
        <v>0.06</v>
      </c>
      <c r="M792" s="63" t="s">
        <v>3173</v>
      </c>
      <c r="N792" s="440">
        <v>4.4999999999999998E-2</v>
      </c>
      <c r="O792" s="390">
        <v>6.0000000000000001E-3</v>
      </c>
      <c r="P792" s="390">
        <v>0</v>
      </c>
      <c r="Q792" s="390">
        <v>0</v>
      </c>
      <c r="R792" s="390">
        <v>0</v>
      </c>
      <c r="S792" s="63" t="s">
        <v>476</v>
      </c>
      <c r="T792" s="63"/>
      <c r="U792" s="1039"/>
      <c r="V792" s="1039"/>
      <c r="W792" s="1039"/>
      <c r="X792" s="64" t="s">
        <v>2364</v>
      </c>
      <c r="Y792" s="439"/>
      <c r="Z792" s="439"/>
      <c r="AA792" s="439"/>
    </row>
    <row r="793" spans="1:27" ht="15" customHeight="1">
      <c r="A793" s="63">
        <f t="shared" si="74"/>
        <v>790</v>
      </c>
      <c r="B793" s="63" t="s">
        <v>1308</v>
      </c>
      <c r="C793" s="63" t="s">
        <v>2084</v>
      </c>
      <c r="D793" s="1234" t="s">
        <v>2089</v>
      </c>
      <c r="E793" s="64">
        <v>6749</v>
      </c>
      <c r="F793" s="65" t="s">
        <v>1873</v>
      </c>
      <c r="G793" s="389">
        <f t="shared" si="73"/>
        <v>0.57999999999999996</v>
      </c>
      <c r="H793" s="389">
        <f t="shared" si="73"/>
        <v>0.5</v>
      </c>
      <c r="I793" s="389">
        <f t="shared" si="73"/>
        <v>0.41</v>
      </c>
      <c r="J793" s="389">
        <f t="shared" si="73"/>
        <v>0.32999999999999996</v>
      </c>
      <c r="K793" s="389">
        <f t="shared" si="73"/>
        <v>0.26999999999999996</v>
      </c>
      <c r="L793" s="720">
        <v>0.06</v>
      </c>
      <c r="M793" s="63" t="s">
        <v>3173</v>
      </c>
      <c r="N793" s="440">
        <v>4.4999999999999998E-2</v>
      </c>
      <c r="O793" s="390">
        <v>6.0000000000000001E-3</v>
      </c>
      <c r="P793" s="390">
        <v>0</v>
      </c>
      <c r="Q793" s="390">
        <v>0</v>
      </c>
      <c r="R793" s="390">
        <v>0</v>
      </c>
      <c r="S793" s="63" t="s">
        <v>476</v>
      </c>
      <c r="T793" s="63"/>
      <c r="U793" s="1039"/>
      <c r="V793" s="1039"/>
      <c r="W793" s="1039"/>
      <c r="X793" s="64" t="s">
        <v>2364</v>
      </c>
      <c r="Y793" s="439"/>
      <c r="Z793" s="439"/>
      <c r="AA793" s="439"/>
    </row>
    <row r="794" spans="1:27" ht="15" customHeight="1">
      <c r="A794" s="63">
        <f t="shared" si="74"/>
        <v>791</v>
      </c>
      <c r="B794" s="63" t="s">
        <v>1308</v>
      </c>
      <c r="C794" s="63" t="s">
        <v>2436</v>
      </c>
      <c r="D794" s="1234" t="s">
        <v>2091</v>
      </c>
      <c r="E794" s="64">
        <v>6749</v>
      </c>
      <c r="F794" s="65" t="s">
        <v>1873</v>
      </c>
      <c r="G794" s="389">
        <f t="shared" si="73"/>
        <v>0.57999999999999996</v>
      </c>
      <c r="H794" s="389">
        <f t="shared" si="73"/>
        <v>0.5</v>
      </c>
      <c r="I794" s="389">
        <f t="shared" si="73"/>
        <v>0.41</v>
      </c>
      <c r="J794" s="389">
        <f t="shared" si="73"/>
        <v>0.32999999999999996</v>
      </c>
      <c r="K794" s="389">
        <f t="shared" si="73"/>
        <v>0.26999999999999996</v>
      </c>
      <c r="L794" s="720">
        <v>0.06</v>
      </c>
      <c r="M794" s="63" t="s">
        <v>3173</v>
      </c>
      <c r="N794" s="440">
        <v>4.4999999999999998E-2</v>
      </c>
      <c r="O794" s="390">
        <v>6.0000000000000001E-3</v>
      </c>
      <c r="P794" s="390">
        <v>0</v>
      </c>
      <c r="Q794" s="390">
        <v>0</v>
      </c>
      <c r="R794" s="390">
        <v>0</v>
      </c>
      <c r="S794" s="63" t="s">
        <v>476</v>
      </c>
      <c r="T794" s="63"/>
      <c r="U794" s="1039"/>
      <c r="V794" s="1039"/>
      <c r="W794" s="1039"/>
      <c r="X794" s="64" t="s">
        <v>2364</v>
      </c>
      <c r="Y794" s="439"/>
      <c r="Z794" s="439"/>
      <c r="AA794" s="439"/>
    </row>
    <row r="795" spans="1:27" ht="15" customHeight="1">
      <c r="A795" s="63">
        <f t="shared" si="74"/>
        <v>792</v>
      </c>
      <c r="B795" s="63" t="s">
        <v>1308</v>
      </c>
      <c r="C795" s="63" t="s">
        <v>2084</v>
      </c>
      <c r="D795" s="1234" t="s">
        <v>2092</v>
      </c>
      <c r="E795" s="64">
        <v>6749</v>
      </c>
      <c r="F795" s="65" t="s">
        <v>1873</v>
      </c>
      <c r="G795" s="389">
        <f t="shared" si="73"/>
        <v>0.57999999999999996</v>
      </c>
      <c r="H795" s="389">
        <f t="shared" si="73"/>
        <v>0.5</v>
      </c>
      <c r="I795" s="389">
        <f t="shared" si="73"/>
        <v>0.41</v>
      </c>
      <c r="J795" s="389">
        <f t="shared" si="73"/>
        <v>0.32999999999999996</v>
      </c>
      <c r="K795" s="389">
        <f t="shared" si="73"/>
        <v>0.26999999999999996</v>
      </c>
      <c r="L795" s="720">
        <v>0.06</v>
      </c>
      <c r="M795" s="63" t="s">
        <v>3173</v>
      </c>
      <c r="N795" s="440">
        <v>4.4999999999999998E-2</v>
      </c>
      <c r="O795" s="390">
        <v>6.0000000000000001E-3</v>
      </c>
      <c r="P795" s="390">
        <v>0</v>
      </c>
      <c r="Q795" s="390">
        <v>0</v>
      </c>
      <c r="R795" s="390">
        <v>0</v>
      </c>
      <c r="S795" s="63" t="s">
        <v>476</v>
      </c>
      <c r="T795" s="63"/>
      <c r="U795" s="1039"/>
      <c r="V795" s="1039"/>
      <c r="W795" s="1039"/>
      <c r="X795" s="64" t="s">
        <v>2364</v>
      </c>
      <c r="Y795" s="439"/>
      <c r="Z795" s="439"/>
      <c r="AA795" s="439"/>
    </row>
    <row r="796" spans="1:27" ht="15" customHeight="1">
      <c r="A796" s="63">
        <f t="shared" si="74"/>
        <v>793</v>
      </c>
      <c r="B796" s="63" t="s">
        <v>1308</v>
      </c>
      <c r="C796" s="63"/>
      <c r="D796" s="63"/>
      <c r="E796" s="64"/>
      <c r="F796" s="65"/>
      <c r="G796" s="389" t="e">
        <f t="shared" ref="G796:K827" si="75">+INDEX($AW$4:$AW$138,MATCH(G$3&amp;$M796,$AT$4:$AT$138,0))</f>
        <v>#N/A</v>
      </c>
      <c r="H796" s="389" t="e">
        <f t="shared" si="75"/>
        <v>#N/A</v>
      </c>
      <c r="I796" s="389" t="e">
        <f t="shared" si="75"/>
        <v>#N/A</v>
      </c>
      <c r="J796" s="389" t="e">
        <f t="shared" si="75"/>
        <v>#N/A</v>
      </c>
      <c r="K796" s="389" t="e">
        <f t="shared" si="75"/>
        <v>#N/A</v>
      </c>
      <c r="L796" s="720"/>
      <c r="M796" s="63"/>
      <c r="N796" s="440"/>
      <c r="O796" s="390"/>
      <c r="P796" s="390">
        <v>0</v>
      </c>
      <c r="Q796" s="390">
        <v>0</v>
      </c>
      <c r="R796" s="390">
        <v>0</v>
      </c>
      <c r="S796" s="63" t="s">
        <v>476</v>
      </c>
      <c r="T796" s="63"/>
      <c r="U796" s="1039"/>
      <c r="V796" s="1039"/>
      <c r="W796" s="1039"/>
      <c r="X796" s="64" t="s">
        <v>2364</v>
      </c>
      <c r="Y796" s="439"/>
      <c r="Z796" s="439"/>
      <c r="AA796" s="439"/>
    </row>
    <row r="797" spans="1:27" ht="15" customHeight="1">
      <c r="A797" s="63">
        <f t="shared" si="74"/>
        <v>794</v>
      </c>
      <c r="B797" s="63" t="s">
        <v>1308</v>
      </c>
      <c r="C797" s="63"/>
      <c r="D797" s="63"/>
      <c r="E797" s="64"/>
      <c r="F797" s="65"/>
      <c r="G797" s="389" t="e">
        <f t="shared" si="75"/>
        <v>#N/A</v>
      </c>
      <c r="H797" s="389" t="e">
        <f t="shared" si="75"/>
        <v>#N/A</v>
      </c>
      <c r="I797" s="389" t="e">
        <f t="shared" si="75"/>
        <v>#N/A</v>
      </c>
      <c r="J797" s="389" t="e">
        <f t="shared" si="75"/>
        <v>#N/A</v>
      </c>
      <c r="K797" s="389" t="e">
        <f t="shared" si="75"/>
        <v>#N/A</v>
      </c>
      <c r="L797" s="720"/>
      <c r="M797" s="63"/>
      <c r="N797" s="440"/>
      <c r="O797" s="390"/>
      <c r="P797" s="390">
        <v>0</v>
      </c>
      <c r="Q797" s="390">
        <v>0</v>
      </c>
      <c r="R797" s="390">
        <v>0</v>
      </c>
      <c r="S797" s="63" t="s">
        <v>476</v>
      </c>
      <c r="T797" s="63"/>
      <c r="U797" s="1039"/>
      <c r="V797" s="1039"/>
      <c r="W797" s="1039"/>
      <c r="X797" s="64" t="s">
        <v>2364</v>
      </c>
      <c r="Y797" s="439"/>
      <c r="Z797" s="439"/>
      <c r="AA797" s="439"/>
    </row>
    <row r="798" spans="1:27" ht="15" customHeight="1">
      <c r="A798" s="63">
        <f t="shared" si="74"/>
        <v>795</v>
      </c>
      <c r="B798" s="63" t="s">
        <v>1308</v>
      </c>
      <c r="C798" s="63" t="s">
        <v>2095</v>
      </c>
      <c r="D798" s="63" t="s">
        <v>2093</v>
      </c>
      <c r="E798" s="64">
        <v>3996</v>
      </c>
      <c r="F798" s="65" t="s">
        <v>2094</v>
      </c>
      <c r="G798" s="389">
        <f t="shared" si="75"/>
        <v>0.57999999999999996</v>
      </c>
      <c r="H798" s="389">
        <f t="shared" si="75"/>
        <v>0.5</v>
      </c>
      <c r="I798" s="389">
        <f t="shared" si="75"/>
        <v>0.41</v>
      </c>
      <c r="J798" s="389">
        <f t="shared" si="75"/>
        <v>0.32999999999999996</v>
      </c>
      <c r="K798" s="389">
        <f t="shared" si="75"/>
        <v>0.26999999999999996</v>
      </c>
      <c r="L798" s="720">
        <v>0.06</v>
      </c>
      <c r="M798" s="63" t="s">
        <v>3215</v>
      </c>
      <c r="N798" s="440">
        <v>4.4999999999999998E-2</v>
      </c>
      <c r="O798" s="390">
        <v>6.0000000000000001E-3</v>
      </c>
      <c r="P798" s="390">
        <v>0</v>
      </c>
      <c r="Q798" s="390">
        <v>0</v>
      </c>
      <c r="R798" s="390">
        <v>0</v>
      </c>
      <c r="S798" s="63" t="s">
        <v>476</v>
      </c>
      <c r="T798" s="63"/>
      <c r="U798" s="1039"/>
      <c r="V798" s="1039"/>
      <c r="W798" s="1039"/>
      <c r="X798" s="64" t="s">
        <v>2364</v>
      </c>
      <c r="Y798" s="439"/>
      <c r="Z798" s="439"/>
    </row>
    <row r="799" spans="1:27" ht="15" customHeight="1">
      <c r="A799" s="63">
        <f t="shared" si="74"/>
        <v>796</v>
      </c>
      <c r="B799" s="63" t="s">
        <v>1308</v>
      </c>
      <c r="C799" s="63" t="s">
        <v>2095</v>
      </c>
      <c r="D799" s="63" t="s">
        <v>2437</v>
      </c>
      <c r="E799" s="64">
        <v>3996</v>
      </c>
      <c r="F799" s="65" t="s">
        <v>619</v>
      </c>
      <c r="G799" s="389">
        <f t="shared" si="75"/>
        <v>0.57999999999999996</v>
      </c>
      <c r="H799" s="389">
        <f t="shared" si="75"/>
        <v>0.5</v>
      </c>
      <c r="I799" s="389">
        <f t="shared" si="75"/>
        <v>0.41</v>
      </c>
      <c r="J799" s="389">
        <f t="shared" si="75"/>
        <v>0.32999999999999996</v>
      </c>
      <c r="K799" s="389">
        <f t="shared" si="75"/>
        <v>0.26999999999999996</v>
      </c>
      <c r="L799" s="720">
        <v>0.06</v>
      </c>
      <c r="M799" s="63" t="s">
        <v>3215</v>
      </c>
      <c r="N799" s="440">
        <v>4.4999999999999998E-2</v>
      </c>
      <c r="O799" s="390">
        <v>6.0000000000000001E-3</v>
      </c>
      <c r="P799" s="390">
        <v>0</v>
      </c>
      <c r="Q799" s="390">
        <v>0</v>
      </c>
      <c r="R799" s="390">
        <v>0</v>
      </c>
      <c r="S799" s="63" t="s">
        <v>476</v>
      </c>
      <c r="T799" s="63"/>
      <c r="U799" s="1039"/>
      <c r="V799" s="1039"/>
      <c r="W799" s="1039"/>
      <c r="X799" s="64" t="s">
        <v>2364</v>
      </c>
      <c r="Y799" s="439"/>
      <c r="Z799" s="439"/>
    </row>
    <row r="800" spans="1:27" ht="15" customHeight="1">
      <c r="A800" s="63">
        <f t="shared" si="74"/>
        <v>797</v>
      </c>
      <c r="B800" s="63" t="s">
        <v>2332</v>
      </c>
      <c r="C800" s="63" t="s">
        <v>2095</v>
      </c>
      <c r="D800" s="63" t="s">
        <v>1432</v>
      </c>
      <c r="E800" s="64">
        <v>3996</v>
      </c>
      <c r="F800" s="65" t="s">
        <v>620</v>
      </c>
      <c r="G800" s="389">
        <f t="shared" si="75"/>
        <v>0.57999999999999996</v>
      </c>
      <c r="H800" s="389">
        <f t="shared" si="75"/>
        <v>0.5</v>
      </c>
      <c r="I800" s="389">
        <f t="shared" si="75"/>
        <v>0.41</v>
      </c>
      <c r="J800" s="389">
        <f t="shared" si="75"/>
        <v>0.32999999999999996</v>
      </c>
      <c r="K800" s="389">
        <f t="shared" si="75"/>
        <v>0.26999999999999996</v>
      </c>
      <c r="L800" s="720">
        <v>0.06</v>
      </c>
      <c r="M800" s="63" t="s">
        <v>3215</v>
      </c>
      <c r="N800" s="440">
        <v>4.4999999999999998E-2</v>
      </c>
      <c r="O800" s="390">
        <v>6.0000000000000001E-3</v>
      </c>
      <c r="P800" s="390">
        <v>0</v>
      </c>
      <c r="Q800" s="390">
        <v>0</v>
      </c>
      <c r="R800" s="390">
        <v>0</v>
      </c>
      <c r="S800" s="63" t="s">
        <v>476</v>
      </c>
      <c r="T800" s="63"/>
      <c r="U800" s="1039"/>
      <c r="V800" s="1039"/>
      <c r="W800" s="1039"/>
      <c r="X800" s="64" t="s">
        <v>2364</v>
      </c>
      <c r="Y800" s="439"/>
      <c r="Z800" s="439"/>
    </row>
    <row r="801" spans="1:26" ht="15" customHeight="1">
      <c r="A801" s="63">
        <f t="shared" si="74"/>
        <v>798</v>
      </c>
      <c r="B801" s="63" t="s">
        <v>1308</v>
      </c>
      <c r="C801" s="63" t="s">
        <v>2095</v>
      </c>
      <c r="D801" s="63" t="s">
        <v>2097</v>
      </c>
      <c r="E801" s="64">
        <v>3996</v>
      </c>
      <c r="F801" s="65" t="s">
        <v>619</v>
      </c>
      <c r="G801" s="389">
        <f t="shared" si="75"/>
        <v>0.57999999999999996</v>
      </c>
      <c r="H801" s="389">
        <f t="shared" si="75"/>
        <v>0.5</v>
      </c>
      <c r="I801" s="389">
        <f t="shared" si="75"/>
        <v>0.41</v>
      </c>
      <c r="J801" s="389">
        <f t="shared" si="75"/>
        <v>0.32999999999999996</v>
      </c>
      <c r="K801" s="389">
        <f t="shared" si="75"/>
        <v>0.26999999999999996</v>
      </c>
      <c r="L801" s="720">
        <v>0.06</v>
      </c>
      <c r="M801" s="63" t="s">
        <v>3215</v>
      </c>
      <c r="N801" s="440">
        <v>4.4999999999999998E-2</v>
      </c>
      <c r="O801" s="390">
        <v>6.0000000000000001E-3</v>
      </c>
      <c r="P801" s="390">
        <v>0</v>
      </c>
      <c r="Q801" s="390">
        <v>0</v>
      </c>
      <c r="R801" s="390">
        <v>0</v>
      </c>
      <c r="S801" s="63" t="s">
        <v>476</v>
      </c>
      <c r="T801" s="63"/>
      <c r="U801" s="1039"/>
      <c r="V801" s="1039"/>
      <c r="W801" s="1039"/>
      <c r="X801" s="64" t="s">
        <v>2364</v>
      </c>
      <c r="Y801" s="439"/>
      <c r="Z801" s="439"/>
    </row>
    <row r="802" spans="1:26" ht="15" customHeight="1">
      <c r="A802" s="63">
        <f t="shared" si="74"/>
        <v>799</v>
      </c>
      <c r="B802" s="63" t="s">
        <v>1308</v>
      </c>
      <c r="C802" s="63" t="s">
        <v>2438</v>
      </c>
      <c r="D802" s="63" t="s">
        <v>2098</v>
      </c>
      <c r="E802" s="64">
        <v>6752</v>
      </c>
      <c r="F802" s="65" t="s">
        <v>2096</v>
      </c>
      <c r="G802" s="389">
        <f t="shared" si="75"/>
        <v>0.57999999999999996</v>
      </c>
      <c r="H802" s="389">
        <f t="shared" si="75"/>
        <v>0.5</v>
      </c>
      <c r="I802" s="389">
        <f t="shared" si="75"/>
        <v>0.41</v>
      </c>
      <c r="J802" s="389">
        <f t="shared" si="75"/>
        <v>0.32999999999999996</v>
      </c>
      <c r="K802" s="389">
        <f t="shared" si="75"/>
        <v>0.26999999999999996</v>
      </c>
      <c r="L802" s="720">
        <v>0.06</v>
      </c>
      <c r="M802" s="63" t="s">
        <v>3215</v>
      </c>
      <c r="N802" s="440">
        <v>4.4999999999999998E-2</v>
      </c>
      <c r="O802" s="390">
        <v>6.0000000000000001E-3</v>
      </c>
      <c r="P802" s="390">
        <v>0</v>
      </c>
      <c r="Q802" s="390">
        <v>0</v>
      </c>
      <c r="R802" s="390">
        <v>0</v>
      </c>
      <c r="S802" s="63" t="s">
        <v>476</v>
      </c>
      <c r="T802" s="63"/>
      <c r="U802" s="1039"/>
      <c r="V802" s="1039"/>
      <c r="W802" s="1039"/>
      <c r="X802" s="64" t="s">
        <v>2364</v>
      </c>
      <c r="Y802" s="439"/>
      <c r="Z802" s="439"/>
    </row>
    <row r="803" spans="1:26" ht="15" customHeight="1">
      <c r="A803" s="63">
        <f t="shared" si="74"/>
        <v>800</v>
      </c>
      <c r="B803" s="63" t="s">
        <v>1308</v>
      </c>
      <c r="C803" s="63"/>
      <c r="D803" s="63"/>
      <c r="E803" s="64"/>
      <c r="F803" s="65"/>
      <c r="G803" s="389" t="e">
        <f t="shared" si="75"/>
        <v>#N/A</v>
      </c>
      <c r="H803" s="389" t="e">
        <f t="shared" si="75"/>
        <v>#N/A</v>
      </c>
      <c r="I803" s="389" t="e">
        <f t="shared" si="75"/>
        <v>#N/A</v>
      </c>
      <c r="J803" s="389" t="e">
        <f t="shared" si="75"/>
        <v>#N/A</v>
      </c>
      <c r="K803" s="389" t="e">
        <f t="shared" si="75"/>
        <v>#N/A</v>
      </c>
      <c r="L803" s="720"/>
      <c r="M803" s="63"/>
      <c r="N803" s="440"/>
      <c r="O803" s="390"/>
      <c r="P803" s="390">
        <v>0</v>
      </c>
      <c r="Q803" s="390">
        <v>0</v>
      </c>
      <c r="R803" s="390">
        <v>0</v>
      </c>
      <c r="S803" s="63" t="s">
        <v>476</v>
      </c>
      <c r="T803" s="63"/>
      <c r="U803" s="1039"/>
      <c r="V803" s="1039"/>
      <c r="W803" s="1039"/>
      <c r="X803" s="64" t="s">
        <v>2364</v>
      </c>
      <c r="Y803" s="439"/>
      <c r="Z803" s="439"/>
    </row>
    <row r="804" spans="1:26" ht="15" customHeight="1">
      <c r="A804" s="63">
        <f t="shared" si="74"/>
        <v>801</v>
      </c>
      <c r="B804" s="63" t="s">
        <v>1308</v>
      </c>
      <c r="C804" s="63"/>
      <c r="D804" s="63"/>
      <c r="E804" s="64"/>
      <c r="F804" s="65"/>
      <c r="G804" s="389" t="e">
        <f t="shared" si="75"/>
        <v>#N/A</v>
      </c>
      <c r="H804" s="389" t="e">
        <f t="shared" si="75"/>
        <v>#N/A</v>
      </c>
      <c r="I804" s="389" t="e">
        <f t="shared" si="75"/>
        <v>#N/A</v>
      </c>
      <c r="J804" s="389" t="e">
        <f t="shared" si="75"/>
        <v>#N/A</v>
      </c>
      <c r="K804" s="389" t="e">
        <f t="shared" si="75"/>
        <v>#N/A</v>
      </c>
      <c r="L804" s="720"/>
      <c r="M804" s="63"/>
      <c r="N804" s="440"/>
      <c r="O804" s="390"/>
      <c r="P804" s="390">
        <v>0</v>
      </c>
      <c r="Q804" s="390">
        <v>0</v>
      </c>
      <c r="R804" s="390">
        <v>0</v>
      </c>
      <c r="S804" s="63" t="s">
        <v>476</v>
      </c>
      <c r="T804" s="63"/>
      <c r="U804" s="1039"/>
      <c r="V804" s="1039"/>
      <c r="W804" s="1039"/>
      <c r="X804" s="64" t="s">
        <v>2364</v>
      </c>
      <c r="Y804" s="439"/>
      <c r="Z804" s="439"/>
    </row>
    <row r="805" spans="1:26" ht="15" customHeight="1">
      <c r="A805" s="63">
        <f t="shared" si="74"/>
        <v>802</v>
      </c>
      <c r="B805" s="63" t="s">
        <v>1308</v>
      </c>
      <c r="C805" s="63"/>
      <c r="D805" s="63"/>
      <c r="E805" s="64"/>
      <c r="F805" s="65"/>
      <c r="G805" s="389" t="e">
        <f t="shared" si="75"/>
        <v>#N/A</v>
      </c>
      <c r="H805" s="389" t="e">
        <f t="shared" si="75"/>
        <v>#N/A</v>
      </c>
      <c r="I805" s="389" t="e">
        <f t="shared" si="75"/>
        <v>#N/A</v>
      </c>
      <c r="J805" s="389" t="e">
        <f t="shared" si="75"/>
        <v>#N/A</v>
      </c>
      <c r="K805" s="389" t="e">
        <f t="shared" si="75"/>
        <v>#N/A</v>
      </c>
      <c r="L805" s="720"/>
      <c r="M805" s="63"/>
      <c r="N805" s="440"/>
      <c r="O805" s="390"/>
      <c r="P805" s="390">
        <v>0</v>
      </c>
      <c r="Q805" s="390">
        <v>0</v>
      </c>
      <c r="R805" s="390">
        <v>0</v>
      </c>
      <c r="S805" s="63" t="s">
        <v>476</v>
      </c>
      <c r="T805" s="63"/>
      <c r="U805" s="1039"/>
      <c r="V805" s="1039"/>
      <c r="W805" s="1039"/>
      <c r="X805" s="64" t="s">
        <v>2364</v>
      </c>
      <c r="Y805" s="439"/>
      <c r="Z805" s="439"/>
    </row>
    <row r="806" spans="1:26" ht="15" customHeight="1">
      <c r="A806" s="63">
        <f t="shared" si="74"/>
        <v>803</v>
      </c>
      <c r="B806" s="63" t="s">
        <v>1308</v>
      </c>
      <c r="C806" s="63"/>
      <c r="D806" s="63"/>
      <c r="E806" s="64"/>
      <c r="F806" s="65"/>
      <c r="G806" s="389" t="e">
        <f t="shared" si="75"/>
        <v>#N/A</v>
      </c>
      <c r="H806" s="389" t="e">
        <f t="shared" si="75"/>
        <v>#N/A</v>
      </c>
      <c r="I806" s="389" t="e">
        <f t="shared" si="75"/>
        <v>#N/A</v>
      </c>
      <c r="J806" s="389" t="e">
        <f t="shared" si="75"/>
        <v>#N/A</v>
      </c>
      <c r="K806" s="389" t="e">
        <f t="shared" si="75"/>
        <v>#N/A</v>
      </c>
      <c r="L806" s="720"/>
      <c r="M806" s="63"/>
      <c r="N806" s="440"/>
      <c r="O806" s="390"/>
      <c r="P806" s="390">
        <v>0</v>
      </c>
      <c r="Q806" s="390">
        <v>0</v>
      </c>
      <c r="R806" s="390">
        <v>0</v>
      </c>
      <c r="S806" s="63" t="s">
        <v>476</v>
      </c>
      <c r="T806" s="63"/>
      <c r="U806" s="1039"/>
      <c r="V806" s="1039"/>
      <c r="W806" s="1039"/>
      <c r="X806" s="64" t="s">
        <v>2364</v>
      </c>
      <c r="Y806" s="439"/>
      <c r="Z806" s="439"/>
    </row>
    <row r="807" spans="1:26" ht="15" customHeight="1">
      <c r="A807" s="63">
        <f t="shared" si="74"/>
        <v>804</v>
      </c>
      <c r="B807" s="63" t="s">
        <v>1308</v>
      </c>
      <c r="C807" s="63" t="s">
        <v>175</v>
      </c>
      <c r="D807" s="63" t="s">
        <v>1433</v>
      </c>
      <c r="E807" s="64">
        <v>3855</v>
      </c>
      <c r="F807" s="65" t="s">
        <v>619</v>
      </c>
      <c r="G807" s="389">
        <f t="shared" si="75"/>
        <v>0.57999999999999996</v>
      </c>
      <c r="H807" s="389">
        <f t="shared" si="75"/>
        <v>0.5</v>
      </c>
      <c r="I807" s="389">
        <f t="shared" si="75"/>
        <v>0.41</v>
      </c>
      <c r="J807" s="389">
        <f t="shared" si="75"/>
        <v>0.32999999999999996</v>
      </c>
      <c r="K807" s="389">
        <f t="shared" si="75"/>
        <v>0.26999999999999996</v>
      </c>
      <c r="L807" s="720">
        <v>0.06</v>
      </c>
      <c r="M807" s="63" t="s">
        <v>3173</v>
      </c>
      <c r="N807" s="440">
        <v>4.4999999999999998E-2</v>
      </c>
      <c r="O807" s="390">
        <v>6.0000000000000001E-3</v>
      </c>
      <c r="P807" s="390">
        <v>0</v>
      </c>
      <c r="Q807" s="390">
        <v>0</v>
      </c>
      <c r="R807" s="390">
        <v>0</v>
      </c>
      <c r="S807" s="63" t="s">
        <v>476</v>
      </c>
      <c r="T807" s="63"/>
      <c r="U807" s="1039"/>
      <c r="V807" s="1039"/>
      <c r="W807" s="1039"/>
      <c r="X807" s="64" t="s">
        <v>2364</v>
      </c>
      <c r="Y807" s="439"/>
      <c r="Z807" s="439"/>
    </row>
    <row r="808" spans="1:26" ht="15" customHeight="1">
      <c r="A808" s="63">
        <f t="shared" si="74"/>
        <v>805</v>
      </c>
      <c r="B808" s="63" t="s">
        <v>1308</v>
      </c>
      <c r="C808" s="63" t="s">
        <v>175</v>
      </c>
      <c r="D808" s="63" t="s">
        <v>2316</v>
      </c>
      <c r="E808" s="64">
        <v>3902</v>
      </c>
      <c r="F808" s="65" t="s">
        <v>2099</v>
      </c>
      <c r="G808" s="389">
        <f t="shared" si="75"/>
        <v>0.57999999999999996</v>
      </c>
      <c r="H808" s="389">
        <f t="shared" si="75"/>
        <v>0.5</v>
      </c>
      <c r="I808" s="389">
        <f t="shared" si="75"/>
        <v>0.41</v>
      </c>
      <c r="J808" s="389">
        <f t="shared" si="75"/>
        <v>0.32999999999999996</v>
      </c>
      <c r="K808" s="389">
        <f t="shared" si="75"/>
        <v>0.26999999999999996</v>
      </c>
      <c r="L808" s="720">
        <v>0.06</v>
      </c>
      <c r="M808" s="63" t="s">
        <v>3173</v>
      </c>
      <c r="N808" s="440">
        <v>4.4999999999999998E-2</v>
      </c>
      <c r="O808" s="390">
        <v>6.0000000000000001E-3</v>
      </c>
      <c r="P808" s="390">
        <v>0</v>
      </c>
      <c r="Q808" s="390">
        <v>0</v>
      </c>
      <c r="R808" s="390">
        <v>0</v>
      </c>
      <c r="S808" s="63" t="s">
        <v>476</v>
      </c>
      <c r="T808" s="63"/>
      <c r="U808" s="1039"/>
      <c r="V808" s="1039"/>
      <c r="W808" s="1039"/>
      <c r="X808" s="64" t="s">
        <v>2364</v>
      </c>
      <c r="Y808" s="439"/>
      <c r="Z808" s="439"/>
    </row>
    <row r="809" spans="1:26" ht="15" customHeight="1">
      <c r="A809" s="63">
        <f t="shared" si="74"/>
        <v>806</v>
      </c>
      <c r="B809" s="63" t="s">
        <v>1308</v>
      </c>
      <c r="C809" s="63" t="s">
        <v>2439</v>
      </c>
      <c r="D809" s="63" t="s">
        <v>2106</v>
      </c>
      <c r="E809" s="64">
        <v>3902</v>
      </c>
      <c r="F809" s="65" t="s">
        <v>619</v>
      </c>
      <c r="G809" s="389">
        <f t="shared" si="75"/>
        <v>0.57999999999999996</v>
      </c>
      <c r="H809" s="389">
        <f t="shared" si="75"/>
        <v>0.5</v>
      </c>
      <c r="I809" s="389">
        <f t="shared" si="75"/>
        <v>0.41</v>
      </c>
      <c r="J809" s="389">
        <f t="shared" si="75"/>
        <v>0.32999999999999996</v>
      </c>
      <c r="K809" s="389">
        <f t="shared" si="75"/>
        <v>0.26999999999999996</v>
      </c>
      <c r="L809" s="720">
        <v>0.06</v>
      </c>
      <c r="M809" s="63" t="s">
        <v>3173</v>
      </c>
      <c r="N809" s="440">
        <v>4.4999999999999998E-2</v>
      </c>
      <c r="O809" s="390">
        <v>6.0000000000000001E-3</v>
      </c>
      <c r="P809" s="390">
        <v>0</v>
      </c>
      <c r="Q809" s="390">
        <v>0</v>
      </c>
      <c r="R809" s="390">
        <v>0</v>
      </c>
      <c r="S809" s="63" t="s">
        <v>476</v>
      </c>
      <c r="T809" s="63"/>
      <c r="U809" s="1039"/>
      <c r="V809" s="1039"/>
      <c r="W809" s="1039"/>
      <c r="X809" s="64" t="s">
        <v>2364</v>
      </c>
      <c r="Y809" s="439"/>
      <c r="Z809" s="439"/>
    </row>
    <row r="810" spans="1:26" ht="15" customHeight="1">
      <c r="A810" s="63">
        <f t="shared" si="74"/>
        <v>807</v>
      </c>
      <c r="B810" s="63" t="s">
        <v>1308</v>
      </c>
      <c r="C810" s="63" t="s">
        <v>175</v>
      </c>
      <c r="D810" s="63" t="s">
        <v>2100</v>
      </c>
      <c r="E810" s="64">
        <v>2992</v>
      </c>
      <c r="F810" s="65" t="s">
        <v>191</v>
      </c>
      <c r="G810" s="389">
        <f t="shared" si="75"/>
        <v>0.57999999999999996</v>
      </c>
      <c r="H810" s="389">
        <f t="shared" si="75"/>
        <v>0.5</v>
      </c>
      <c r="I810" s="389">
        <f t="shared" si="75"/>
        <v>0.41</v>
      </c>
      <c r="J810" s="389">
        <f t="shared" si="75"/>
        <v>0.32999999999999996</v>
      </c>
      <c r="K810" s="389">
        <f t="shared" si="75"/>
        <v>0.26999999999999996</v>
      </c>
      <c r="L810" s="720">
        <v>0.06</v>
      </c>
      <c r="M810" s="63" t="s">
        <v>3173</v>
      </c>
      <c r="N810" s="440">
        <v>4.4999999999999998E-2</v>
      </c>
      <c r="O810" s="390">
        <v>6.0000000000000001E-3</v>
      </c>
      <c r="P810" s="390">
        <v>0</v>
      </c>
      <c r="Q810" s="390">
        <v>0</v>
      </c>
      <c r="R810" s="390">
        <v>0</v>
      </c>
      <c r="S810" s="63" t="s">
        <v>476</v>
      </c>
      <c r="T810" s="63"/>
      <c r="U810" s="1039"/>
      <c r="V810" s="1039"/>
      <c r="W810" s="1039"/>
      <c r="X810" s="64" t="s">
        <v>2364</v>
      </c>
      <c r="Y810" s="439"/>
      <c r="Z810" s="439"/>
    </row>
    <row r="811" spans="1:26" ht="15" customHeight="1">
      <c r="A811" s="63">
        <f t="shared" si="74"/>
        <v>808</v>
      </c>
      <c r="B811" s="63" t="s">
        <v>1308</v>
      </c>
      <c r="C811" s="63" t="s">
        <v>175</v>
      </c>
      <c r="D811" s="63" t="s">
        <v>1434</v>
      </c>
      <c r="E811" s="64">
        <v>3902</v>
      </c>
      <c r="F811" s="65" t="s">
        <v>619</v>
      </c>
      <c r="G811" s="389">
        <f t="shared" si="75"/>
        <v>0.57999999999999996</v>
      </c>
      <c r="H811" s="389">
        <f t="shared" si="75"/>
        <v>0.5</v>
      </c>
      <c r="I811" s="389">
        <f t="shared" si="75"/>
        <v>0.41</v>
      </c>
      <c r="J811" s="389">
        <f t="shared" si="75"/>
        <v>0.32999999999999996</v>
      </c>
      <c r="K811" s="389">
        <f t="shared" si="75"/>
        <v>0.26999999999999996</v>
      </c>
      <c r="L811" s="720">
        <v>0.06</v>
      </c>
      <c r="M811" s="63" t="s">
        <v>3173</v>
      </c>
      <c r="N811" s="440">
        <v>4.4999999999999998E-2</v>
      </c>
      <c r="O811" s="390">
        <v>6.0000000000000001E-3</v>
      </c>
      <c r="P811" s="390">
        <v>0</v>
      </c>
      <c r="Q811" s="390">
        <v>0</v>
      </c>
      <c r="R811" s="390">
        <v>0</v>
      </c>
      <c r="S811" s="63" t="s">
        <v>476</v>
      </c>
      <c r="T811" s="63"/>
      <c r="U811" s="1039"/>
      <c r="V811" s="1039"/>
      <c r="W811" s="1039"/>
      <c r="X811" s="64" t="s">
        <v>2364</v>
      </c>
      <c r="Y811" s="439"/>
      <c r="Z811" s="439"/>
    </row>
    <row r="812" spans="1:26" ht="15" customHeight="1">
      <c r="A812" s="63">
        <f t="shared" si="74"/>
        <v>809</v>
      </c>
      <c r="B812" s="63" t="s">
        <v>1308</v>
      </c>
      <c r="C812" s="63" t="s">
        <v>2439</v>
      </c>
      <c r="D812" s="63" t="s">
        <v>1435</v>
      </c>
      <c r="E812" s="64">
        <v>6496</v>
      </c>
      <c r="F812" s="65" t="s">
        <v>619</v>
      </c>
      <c r="G812" s="389">
        <f t="shared" si="75"/>
        <v>0.57999999999999996</v>
      </c>
      <c r="H812" s="389">
        <f t="shared" si="75"/>
        <v>0.5</v>
      </c>
      <c r="I812" s="389">
        <f t="shared" si="75"/>
        <v>0.41</v>
      </c>
      <c r="J812" s="389">
        <f t="shared" si="75"/>
        <v>0.32999999999999996</v>
      </c>
      <c r="K812" s="389">
        <f t="shared" si="75"/>
        <v>0.26999999999999996</v>
      </c>
      <c r="L812" s="720">
        <v>0.06</v>
      </c>
      <c r="M812" s="63" t="s">
        <v>3173</v>
      </c>
      <c r="N812" s="440">
        <v>4.4999999999999998E-2</v>
      </c>
      <c r="O812" s="390">
        <v>6.0000000000000001E-3</v>
      </c>
      <c r="P812" s="390">
        <v>0</v>
      </c>
      <c r="Q812" s="390">
        <v>0</v>
      </c>
      <c r="R812" s="390">
        <v>0</v>
      </c>
      <c r="S812" s="63" t="s">
        <v>476</v>
      </c>
      <c r="T812" s="63"/>
      <c r="U812" s="1039"/>
      <c r="V812" s="1039"/>
      <c r="W812" s="1039"/>
      <c r="X812" s="64" t="s">
        <v>2364</v>
      </c>
      <c r="Y812" s="439"/>
      <c r="Z812" s="439"/>
    </row>
    <row r="813" spans="1:26" ht="15" customHeight="1">
      <c r="A813" s="63">
        <f t="shared" si="74"/>
        <v>810</v>
      </c>
      <c r="B813" s="63" t="s">
        <v>1308</v>
      </c>
      <c r="C813" s="63" t="s">
        <v>175</v>
      </c>
      <c r="D813" s="63" t="s">
        <v>2317</v>
      </c>
      <c r="E813" s="64">
        <v>6496</v>
      </c>
      <c r="F813" s="65" t="s">
        <v>2101</v>
      </c>
      <c r="G813" s="389">
        <f t="shared" si="75"/>
        <v>0.57999999999999996</v>
      </c>
      <c r="H813" s="389">
        <f t="shared" si="75"/>
        <v>0.5</v>
      </c>
      <c r="I813" s="389">
        <f t="shared" si="75"/>
        <v>0.41</v>
      </c>
      <c r="J813" s="389">
        <f t="shared" si="75"/>
        <v>0.32999999999999996</v>
      </c>
      <c r="K813" s="389">
        <f t="shared" si="75"/>
        <v>0.26999999999999996</v>
      </c>
      <c r="L813" s="720">
        <v>0.06</v>
      </c>
      <c r="M813" s="63" t="s">
        <v>3173</v>
      </c>
      <c r="N813" s="440">
        <v>4.4999999999999998E-2</v>
      </c>
      <c r="O813" s="390">
        <v>6.0000000000000001E-3</v>
      </c>
      <c r="P813" s="390">
        <v>0</v>
      </c>
      <c r="Q813" s="390">
        <v>0</v>
      </c>
      <c r="R813" s="390">
        <v>0</v>
      </c>
      <c r="S813" s="63" t="s">
        <v>476</v>
      </c>
      <c r="T813" s="63"/>
      <c r="U813" s="1039"/>
      <c r="V813" s="1039"/>
      <c r="W813" s="1039"/>
      <c r="X813" s="64" t="s">
        <v>2364</v>
      </c>
      <c r="Y813" s="439"/>
      <c r="Z813" s="439"/>
    </row>
    <row r="814" spans="1:26" ht="15" customHeight="1">
      <c r="A814" s="63">
        <f t="shared" si="74"/>
        <v>811</v>
      </c>
      <c r="B814" s="63" t="s">
        <v>1308</v>
      </c>
      <c r="C814" s="63" t="s">
        <v>175</v>
      </c>
      <c r="D814" s="63" t="s">
        <v>2102</v>
      </c>
      <c r="E814" s="64">
        <v>6262</v>
      </c>
      <c r="F814" s="65" t="s">
        <v>619</v>
      </c>
      <c r="G814" s="389">
        <f t="shared" si="75"/>
        <v>0.57999999999999996</v>
      </c>
      <c r="H814" s="389">
        <f t="shared" si="75"/>
        <v>0.5</v>
      </c>
      <c r="I814" s="389">
        <f t="shared" si="75"/>
        <v>0.41</v>
      </c>
      <c r="J814" s="389">
        <f t="shared" si="75"/>
        <v>0.32999999999999996</v>
      </c>
      <c r="K814" s="389">
        <f t="shared" si="75"/>
        <v>0.26999999999999996</v>
      </c>
      <c r="L814" s="720">
        <v>0.06</v>
      </c>
      <c r="M814" s="63" t="s">
        <v>3173</v>
      </c>
      <c r="N814" s="440">
        <v>4.4999999999999998E-2</v>
      </c>
      <c r="O814" s="390">
        <v>6.0000000000000001E-3</v>
      </c>
      <c r="P814" s="390">
        <v>0</v>
      </c>
      <c r="Q814" s="390">
        <v>0</v>
      </c>
      <c r="R814" s="390">
        <v>0</v>
      </c>
      <c r="S814" s="63" t="s">
        <v>476</v>
      </c>
      <c r="T814" s="63"/>
      <c r="U814" s="1039"/>
      <c r="V814" s="1039"/>
      <c r="W814" s="1039"/>
      <c r="X814" s="64" t="s">
        <v>2364</v>
      </c>
      <c r="Y814" s="439"/>
      <c r="Z814" s="439"/>
    </row>
    <row r="815" spans="1:26" ht="15" customHeight="1">
      <c r="A815" s="63">
        <f t="shared" si="74"/>
        <v>812</v>
      </c>
      <c r="B815" s="63" t="s">
        <v>1308</v>
      </c>
      <c r="C815" s="63" t="s">
        <v>175</v>
      </c>
      <c r="D815" s="63" t="s">
        <v>2107</v>
      </c>
      <c r="E815" s="64">
        <v>3902</v>
      </c>
      <c r="F815" s="65" t="s">
        <v>2103</v>
      </c>
      <c r="G815" s="389">
        <f t="shared" si="75"/>
        <v>0.57999999999999996</v>
      </c>
      <c r="H815" s="389">
        <f t="shared" si="75"/>
        <v>0.5</v>
      </c>
      <c r="I815" s="389">
        <f t="shared" si="75"/>
        <v>0.41</v>
      </c>
      <c r="J815" s="389">
        <f t="shared" si="75"/>
        <v>0.32999999999999996</v>
      </c>
      <c r="K815" s="389">
        <f t="shared" si="75"/>
        <v>0.26999999999999996</v>
      </c>
      <c r="L815" s="720">
        <v>0.06</v>
      </c>
      <c r="M815" s="63" t="s">
        <v>3173</v>
      </c>
      <c r="N815" s="440">
        <v>4.4999999999999998E-2</v>
      </c>
      <c r="O815" s="390">
        <v>6.0000000000000001E-3</v>
      </c>
      <c r="P815" s="390">
        <v>0</v>
      </c>
      <c r="Q815" s="390">
        <v>0</v>
      </c>
      <c r="R815" s="390">
        <v>0</v>
      </c>
      <c r="S815" s="63" t="s">
        <v>476</v>
      </c>
      <c r="T815" s="63"/>
      <c r="U815" s="1039"/>
      <c r="V815" s="1039"/>
      <c r="W815" s="1039"/>
      <c r="X815" s="64" t="s">
        <v>2364</v>
      </c>
      <c r="Y815" s="439"/>
      <c r="Z815" s="439"/>
    </row>
    <row r="816" spans="1:26" ht="15" customHeight="1">
      <c r="A816" s="63">
        <f t="shared" si="74"/>
        <v>813</v>
      </c>
      <c r="B816" s="63" t="s">
        <v>1308</v>
      </c>
      <c r="C816" s="63" t="s">
        <v>175</v>
      </c>
      <c r="D816" s="63" t="s">
        <v>2440</v>
      </c>
      <c r="E816" s="64">
        <v>3902</v>
      </c>
      <c r="F816" s="65" t="s">
        <v>2103</v>
      </c>
      <c r="G816" s="389">
        <f t="shared" si="75"/>
        <v>0.57999999999999996</v>
      </c>
      <c r="H816" s="389">
        <f t="shared" si="75"/>
        <v>0.5</v>
      </c>
      <c r="I816" s="389">
        <f t="shared" si="75"/>
        <v>0.41</v>
      </c>
      <c r="J816" s="389">
        <f t="shared" si="75"/>
        <v>0.32999999999999996</v>
      </c>
      <c r="K816" s="389">
        <f t="shared" si="75"/>
        <v>0.26999999999999996</v>
      </c>
      <c r="L816" s="720">
        <v>0.06</v>
      </c>
      <c r="M816" s="63" t="s">
        <v>3173</v>
      </c>
      <c r="N816" s="440">
        <v>4.4999999999999998E-2</v>
      </c>
      <c r="O816" s="390">
        <v>6.0000000000000001E-3</v>
      </c>
      <c r="P816" s="390">
        <v>0</v>
      </c>
      <c r="Q816" s="390">
        <v>0</v>
      </c>
      <c r="R816" s="390">
        <v>0</v>
      </c>
      <c r="S816" s="63" t="s">
        <v>476</v>
      </c>
      <c r="T816" s="63"/>
      <c r="U816" s="1039"/>
      <c r="V816" s="1039"/>
      <c r="W816" s="1039"/>
      <c r="X816" s="64" t="s">
        <v>2364</v>
      </c>
      <c r="Y816" s="439"/>
      <c r="Z816" s="439"/>
    </row>
    <row r="817" spans="1:26" ht="15" customHeight="1">
      <c r="A817" s="63">
        <f t="shared" si="74"/>
        <v>814</v>
      </c>
      <c r="B817" s="63" t="s">
        <v>1308</v>
      </c>
      <c r="C817" s="63" t="s">
        <v>175</v>
      </c>
      <c r="D817" s="63" t="s">
        <v>2104</v>
      </c>
      <c r="E817" s="64">
        <v>6262</v>
      </c>
      <c r="F817" s="65" t="s">
        <v>2103</v>
      </c>
      <c r="G817" s="389">
        <f t="shared" si="75"/>
        <v>0.57999999999999996</v>
      </c>
      <c r="H817" s="389">
        <f t="shared" si="75"/>
        <v>0.5</v>
      </c>
      <c r="I817" s="389">
        <f t="shared" si="75"/>
        <v>0.41</v>
      </c>
      <c r="J817" s="389">
        <f t="shared" si="75"/>
        <v>0.32999999999999996</v>
      </c>
      <c r="K817" s="389">
        <f t="shared" si="75"/>
        <v>0.26999999999999996</v>
      </c>
      <c r="L817" s="720">
        <v>0.06</v>
      </c>
      <c r="M817" s="63" t="s">
        <v>3173</v>
      </c>
      <c r="N817" s="440">
        <v>4.4999999999999998E-2</v>
      </c>
      <c r="O817" s="390">
        <v>6.0000000000000001E-3</v>
      </c>
      <c r="P817" s="390">
        <v>0</v>
      </c>
      <c r="Q817" s="390">
        <v>0</v>
      </c>
      <c r="R817" s="390">
        <v>0</v>
      </c>
      <c r="S817" s="63" t="s">
        <v>476</v>
      </c>
      <c r="T817" s="63"/>
      <c r="U817" s="1039"/>
      <c r="V817" s="1039"/>
      <c r="W817" s="1039"/>
      <c r="X817" s="64" t="s">
        <v>2364</v>
      </c>
      <c r="Y817" s="439"/>
      <c r="Z817" s="439"/>
    </row>
    <row r="818" spans="1:26" ht="15" customHeight="1">
      <c r="A818" s="63">
        <f t="shared" si="74"/>
        <v>815</v>
      </c>
      <c r="B818" s="63" t="s">
        <v>2332</v>
      </c>
      <c r="C818" s="63" t="s">
        <v>175</v>
      </c>
      <c r="D818" s="63" t="s">
        <v>2441</v>
      </c>
      <c r="E818" s="64">
        <v>3855</v>
      </c>
      <c r="F818" s="65" t="s">
        <v>619</v>
      </c>
      <c r="G818" s="389">
        <f t="shared" si="75"/>
        <v>0.57999999999999996</v>
      </c>
      <c r="H818" s="389">
        <f t="shared" si="75"/>
        <v>0.5</v>
      </c>
      <c r="I818" s="389">
        <f t="shared" si="75"/>
        <v>0.41</v>
      </c>
      <c r="J818" s="389">
        <f t="shared" si="75"/>
        <v>0.32999999999999996</v>
      </c>
      <c r="K818" s="389">
        <f t="shared" si="75"/>
        <v>0.26999999999999996</v>
      </c>
      <c r="L818" s="720">
        <v>0.06</v>
      </c>
      <c r="M818" s="63" t="s">
        <v>3173</v>
      </c>
      <c r="N818" s="440">
        <v>4.4999999999999998E-2</v>
      </c>
      <c r="O818" s="390">
        <v>6.0000000000000001E-3</v>
      </c>
      <c r="P818" s="390">
        <v>0</v>
      </c>
      <c r="Q818" s="390">
        <v>0</v>
      </c>
      <c r="R818" s="390">
        <v>0</v>
      </c>
      <c r="S818" s="63" t="s">
        <v>476</v>
      </c>
      <c r="T818" s="63"/>
      <c r="U818" s="1039"/>
      <c r="V818" s="1039"/>
      <c r="W818" s="1039"/>
      <c r="X818" s="64" t="s">
        <v>2364</v>
      </c>
      <c r="Y818" s="439"/>
      <c r="Z818" s="439"/>
    </row>
    <row r="819" spans="1:26" ht="15" customHeight="1">
      <c r="A819" s="63">
        <f t="shared" si="74"/>
        <v>816</v>
      </c>
      <c r="B819" s="63" t="s">
        <v>1308</v>
      </c>
      <c r="C819" s="63" t="s">
        <v>175</v>
      </c>
      <c r="D819" s="63" t="s">
        <v>2318</v>
      </c>
      <c r="E819" s="64">
        <v>3990</v>
      </c>
      <c r="F819" s="65" t="s">
        <v>191</v>
      </c>
      <c r="G819" s="389">
        <f t="shared" si="75"/>
        <v>0.57999999999999996</v>
      </c>
      <c r="H819" s="389">
        <f t="shared" si="75"/>
        <v>0.5</v>
      </c>
      <c r="I819" s="389">
        <f t="shared" si="75"/>
        <v>0.41</v>
      </c>
      <c r="J819" s="389">
        <f t="shared" si="75"/>
        <v>0.32999999999999996</v>
      </c>
      <c r="K819" s="389">
        <f t="shared" si="75"/>
        <v>0.26999999999999996</v>
      </c>
      <c r="L819" s="720">
        <v>0.06</v>
      </c>
      <c r="M819" s="63" t="s">
        <v>3173</v>
      </c>
      <c r="N819" s="440">
        <v>4.4999999999999998E-2</v>
      </c>
      <c r="O819" s="390">
        <v>6.0000000000000001E-3</v>
      </c>
      <c r="P819" s="390">
        <v>0</v>
      </c>
      <c r="Q819" s="390">
        <v>0</v>
      </c>
      <c r="R819" s="390">
        <v>0</v>
      </c>
      <c r="S819" s="63" t="s">
        <v>476</v>
      </c>
      <c r="T819" s="63"/>
      <c r="U819" s="1039"/>
      <c r="V819" s="1039"/>
      <c r="W819" s="1039"/>
      <c r="X819" s="64" t="s">
        <v>2364</v>
      </c>
      <c r="Y819" s="439"/>
      <c r="Z819" s="439"/>
    </row>
    <row r="820" spans="1:26" ht="15" customHeight="1">
      <c r="A820" s="63">
        <f t="shared" si="74"/>
        <v>817</v>
      </c>
      <c r="B820" s="63" t="s">
        <v>1308</v>
      </c>
      <c r="C820" s="63" t="s">
        <v>175</v>
      </c>
      <c r="D820" s="63" t="s">
        <v>2319</v>
      </c>
      <c r="E820" s="64">
        <v>3990</v>
      </c>
      <c r="F820" s="65" t="s">
        <v>191</v>
      </c>
      <c r="G820" s="389">
        <f t="shared" si="75"/>
        <v>0.57999999999999996</v>
      </c>
      <c r="H820" s="389">
        <f t="shared" si="75"/>
        <v>0.5</v>
      </c>
      <c r="I820" s="389">
        <f t="shared" si="75"/>
        <v>0.41</v>
      </c>
      <c r="J820" s="389">
        <f t="shared" si="75"/>
        <v>0.32999999999999996</v>
      </c>
      <c r="K820" s="389">
        <f t="shared" si="75"/>
        <v>0.26999999999999996</v>
      </c>
      <c r="L820" s="720">
        <v>0.06</v>
      </c>
      <c r="M820" s="63" t="s">
        <v>3173</v>
      </c>
      <c r="N820" s="440">
        <v>4.4999999999999998E-2</v>
      </c>
      <c r="O820" s="390">
        <v>6.0000000000000001E-3</v>
      </c>
      <c r="P820" s="390">
        <v>0</v>
      </c>
      <c r="Q820" s="390">
        <v>0</v>
      </c>
      <c r="R820" s="390">
        <v>0</v>
      </c>
      <c r="S820" s="63" t="s">
        <v>476</v>
      </c>
      <c r="T820" s="63"/>
      <c r="U820" s="1039"/>
      <c r="V820" s="1039"/>
      <c r="W820" s="1039"/>
      <c r="X820" s="64" t="s">
        <v>2364</v>
      </c>
      <c r="Y820" s="439"/>
      <c r="Z820" s="439"/>
    </row>
    <row r="821" spans="1:26" ht="15" customHeight="1">
      <c r="A821" s="63">
        <f t="shared" si="74"/>
        <v>818</v>
      </c>
      <c r="B821" s="63" t="s">
        <v>1308</v>
      </c>
      <c r="C821" s="63" t="s">
        <v>2439</v>
      </c>
      <c r="D821" s="63" t="s">
        <v>2105</v>
      </c>
      <c r="E821" s="64">
        <v>3855</v>
      </c>
      <c r="F821" s="65" t="s">
        <v>619</v>
      </c>
      <c r="G821" s="389">
        <f t="shared" si="75"/>
        <v>0.57999999999999996</v>
      </c>
      <c r="H821" s="389">
        <f t="shared" si="75"/>
        <v>0.5</v>
      </c>
      <c r="I821" s="389">
        <f t="shared" si="75"/>
        <v>0.41</v>
      </c>
      <c r="J821" s="389">
        <f t="shared" si="75"/>
        <v>0.32999999999999996</v>
      </c>
      <c r="K821" s="389">
        <f t="shared" si="75"/>
        <v>0.26999999999999996</v>
      </c>
      <c r="L821" s="720">
        <v>0.06</v>
      </c>
      <c r="M821" s="63" t="s">
        <v>3173</v>
      </c>
      <c r="N821" s="440">
        <v>4.4999999999999998E-2</v>
      </c>
      <c r="O821" s="390">
        <v>6.0000000000000001E-3</v>
      </c>
      <c r="P821" s="390">
        <v>0</v>
      </c>
      <c r="Q821" s="390">
        <v>0</v>
      </c>
      <c r="R821" s="390">
        <v>0</v>
      </c>
      <c r="S821" s="63" t="s">
        <v>476</v>
      </c>
      <c r="T821" s="63"/>
      <c r="U821" s="1039"/>
      <c r="V821" s="1039"/>
      <c r="W821" s="1039"/>
      <c r="X821" s="64" t="s">
        <v>2364</v>
      </c>
      <c r="Y821" s="439"/>
      <c r="Z821" s="439"/>
    </row>
    <row r="822" spans="1:26" ht="15" customHeight="1">
      <c r="A822" s="63">
        <f t="shared" si="74"/>
        <v>819</v>
      </c>
      <c r="B822" s="63" t="s">
        <v>1308</v>
      </c>
      <c r="C822" s="63" t="s">
        <v>175</v>
      </c>
      <c r="D822" s="63" t="s">
        <v>2320</v>
      </c>
      <c r="E822" s="64">
        <v>3902</v>
      </c>
      <c r="F822" s="65" t="s">
        <v>619</v>
      </c>
      <c r="G822" s="389">
        <f t="shared" si="75"/>
        <v>0.57999999999999996</v>
      </c>
      <c r="H822" s="389">
        <f t="shared" si="75"/>
        <v>0.5</v>
      </c>
      <c r="I822" s="389">
        <f t="shared" si="75"/>
        <v>0.41</v>
      </c>
      <c r="J822" s="389">
        <f t="shared" si="75"/>
        <v>0.32999999999999996</v>
      </c>
      <c r="K822" s="389">
        <f t="shared" si="75"/>
        <v>0.26999999999999996</v>
      </c>
      <c r="L822" s="720">
        <v>0.06</v>
      </c>
      <c r="M822" s="63" t="s">
        <v>3173</v>
      </c>
      <c r="N822" s="440">
        <v>4.4999999999999998E-2</v>
      </c>
      <c r="O822" s="390">
        <v>6.0000000000000001E-3</v>
      </c>
      <c r="P822" s="390">
        <v>0</v>
      </c>
      <c r="Q822" s="390">
        <v>0</v>
      </c>
      <c r="R822" s="390">
        <v>0</v>
      </c>
      <c r="S822" s="63" t="s">
        <v>476</v>
      </c>
      <c r="T822" s="63"/>
      <c r="U822" s="1039"/>
      <c r="V822" s="1039"/>
      <c r="W822" s="1039"/>
      <c r="X822" s="64" t="s">
        <v>2364</v>
      </c>
      <c r="Y822" s="439"/>
      <c r="Z822" s="439"/>
    </row>
    <row r="823" spans="1:26" ht="15" customHeight="1">
      <c r="A823" s="63">
        <f t="shared" si="74"/>
        <v>820</v>
      </c>
      <c r="B823" s="63" t="s">
        <v>1308</v>
      </c>
      <c r="C823" s="63"/>
      <c r="D823" s="63"/>
      <c r="E823" s="64"/>
      <c r="F823" s="65"/>
      <c r="G823" s="389" t="e">
        <f t="shared" si="75"/>
        <v>#N/A</v>
      </c>
      <c r="H823" s="389" t="e">
        <f t="shared" si="75"/>
        <v>#N/A</v>
      </c>
      <c r="I823" s="389" t="e">
        <f t="shared" si="75"/>
        <v>#N/A</v>
      </c>
      <c r="J823" s="389" t="e">
        <f t="shared" si="75"/>
        <v>#N/A</v>
      </c>
      <c r="K823" s="389" t="e">
        <f t="shared" si="75"/>
        <v>#N/A</v>
      </c>
      <c r="L823" s="720"/>
      <c r="M823" s="63"/>
      <c r="N823" s="440"/>
      <c r="O823" s="390"/>
      <c r="P823" s="390">
        <v>0</v>
      </c>
      <c r="Q823" s="390">
        <v>0</v>
      </c>
      <c r="R823" s="390">
        <v>0</v>
      </c>
      <c r="S823" s="63" t="s">
        <v>476</v>
      </c>
      <c r="T823" s="63"/>
      <c r="U823" s="1039"/>
      <c r="V823" s="1039"/>
      <c r="W823" s="1039"/>
      <c r="X823" s="64" t="s">
        <v>2364</v>
      </c>
      <c r="Y823" s="439"/>
      <c r="Z823" s="439"/>
    </row>
    <row r="824" spans="1:26" ht="15" customHeight="1">
      <c r="A824" s="63">
        <f t="shared" si="74"/>
        <v>821</v>
      </c>
      <c r="B824" s="63" t="s">
        <v>1308</v>
      </c>
      <c r="C824" s="63"/>
      <c r="D824" s="63"/>
      <c r="E824" s="64"/>
      <c r="F824" s="65"/>
      <c r="G824" s="389" t="e">
        <f t="shared" si="75"/>
        <v>#N/A</v>
      </c>
      <c r="H824" s="389" t="e">
        <f t="shared" si="75"/>
        <v>#N/A</v>
      </c>
      <c r="I824" s="389" t="e">
        <f t="shared" si="75"/>
        <v>#N/A</v>
      </c>
      <c r="J824" s="389" t="e">
        <f t="shared" si="75"/>
        <v>#N/A</v>
      </c>
      <c r="K824" s="389" t="e">
        <f t="shared" si="75"/>
        <v>#N/A</v>
      </c>
      <c r="L824" s="720"/>
      <c r="M824" s="63"/>
      <c r="N824" s="440"/>
      <c r="O824" s="390"/>
      <c r="P824" s="390">
        <v>0</v>
      </c>
      <c r="Q824" s="390">
        <v>0</v>
      </c>
      <c r="R824" s="390">
        <v>0</v>
      </c>
      <c r="S824" s="63" t="s">
        <v>476</v>
      </c>
      <c r="T824" s="63"/>
      <c r="U824" s="1039"/>
      <c r="V824" s="1039"/>
      <c r="W824" s="1039"/>
      <c r="X824" s="64" t="s">
        <v>2364</v>
      </c>
      <c r="Y824" s="439"/>
      <c r="Z824" s="439"/>
    </row>
    <row r="825" spans="1:26" ht="15" customHeight="1">
      <c r="A825" s="63">
        <f t="shared" si="74"/>
        <v>822</v>
      </c>
      <c r="B825" s="63" t="s">
        <v>1308</v>
      </c>
      <c r="C825" s="63"/>
      <c r="D825" s="63"/>
      <c r="E825" s="64"/>
      <c r="F825" s="65"/>
      <c r="G825" s="389" t="e">
        <f t="shared" si="75"/>
        <v>#N/A</v>
      </c>
      <c r="H825" s="389" t="e">
        <f t="shared" si="75"/>
        <v>#N/A</v>
      </c>
      <c r="I825" s="389" t="e">
        <f t="shared" si="75"/>
        <v>#N/A</v>
      </c>
      <c r="J825" s="389" t="e">
        <f t="shared" si="75"/>
        <v>#N/A</v>
      </c>
      <c r="K825" s="389" t="e">
        <f t="shared" si="75"/>
        <v>#N/A</v>
      </c>
      <c r="L825" s="720"/>
      <c r="M825" s="63"/>
      <c r="N825" s="440"/>
      <c r="O825" s="390"/>
      <c r="P825" s="390">
        <v>0</v>
      </c>
      <c r="Q825" s="390">
        <v>0</v>
      </c>
      <c r="R825" s="390">
        <v>0</v>
      </c>
      <c r="S825" s="63" t="s">
        <v>476</v>
      </c>
      <c r="T825" s="63"/>
      <c r="U825" s="1039"/>
      <c r="V825" s="1039"/>
      <c r="W825" s="1039"/>
      <c r="X825" s="64" t="s">
        <v>2364</v>
      </c>
      <c r="Y825" s="439"/>
      <c r="Z825" s="439"/>
    </row>
    <row r="826" spans="1:26" ht="15" customHeight="1">
      <c r="A826" s="63">
        <f t="shared" si="74"/>
        <v>823</v>
      </c>
      <c r="B826" s="63" t="s">
        <v>1308</v>
      </c>
      <c r="C826" s="63" t="s">
        <v>177</v>
      </c>
      <c r="D826" s="63" t="s">
        <v>2110</v>
      </c>
      <c r="E826" s="64">
        <v>3996</v>
      </c>
      <c r="F826" s="65" t="s">
        <v>189</v>
      </c>
      <c r="G826" s="389">
        <f t="shared" si="75"/>
        <v>0.64999999999999991</v>
      </c>
      <c r="H826" s="389">
        <f t="shared" si="75"/>
        <v>0.56999999999999995</v>
      </c>
      <c r="I826" s="389">
        <f t="shared" si="75"/>
        <v>0.47999999999999987</v>
      </c>
      <c r="J826" s="389">
        <f t="shared" si="75"/>
        <v>0.39999999999999997</v>
      </c>
      <c r="K826" s="389">
        <f t="shared" si="75"/>
        <v>0.33999999999999997</v>
      </c>
      <c r="L826" s="720">
        <v>0.06</v>
      </c>
      <c r="M826" s="63" t="s">
        <v>3200</v>
      </c>
      <c r="N826" s="440">
        <v>4.4999999999999998E-2</v>
      </c>
      <c r="O826" s="390">
        <v>6.0000000000000001E-3</v>
      </c>
      <c r="P826" s="390">
        <v>0</v>
      </c>
      <c r="Q826" s="390">
        <v>0</v>
      </c>
      <c r="R826" s="390">
        <v>0</v>
      </c>
      <c r="S826" s="63" t="s">
        <v>476</v>
      </c>
      <c r="T826" s="63"/>
      <c r="U826" s="1039"/>
      <c r="V826" s="1039"/>
      <c r="W826" s="1039"/>
      <c r="X826" s="64" t="s">
        <v>2364</v>
      </c>
      <c r="Y826" s="439"/>
      <c r="Z826" s="439"/>
    </row>
    <row r="827" spans="1:26" ht="15" customHeight="1">
      <c r="A827" s="63">
        <f t="shared" si="74"/>
        <v>824</v>
      </c>
      <c r="B827" s="63" t="s">
        <v>1308</v>
      </c>
      <c r="C827" s="63" t="s">
        <v>177</v>
      </c>
      <c r="D827" s="63" t="s">
        <v>2111</v>
      </c>
      <c r="E827" s="64">
        <v>3996</v>
      </c>
      <c r="F827" s="65" t="s">
        <v>189</v>
      </c>
      <c r="G827" s="389">
        <f t="shared" si="75"/>
        <v>0.64999999999999991</v>
      </c>
      <c r="H827" s="389">
        <f t="shared" si="75"/>
        <v>0.56999999999999995</v>
      </c>
      <c r="I827" s="389">
        <f t="shared" si="75"/>
        <v>0.47999999999999987</v>
      </c>
      <c r="J827" s="389">
        <f t="shared" si="75"/>
        <v>0.39999999999999997</v>
      </c>
      <c r="K827" s="389">
        <f t="shared" si="75"/>
        <v>0.33999999999999997</v>
      </c>
      <c r="L827" s="720">
        <v>0.06</v>
      </c>
      <c r="M827" s="63" t="s">
        <v>3200</v>
      </c>
      <c r="N827" s="440">
        <v>4.4999999999999998E-2</v>
      </c>
      <c r="O827" s="390">
        <v>6.0000000000000001E-3</v>
      </c>
      <c r="P827" s="390">
        <v>0</v>
      </c>
      <c r="Q827" s="390">
        <v>0</v>
      </c>
      <c r="R827" s="390">
        <v>0</v>
      </c>
      <c r="S827" s="63" t="s">
        <v>476</v>
      </c>
      <c r="T827" s="63"/>
      <c r="U827" s="1039"/>
      <c r="V827" s="1039"/>
      <c r="W827" s="1039"/>
      <c r="X827" s="64" t="s">
        <v>2364</v>
      </c>
      <c r="Y827" s="439"/>
      <c r="Z827" s="439"/>
    </row>
    <row r="828" spans="1:26" ht="15" customHeight="1">
      <c r="A828" s="63">
        <f t="shared" si="74"/>
        <v>825</v>
      </c>
      <c r="B828" s="63" t="s">
        <v>1308</v>
      </c>
      <c r="C828" s="63" t="s">
        <v>177</v>
      </c>
      <c r="D828" s="63" t="s">
        <v>2112</v>
      </c>
      <c r="E828" s="64">
        <v>6498</v>
      </c>
      <c r="F828" s="65" t="s">
        <v>144</v>
      </c>
      <c r="G828" s="389">
        <f t="shared" ref="G828:K863" si="76">+INDEX($AW$4:$AW$138,MATCH(G$3&amp;$M828,$AT$4:$AT$138,0))</f>
        <v>0.54</v>
      </c>
      <c r="H828" s="389">
        <f t="shared" si="76"/>
        <v>0.45999999999999996</v>
      </c>
      <c r="I828" s="389">
        <f t="shared" si="76"/>
        <v>0.37</v>
      </c>
      <c r="J828" s="389">
        <f t="shared" si="76"/>
        <v>0.28999999999999998</v>
      </c>
      <c r="K828" s="389">
        <f t="shared" si="76"/>
        <v>0.23</v>
      </c>
      <c r="L828" s="720">
        <v>0.06</v>
      </c>
      <c r="M828" s="63" t="s">
        <v>3178</v>
      </c>
      <c r="N828" s="440">
        <v>4.4999999999999998E-2</v>
      </c>
      <c r="O828" s="390">
        <v>6.0000000000000001E-3</v>
      </c>
      <c r="P828" s="390">
        <v>0</v>
      </c>
      <c r="Q828" s="390">
        <v>0</v>
      </c>
      <c r="R828" s="390">
        <v>0</v>
      </c>
      <c r="S828" s="63" t="s">
        <v>476</v>
      </c>
      <c r="T828" s="63"/>
      <c r="U828" s="1039"/>
      <c r="V828" s="1039"/>
      <c r="W828" s="1039"/>
      <c r="X828" s="64" t="s">
        <v>2364</v>
      </c>
      <c r="Y828" s="439"/>
      <c r="Z828" s="439"/>
    </row>
    <row r="829" spans="1:26" ht="15" customHeight="1">
      <c r="A829" s="63">
        <f t="shared" si="74"/>
        <v>826</v>
      </c>
      <c r="B829" s="63" t="s">
        <v>1308</v>
      </c>
      <c r="C829" s="63" t="s">
        <v>177</v>
      </c>
      <c r="D829" s="63" t="s">
        <v>2113</v>
      </c>
      <c r="E829" s="64">
        <v>6498</v>
      </c>
      <c r="F829" s="65" t="s">
        <v>144</v>
      </c>
      <c r="G829" s="389">
        <f t="shared" si="76"/>
        <v>0.54</v>
      </c>
      <c r="H829" s="389">
        <f t="shared" si="76"/>
        <v>0.45999999999999996</v>
      </c>
      <c r="I829" s="389">
        <f t="shared" si="76"/>
        <v>0.37</v>
      </c>
      <c r="J829" s="389">
        <f t="shared" si="76"/>
        <v>0.28999999999999998</v>
      </c>
      <c r="K829" s="389">
        <f t="shared" si="76"/>
        <v>0.23</v>
      </c>
      <c r="L829" s="720">
        <v>0.06</v>
      </c>
      <c r="M829" s="63" t="s">
        <v>3178</v>
      </c>
      <c r="N829" s="440">
        <v>4.4999999999999998E-2</v>
      </c>
      <c r="O829" s="390">
        <v>6.0000000000000001E-3</v>
      </c>
      <c r="P829" s="390">
        <v>0</v>
      </c>
      <c r="Q829" s="390">
        <v>0</v>
      </c>
      <c r="R829" s="390">
        <v>0</v>
      </c>
      <c r="S829" s="63" t="s">
        <v>476</v>
      </c>
      <c r="T829" s="63"/>
      <c r="U829" s="1039"/>
      <c r="V829" s="1039"/>
      <c r="W829" s="1039"/>
      <c r="X829" s="64" t="s">
        <v>2364</v>
      </c>
      <c r="Y829" s="439"/>
      <c r="Z829" s="439"/>
    </row>
    <row r="830" spans="1:26" ht="15" customHeight="1">
      <c r="A830" s="63">
        <f t="shared" si="74"/>
        <v>827</v>
      </c>
      <c r="B830" s="63" t="s">
        <v>1308</v>
      </c>
      <c r="C830" s="63" t="s">
        <v>2442</v>
      </c>
      <c r="D830" s="63" t="s">
        <v>2108</v>
      </c>
      <c r="E830" s="64">
        <v>6498</v>
      </c>
      <c r="F830" s="65" t="s">
        <v>144</v>
      </c>
      <c r="G830" s="389">
        <f t="shared" si="76"/>
        <v>0.54</v>
      </c>
      <c r="H830" s="389">
        <f t="shared" si="76"/>
        <v>0.45999999999999996</v>
      </c>
      <c r="I830" s="389">
        <f t="shared" si="76"/>
        <v>0.37</v>
      </c>
      <c r="J830" s="389">
        <f t="shared" si="76"/>
        <v>0.28999999999999998</v>
      </c>
      <c r="K830" s="389">
        <f t="shared" si="76"/>
        <v>0.23</v>
      </c>
      <c r="L830" s="720">
        <v>0.06</v>
      </c>
      <c r="M830" s="63" t="s">
        <v>3178</v>
      </c>
      <c r="N830" s="440">
        <v>4.4999999999999998E-2</v>
      </c>
      <c r="O830" s="390">
        <v>6.0000000000000001E-3</v>
      </c>
      <c r="P830" s="390">
        <v>0</v>
      </c>
      <c r="Q830" s="390">
        <v>0</v>
      </c>
      <c r="R830" s="390">
        <v>0</v>
      </c>
      <c r="S830" s="63" t="s">
        <v>476</v>
      </c>
      <c r="T830" s="63"/>
      <c r="U830" s="1039"/>
      <c r="V830" s="1039"/>
      <c r="W830" s="1039"/>
      <c r="X830" s="64" t="s">
        <v>2364</v>
      </c>
      <c r="Y830" s="439"/>
      <c r="Z830" s="439"/>
    </row>
    <row r="831" spans="1:26" ht="15" customHeight="1">
      <c r="A831" s="63">
        <f t="shared" si="74"/>
        <v>828</v>
      </c>
      <c r="B831" s="63" t="s">
        <v>1308</v>
      </c>
      <c r="C831" s="63" t="s">
        <v>177</v>
      </c>
      <c r="D831" s="63" t="s">
        <v>2114</v>
      </c>
      <c r="E831" s="64">
        <v>6498</v>
      </c>
      <c r="F831" s="65" t="s">
        <v>144</v>
      </c>
      <c r="G831" s="389">
        <f t="shared" si="76"/>
        <v>0.54</v>
      </c>
      <c r="H831" s="389">
        <f t="shared" si="76"/>
        <v>0.45999999999999996</v>
      </c>
      <c r="I831" s="389">
        <f t="shared" si="76"/>
        <v>0.37</v>
      </c>
      <c r="J831" s="389">
        <f t="shared" si="76"/>
        <v>0.28999999999999998</v>
      </c>
      <c r="K831" s="389">
        <f t="shared" si="76"/>
        <v>0.23</v>
      </c>
      <c r="L831" s="720">
        <v>0.06</v>
      </c>
      <c r="M831" s="63" t="s">
        <v>3178</v>
      </c>
      <c r="N831" s="440">
        <v>4.4999999999999998E-2</v>
      </c>
      <c r="O831" s="390">
        <v>6.0000000000000001E-3</v>
      </c>
      <c r="P831" s="390">
        <v>0</v>
      </c>
      <c r="Q831" s="390">
        <v>0</v>
      </c>
      <c r="R831" s="390">
        <v>0</v>
      </c>
      <c r="S831" s="63" t="s">
        <v>476</v>
      </c>
      <c r="T831" s="63"/>
      <c r="U831" s="1039"/>
      <c r="V831" s="1039"/>
      <c r="W831" s="1039"/>
      <c r="X831" s="64" t="s">
        <v>2364</v>
      </c>
      <c r="Y831" s="439"/>
      <c r="Z831" s="439"/>
    </row>
    <row r="832" spans="1:26" ht="15" customHeight="1">
      <c r="A832" s="63">
        <f t="shared" si="74"/>
        <v>829</v>
      </c>
      <c r="B832" s="63" t="s">
        <v>1308</v>
      </c>
      <c r="C832" s="63" t="s">
        <v>177</v>
      </c>
      <c r="D832" s="63" t="s">
        <v>2443</v>
      </c>
      <c r="E832" s="64">
        <v>5204</v>
      </c>
      <c r="F832" s="65" t="s">
        <v>144</v>
      </c>
      <c r="G832" s="389">
        <f t="shared" si="76"/>
        <v>0.54</v>
      </c>
      <c r="H832" s="389">
        <f t="shared" si="76"/>
        <v>0.45999999999999996</v>
      </c>
      <c r="I832" s="389">
        <f t="shared" si="76"/>
        <v>0.37</v>
      </c>
      <c r="J832" s="389">
        <f t="shared" si="76"/>
        <v>0.28999999999999998</v>
      </c>
      <c r="K832" s="389">
        <f t="shared" si="76"/>
        <v>0.23</v>
      </c>
      <c r="L832" s="720">
        <v>0.06</v>
      </c>
      <c r="M832" s="63" t="s">
        <v>3178</v>
      </c>
      <c r="N832" s="440">
        <v>4.4999999999999998E-2</v>
      </c>
      <c r="O832" s="390">
        <v>6.0000000000000001E-3</v>
      </c>
      <c r="P832" s="390">
        <v>0</v>
      </c>
      <c r="Q832" s="390">
        <v>0</v>
      </c>
      <c r="R832" s="390">
        <v>0</v>
      </c>
      <c r="S832" s="63" t="s">
        <v>476</v>
      </c>
      <c r="T832" s="63"/>
      <c r="U832" s="1039"/>
      <c r="V832" s="1039"/>
      <c r="W832" s="1039"/>
      <c r="X832" s="64" t="s">
        <v>2364</v>
      </c>
    </row>
    <row r="833" spans="1:24" ht="15" customHeight="1">
      <c r="A833" s="63">
        <f t="shared" si="74"/>
        <v>830</v>
      </c>
      <c r="B833" s="63" t="s">
        <v>1308</v>
      </c>
      <c r="C833" s="63" t="s">
        <v>177</v>
      </c>
      <c r="D833" s="63" t="s">
        <v>2109</v>
      </c>
      <c r="E833" s="64">
        <v>5204</v>
      </c>
      <c r="F833" s="65" t="s">
        <v>144</v>
      </c>
      <c r="G833" s="389">
        <f t="shared" si="76"/>
        <v>0.54</v>
      </c>
      <c r="H833" s="389">
        <f t="shared" si="76"/>
        <v>0.45999999999999996</v>
      </c>
      <c r="I833" s="389">
        <f t="shared" si="76"/>
        <v>0.37</v>
      </c>
      <c r="J833" s="389">
        <f t="shared" si="76"/>
        <v>0.28999999999999998</v>
      </c>
      <c r="K833" s="389">
        <f t="shared" si="76"/>
        <v>0.23</v>
      </c>
      <c r="L833" s="720">
        <v>0.06</v>
      </c>
      <c r="M833" s="63" t="s">
        <v>3178</v>
      </c>
      <c r="N833" s="440">
        <v>4.4999999999999998E-2</v>
      </c>
      <c r="O833" s="390">
        <v>6.0000000000000001E-3</v>
      </c>
      <c r="P833" s="390">
        <v>0</v>
      </c>
      <c r="Q833" s="390">
        <v>0</v>
      </c>
      <c r="R833" s="390">
        <v>0</v>
      </c>
      <c r="S833" s="63" t="s">
        <v>476</v>
      </c>
      <c r="T833" s="63"/>
      <c r="U833" s="1039"/>
      <c r="V833" s="1039"/>
      <c r="W833" s="1039"/>
      <c r="X833" s="64" t="s">
        <v>2364</v>
      </c>
    </row>
    <row r="834" spans="1:24" ht="15" customHeight="1">
      <c r="A834" s="63">
        <f t="shared" si="74"/>
        <v>831</v>
      </c>
      <c r="B834" s="63" t="s">
        <v>1308</v>
      </c>
      <c r="C834" s="63" t="s">
        <v>177</v>
      </c>
      <c r="D834" s="63" t="s">
        <v>2444</v>
      </c>
      <c r="E834" s="64">
        <v>5204</v>
      </c>
      <c r="F834" s="65" t="s">
        <v>144</v>
      </c>
      <c r="G834" s="389">
        <f t="shared" si="76"/>
        <v>0.54</v>
      </c>
      <c r="H834" s="389">
        <f t="shared" si="76"/>
        <v>0.45999999999999996</v>
      </c>
      <c r="I834" s="389">
        <f t="shared" si="76"/>
        <v>0.37</v>
      </c>
      <c r="J834" s="389">
        <f t="shared" si="76"/>
        <v>0.28999999999999998</v>
      </c>
      <c r="K834" s="389">
        <f t="shared" si="76"/>
        <v>0.23</v>
      </c>
      <c r="L834" s="720">
        <v>0.06</v>
      </c>
      <c r="M834" s="63" t="s">
        <v>3178</v>
      </c>
      <c r="N834" s="440">
        <v>4.4999999999999998E-2</v>
      </c>
      <c r="O834" s="390">
        <v>6.0000000000000001E-3</v>
      </c>
      <c r="P834" s="390">
        <v>0</v>
      </c>
      <c r="Q834" s="390">
        <v>0</v>
      </c>
      <c r="R834" s="390">
        <v>0</v>
      </c>
      <c r="S834" s="63" t="s">
        <v>476</v>
      </c>
      <c r="T834" s="63"/>
      <c r="U834" s="1039"/>
      <c r="V834" s="1039"/>
      <c r="W834" s="1039"/>
      <c r="X834" s="64" t="s">
        <v>2364</v>
      </c>
    </row>
    <row r="835" spans="1:24" ht="15" customHeight="1">
      <c r="A835" s="63">
        <f t="shared" si="74"/>
        <v>832</v>
      </c>
      <c r="B835" s="63" t="s">
        <v>1308</v>
      </c>
      <c r="C835" s="63" t="s">
        <v>177</v>
      </c>
      <c r="D835" s="63" t="s">
        <v>2115</v>
      </c>
      <c r="E835" s="64">
        <v>5204</v>
      </c>
      <c r="F835" s="65" t="s">
        <v>144</v>
      </c>
      <c r="G835" s="389">
        <f t="shared" si="76"/>
        <v>0.54</v>
      </c>
      <c r="H835" s="389">
        <f t="shared" si="76"/>
        <v>0.45999999999999996</v>
      </c>
      <c r="I835" s="389">
        <f t="shared" si="76"/>
        <v>0.37</v>
      </c>
      <c r="J835" s="389">
        <f t="shared" si="76"/>
        <v>0.28999999999999998</v>
      </c>
      <c r="K835" s="389">
        <f t="shared" si="76"/>
        <v>0.23</v>
      </c>
      <c r="L835" s="720">
        <v>0.06</v>
      </c>
      <c r="M835" s="63" t="s">
        <v>3178</v>
      </c>
      <c r="N835" s="440">
        <v>4.4999999999999998E-2</v>
      </c>
      <c r="O835" s="390">
        <v>6.0000000000000001E-3</v>
      </c>
      <c r="P835" s="390">
        <v>0</v>
      </c>
      <c r="Q835" s="390">
        <v>0</v>
      </c>
      <c r="R835" s="390">
        <v>0</v>
      </c>
      <c r="S835" s="63" t="s">
        <v>476</v>
      </c>
      <c r="T835" s="63"/>
      <c r="U835" s="1039"/>
      <c r="V835" s="1039"/>
      <c r="W835" s="1039"/>
      <c r="X835" s="64" t="s">
        <v>2364</v>
      </c>
    </row>
    <row r="836" spans="1:24" ht="15" customHeight="1">
      <c r="A836" s="63">
        <f t="shared" si="74"/>
        <v>833</v>
      </c>
      <c r="B836" s="63" t="s">
        <v>1308</v>
      </c>
      <c r="C836" s="63" t="s">
        <v>177</v>
      </c>
      <c r="D836" s="63" t="s">
        <v>1436</v>
      </c>
      <c r="E836" s="64">
        <v>5204</v>
      </c>
      <c r="F836" s="65" t="s">
        <v>144</v>
      </c>
      <c r="G836" s="389">
        <f t="shared" si="76"/>
        <v>0.54</v>
      </c>
      <c r="H836" s="389">
        <f t="shared" si="76"/>
        <v>0.45999999999999996</v>
      </c>
      <c r="I836" s="389">
        <f t="shared" si="76"/>
        <v>0.37</v>
      </c>
      <c r="J836" s="389">
        <f t="shared" si="76"/>
        <v>0.28999999999999998</v>
      </c>
      <c r="K836" s="389">
        <f t="shared" si="76"/>
        <v>0.23</v>
      </c>
      <c r="L836" s="720">
        <v>0.06</v>
      </c>
      <c r="M836" s="63" t="s">
        <v>3178</v>
      </c>
      <c r="N836" s="440">
        <v>4.4999999999999998E-2</v>
      </c>
      <c r="O836" s="390">
        <v>6.0000000000000001E-3</v>
      </c>
      <c r="P836" s="390">
        <v>0</v>
      </c>
      <c r="Q836" s="390">
        <v>0</v>
      </c>
      <c r="R836" s="390">
        <v>0</v>
      </c>
      <c r="S836" s="63" t="s">
        <v>476</v>
      </c>
      <c r="T836" s="63"/>
      <c r="U836" s="1039"/>
      <c r="V836" s="1039"/>
      <c r="W836" s="1039"/>
      <c r="X836" s="64" t="s">
        <v>2364</v>
      </c>
    </row>
    <row r="837" spans="1:24" ht="15" customHeight="1">
      <c r="A837" s="63">
        <f t="shared" si="74"/>
        <v>834</v>
      </c>
      <c r="B837" s="63" t="s">
        <v>2332</v>
      </c>
      <c r="C837" s="63"/>
      <c r="D837" s="63"/>
      <c r="E837" s="64"/>
      <c r="F837" s="65"/>
      <c r="G837" s="389" t="e">
        <f t="shared" si="76"/>
        <v>#N/A</v>
      </c>
      <c r="H837" s="389" t="e">
        <f t="shared" si="76"/>
        <v>#N/A</v>
      </c>
      <c r="I837" s="389" t="e">
        <f t="shared" si="76"/>
        <v>#N/A</v>
      </c>
      <c r="J837" s="389" t="e">
        <f t="shared" si="76"/>
        <v>#N/A</v>
      </c>
      <c r="K837" s="389" t="e">
        <f t="shared" si="76"/>
        <v>#N/A</v>
      </c>
      <c r="L837" s="720"/>
      <c r="M837" s="63"/>
      <c r="N837" s="440"/>
      <c r="O837" s="390"/>
      <c r="P837" s="390">
        <v>0</v>
      </c>
      <c r="Q837" s="390">
        <v>0</v>
      </c>
      <c r="R837" s="390">
        <v>0</v>
      </c>
      <c r="S837" s="63" t="s">
        <v>476</v>
      </c>
      <c r="T837" s="63"/>
      <c r="U837" s="1039"/>
      <c r="V837" s="1039"/>
      <c r="W837" s="1039"/>
      <c r="X837" s="64" t="s">
        <v>2364</v>
      </c>
    </row>
    <row r="838" spans="1:24" ht="15" customHeight="1">
      <c r="A838" s="63">
        <f t="shared" si="74"/>
        <v>835</v>
      </c>
      <c r="B838" s="63" t="s">
        <v>2332</v>
      </c>
      <c r="C838" s="63"/>
      <c r="D838" s="63"/>
      <c r="E838" s="64"/>
      <c r="F838" s="65"/>
      <c r="G838" s="389" t="e">
        <f t="shared" si="76"/>
        <v>#N/A</v>
      </c>
      <c r="H838" s="389" t="e">
        <f t="shared" si="76"/>
        <v>#N/A</v>
      </c>
      <c r="I838" s="389" t="e">
        <f t="shared" si="76"/>
        <v>#N/A</v>
      </c>
      <c r="J838" s="389" t="e">
        <f t="shared" si="76"/>
        <v>#N/A</v>
      </c>
      <c r="K838" s="389" t="e">
        <f t="shared" si="76"/>
        <v>#N/A</v>
      </c>
      <c r="L838" s="720"/>
      <c r="M838" s="63"/>
      <c r="N838" s="440"/>
      <c r="O838" s="390"/>
      <c r="P838" s="390">
        <v>0</v>
      </c>
      <c r="Q838" s="390">
        <v>0</v>
      </c>
      <c r="R838" s="390">
        <v>0</v>
      </c>
      <c r="S838" s="63" t="s">
        <v>476</v>
      </c>
      <c r="T838" s="63"/>
      <c r="U838" s="1039"/>
      <c r="V838" s="1039"/>
      <c r="W838" s="1039"/>
      <c r="X838" s="64" t="s">
        <v>2364</v>
      </c>
    </row>
    <row r="839" spans="1:24" ht="15" customHeight="1">
      <c r="A839" s="63">
        <f t="shared" si="74"/>
        <v>836</v>
      </c>
      <c r="B839" s="63" t="s">
        <v>1308</v>
      </c>
      <c r="C839" s="63" t="s">
        <v>178</v>
      </c>
      <c r="D839" s="63" t="s">
        <v>2321</v>
      </c>
      <c r="E839" s="64">
        <v>0</v>
      </c>
      <c r="F839" s="65" t="s">
        <v>2116</v>
      </c>
      <c r="G839" s="389">
        <f t="shared" si="76"/>
        <v>0.69</v>
      </c>
      <c r="H839" s="389">
        <f t="shared" si="76"/>
        <v>0.61</v>
      </c>
      <c r="I839" s="389">
        <f t="shared" si="76"/>
        <v>0.51999999999999991</v>
      </c>
      <c r="J839" s="389">
        <f t="shared" si="76"/>
        <v>0.44</v>
      </c>
      <c r="K839" s="389">
        <f t="shared" si="76"/>
        <v>0.38</v>
      </c>
      <c r="L839" s="720">
        <v>0.06</v>
      </c>
      <c r="M839" s="63" t="s">
        <v>3216</v>
      </c>
      <c r="N839" s="440">
        <v>4.4999999999999998E-2</v>
      </c>
      <c r="O839" s="390">
        <v>6.0000000000000001E-3</v>
      </c>
      <c r="P839" s="390">
        <v>0</v>
      </c>
      <c r="Q839" s="390">
        <v>0</v>
      </c>
      <c r="R839" s="390">
        <v>0</v>
      </c>
      <c r="S839" s="63" t="s">
        <v>476</v>
      </c>
      <c r="T839" s="63"/>
      <c r="U839" s="1039"/>
      <c r="V839" s="1039"/>
      <c r="W839" s="1039"/>
      <c r="X839" s="64" t="s">
        <v>2364</v>
      </c>
    </row>
    <row r="840" spans="1:24" ht="15" customHeight="1">
      <c r="A840" s="63">
        <f t="shared" si="74"/>
        <v>837</v>
      </c>
      <c r="B840" s="63" t="s">
        <v>1308</v>
      </c>
      <c r="C840" s="63" t="s">
        <v>178</v>
      </c>
      <c r="D840" s="63" t="s">
        <v>2445</v>
      </c>
      <c r="E840" s="64">
        <v>0</v>
      </c>
      <c r="F840" s="65" t="s">
        <v>190</v>
      </c>
      <c r="G840" s="389">
        <f t="shared" si="76"/>
        <v>0.69</v>
      </c>
      <c r="H840" s="389">
        <f t="shared" si="76"/>
        <v>0.61</v>
      </c>
      <c r="I840" s="389">
        <f t="shared" si="76"/>
        <v>0.51999999999999991</v>
      </c>
      <c r="J840" s="389">
        <f t="shared" si="76"/>
        <v>0.44</v>
      </c>
      <c r="K840" s="389">
        <f t="shared" si="76"/>
        <v>0.38</v>
      </c>
      <c r="L840" s="720">
        <v>0.06</v>
      </c>
      <c r="M840" s="63" t="s">
        <v>3216</v>
      </c>
      <c r="N840" s="440">
        <v>4.4999999999999998E-2</v>
      </c>
      <c r="O840" s="390">
        <v>6.0000000000000001E-3</v>
      </c>
      <c r="P840" s="390">
        <v>0</v>
      </c>
      <c r="Q840" s="390">
        <v>0</v>
      </c>
      <c r="R840" s="390">
        <v>0</v>
      </c>
      <c r="S840" s="63" t="s">
        <v>476</v>
      </c>
      <c r="T840" s="63"/>
      <c r="U840" s="1039"/>
      <c r="V840" s="1039"/>
      <c r="W840" s="1039"/>
      <c r="X840" s="64" t="s">
        <v>2364</v>
      </c>
    </row>
    <row r="841" spans="1:24" ht="15" customHeight="1">
      <c r="A841" s="63">
        <f t="shared" si="74"/>
        <v>838</v>
      </c>
      <c r="B841" s="63" t="s">
        <v>1308</v>
      </c>
      <c r="C841" s="63" t="s">
        <v>2446</v>
      </c>
      <c r="D841" s="63" t="s">
        <v>1437</v>
      </c>
      <c r="E841" s="64">
        <v>0</v>
      </c>
      <c r="F841" s="65" t="s">
        <v>190</v>
      </c>
      <c r="G841" s="389">
        <f t="shared" si="76"/>
        <v>0.69</v>
      </c>
      <c r="H841" s="389">
        <f t="shared" si="76"/>
        <v>0.61</v>
      </c>
      <c r="I841" s="389">
        <f t="shared" si="76"/>
        <v>0.51999999999999991</v>
      </c>
      <c r="J841" s="389">
        <f t="shared" si="76"/>
        <v>0.44</v>
      </c>
      <c r="K841" s="389">
        <f t="shared" si="76"/>
        <v>0.38</v>
      </c>
      <c r="L841" s="720">
        <v>0.06</v>
      </c>
      <c r="M841" s="63" t="s">
        <v>3216</v>
      </c>
      <c r="N841" s="440">
        <v>4.4999999999999998E-2</v>
      </c>
      <c r="O841" s="390">
        <v>6.0000000000000001E-3</v>
      </c>
      <c r="P841" s="390">
        <v>0</v>
      </c>
      <c r="Q841" s="390">
        <v>0</v>
      </c>
      <c r="R841" s="390">
        <v>0</v>
      </c>
      <c r="S841" s="63" t="s">
        <v>476</v>
      </c>
      <c r="T841" s="63"/>
      <c r="U841" s="1039"/>
      <c r="V841" s="1039"/>
      <c r="W841" s="1039"/>
      <c r="X841" s="64" t="s">
        <v>2364</v>
      </c>
    </row>
    <row r="842" spans="1:24" ht="15" customHeight="1">
      <c r="A842" s="63">
        <f t="shared" si="74"/>
        <v>839</v>
      </c>
      <c r="B842" s="63" t="s">
        <v>1308</v>
      </c>
      <c r="C842" s="63" t="s">
        <v>178</v>
      </c>
      <c r="D842" s="63" t="s">
        <v>2447</v>
      </c>
      <c r="E842" s="64">
        <v>0</v>
      </c>
      <c r="F842" s="65" t="s">
        <v>190</v>
      </c>
      <c r="G842" s="389">
        <f t="shared" si="76"/>
        <v>0.69</v>
      </c>
      <c r="H842" s="389">
        <f t="shared" si="76"/>
        <v>0.61</v>
      </c>
      <c r="I842" s="389">
        <f t="shared" si="76"/>
        <v>0.51999999999999991</v>
      </c>
      <c r="J842" s="389">
        <f t="shared" si="76"/>
        <v>0.44</v>
      </c>
      <c r="K842" s="389">
        <f t="shared" si="76"/>
        <v>0.38</v>
      </c>
      <c r="L842" s="720">
        <v>0.06</v>
      </c>
      <c r="M842" s="63" t="s">
        <v>3216</v>
      </c>
      <c r="N842" s="440">
        <v>4.4999999999999998E-2</v>
      </c>
      <c r="O842" s="390">
        <v>6.0000000000000001E-3</v>
      </c>
      <c r="P842" s="390">
        <v>0</v>
      </c>
      <c r="Q842" s="390">
        <v>0</v>
      </c>
      <c r="R842" s="390">
        <v>0</v>
      </c>
      <c r="S842" s="63" t="s">
        <v>476</v>
      </c>
      <c r="T842" s="63"/>
      <c r="U842" s="1039"/>
      <c r="V842" s="1039"/>
      <c r="W842" s="1039"/>
      <c r="X842" s="64" t="s">
        <v>2364</v>
      </c>
    </row>
    <row r="843" spans="1:24" ht="15" customHeight="1">
      <c r="A843" s="63">
        <f t="shared" si="74"/>
        <v>840</v>
      </c>
      <c r="B843" s="63" t="s">
        <v>1308</v>
      </c>
      <c r="C843" s="63" t="s">
        <v>178</v>
      </c>
      <c r="D843" s="63" t="s">
        <v>2117</v>
      </c>
      <c r="E843" s="64">
        <v>0</v>
      </c>
      <c r="F843" s="65" t="s">
        <v>190</v>
      </c>
      <c r="G843" s="389">
        <f t="shared" si="76"/>
        <v>0.69</v>
      </c>
      <c r="H843" s="389">
        <f t="shared" si="76"/>
        <v>0.61</v>
      </c>
      <c r="I843" s="389">
        <f t="shared" si="76"/>
        <v>0.51999999999999991</v>
      </c>
      <c r="J843" s="389">
        <f t="shared" si="76"/>
        <v>0.44</v>
      </c>
      <c r="K843" s="389">
        <f t="shared" si="76"/>
        <v>0.38</v>
      </c>
      <c r="L843" s="720">
        <v>0.06</v>
      </c>
      <c r="M843" s="63" t="s">
        <v>3216</v>
      </c>
      <c r="N843" s="440">
        <v>4.4999999999999998E-2</v>
      </c>
      <c r="O843" s="390">
        <v>6.0000000000000001E-3</v>
      </c>
      <c r="P843" s="390">
        <v>0</v>
      </c>
      <c r="Q843" s="390">
        <v>0</v>
      </c>
      <c r="R843" s="390">
        <v>0</v>
      </c>
      <c r="S843" s="63" t="s">
        <v>476</v>
      </c>
      <c r="T843" s="63"/>
      <c r="U843" s="1039"/>
      <c r="V843" s="1039"/>
      <c r="W843" s="1039"/>
      <c r="X843" s="64" t="s">
        <v>2364</v>
      </c>
    </row>
    <row r="844" spans="1:24" ht="15" customHeight="1">
      <c r="A844" s="63">
        <f t="shared" si="74"/>
        <v>841</v>
      </c>
      <c r="B844" s="63" t="s">
        <v>1308</v>
      </c>
      <c r="C844" s="63" t="s">
        <v>178</v>
      </c>
      <c r="D844" s="63" t="s">
        <v>2118</v>
      </c>
      <c r="E844" s="64">
        <v>0</v>
      </c>
      <c r="F844" s="65" t="s">
        <v>190</v>
      </c>
      <c r="G844" s="389">
        <f t="shared" si="76"/>
        <v>0.69</v>
      </c>
      <c r="H844" s="389">
        <f t="shared" si="76"/>
        <v>0.61</v>
      </c>
      <c r="I844" s="389">
        <f t="shared" si="76"/>
        <v>0.51999999999999991</v>
      </c>
      <c r="J844" s="389">
        <f t="shared" si="76"/>
        <v>0.44</v>
      </c>
      <c r="K844" s="389">
        <f t="shared" si="76"/>
        <v>0.38</v>
      </c>
      <c r="L844" s="720">
        <v>0.06</v>
      </c>
      <c r="M844" s="63" t="s">
        <v>3216</v>
      </c>
      <c r="N844" s="440">
        <v>4.4999999999999998E-2</v>
      </c>
      <c r="O844" s="390">
        <v>6.0000000000000001E-3</v>
      </c>
      <c r="P844" s="390">
        <v>0</v>
      </c>
      <c r="Q844" s="390">
        <v>0</v>
      </c>
      <c r="R844" s="390">
        <v>0</v>
      </c>
      <c r="S844" s="63" t="s">
        <v>476</v>
      </c>
      <c r="T844" s="63"/>
      <c r="U844" s="1039"/>
      <c r="V844" s="1039"/>
      <c r="W844" s="1039"/>
      <c r="X844" s="64" t="s">
        <v>2364</v>
      </c>
    </row>
    <row r="845" spans="1:24" ht="15" customHeight="1">
      <c r="A845" s="63">
        <f t="shared" si="74"/>
        <v>842</v>
      </c>
      <c r="B845" s="63" t="s">
        <v>1308</v>
      </c>
      <c r="C845" s="63" t="s">
        <v>178</v>
      </c>
      <c r="D845" s="63" t="s">
        <v>2448</v>
      </c>
      <c r="E845" s="64">
        <v>0</v>
      </c>
      <c r="F845" s="65" t="s">
        <v>190</v>
      </c>
      <c r="G845" s="389">
        <f t="shared" si="76"/>
        <v>0.69</v>
      </c>
      <c r="H845" s="389">
        <f t="shared" si="76"/>
        <v>0.61</v>
      </c>
      <c r="I845" s="389">
        <f t="shared" si="76"/>
        <v>0.51999999999999991</v>
      </c>
      <c r="J845" s="389">
        <f t="shared" si="76"/>
        <v>0.44</v>
      </c>
      <c r="K845" s="389">
        <f t="shared" si="76"/>
        <v>0.38</v>
      </c>
      <c r="L845" s="720">
        <v>0.06</v>
      </c>
      <c r="M845" s="63" t="s">
        <v>3216</v>
      </c>
      <c r="N845" s="440">
        <v>4.4999999999999998E-2</v>
      </c>
      <c r="O845" s="390">
        <v>6.0000000000000001E-3</v>
      </c>
      <c r="P845" s="390">
        <v>0</v>
      </c>
      <c r="Q845" s="390">
        <v>0</v>
      </c>
      <c r="R845" s="390">
        <v>0</v>
      </c>
      <c r="S845" s="63" t="s">
        <v>476</v>
      </c>
      <c r="T845" s="63"/>
      <c r="U845" s="1039"/>
      <c r="V845" s="1039"/>
      <c r="W845" s="1039"/>
      <c r="X845" s="64" t="s">
        <v>2364</v>
      </c>
    </row>
    <row r="846" spans="1:24" ht="15" customHeight="1">
      <c r="A846" s="63">
        <f t="shared" si="74"/>
        <v>843</v>
      </c>
      <c r="B846" s="63" t="s">
        <v>1308</v>
      </c>
      <c r="C846" s="63" t="s">
        <v>178</v>
      </c>
      <c r="D846" s="63" t="s">
        <v>2449</v>
      </c>
      <c r="E846" s="64">
        <v>0</v>
      </c>
      <c r="F846" s="65" t="s">
        <v>190</v>
      </c>
      <c r="G846" s="389">
        <f t="shared" si="76"/>
        <v>0.69</v>
      </c>
      <c r="H846" s="389">
        <f t="shared" si="76"/>
        <v>0.61</v>
      </c>
      <c r="I846" s="389">
        <f t="shared" si="76"/>
        <v>0.51999999999999991</v>
      </c>
      <c r="J846" s="389">
        <f t="shared" si="76"/>
        <v>0.44</v>
      </c>
      <c r="K846" s="389">
        <f t="shared" si="76"/>
        <v>0.38</v>
      </c>
      <c r="L846" s="720">
        <v>0.06</v>
      </c>
      <c r="M846" s="63" t="s">
        <v>3216</v>
      </c>
      <c r="N846" s="440">
        <v>4.4999999999999998E-2</v>
      </c>
      <c r="O846" s="390">
        <v>6.0000000000000001E-3</v>
      </c>
      <c r="P846" s="390">
        <v>0</v>
      </c>
      <c r="Q846" s="390">
        <v>0</v>
      </c>
      <c r="R846" s="390">
        <v>0</v>
      </c>
      <c r="S846" s="63" t="s">
        <v>476</v>
      </c>
      <c r="T846" s="63"/>
      <c r="U846" s="1039"/>
      <c r="V846" s="1039"/>
      <c r="W846" s="1039"/>
      <c r="X846" s="64" t="s">
        <v>2364</v>
      </c>
    </row>
    <row r="847" spans="1:24" ht="15" customHeight="1">
      <c r="A847" s="63">
        <f t="shared" si="74"/>
        <v>844</v>
      </c>
      <c r="B847" s="63" t="s">
        <v>1308</v>
      </c>
      <c r="C847" s="63" t="s">
        <v>178</v>
      </c>
      <c r="D847" s="63" t="s">
        <v>2120</v>
      </c>
      <c r="E847" s="64">
        <v>0</v>
      </c>
      <c r="F847" s="65" t="s">
        <v>190</v>
      </c>
      <c r="G847" s="389">
        <f t="shared" si="76"/>
        <v>0.69</v>
      </c>
      <c r="H847" s="389">
        <f t="shared" si="76"/>
        <v>0.61</v>
      </c>
      <c r="I847" s="389">
        <f t="shared" si="76"/>
        <v>0.51999999999999991</v>
      </c>
      <c r="J847" s="389">
        <f t="shared" si="76"/>
        <v>0.44</v>
      </c>
      <c r="K847" s="389">
        <f t="shared" si="76"/>
        <v>0.38</v>
      </c>
      <c r="L847" s="720">
        <v>0.06</v>
      </c>
      <c r="M847" s="63" t="s">
        <v>3216</v>
      </c>
      <c r="N847" s="440">
        <v>4.4999999999999998E-2</v>
      </c>
      <c r="O847" s="390">
        <v>6.0000000000000001E-3</v>
      </c>
      <c r="P847" s="390">
        <v>0</v>
      </c>
      <c r="Q847" s="390">
        <v>0</v>
      </c>
      <c r="R847" s="390">
        <v>0</v>
      </c>
      <c r="S847" s="63" t="s">
        <v>476</v>
      </c>
      <c r="T847" s="63"/>
      <c r="U847" s="1039"/>
      <c r="V847" s="1039"/>
      <c r="W847" s="1039"/>
      <c r="X847" s="64" t="s">
        <v>2364</v>
      </c>
    </row>
    <row r="848" spans="1:24" ht="15" customHeight="1">
      <c r="A848" s="63">
        <f t="shared" ref="A848:A863" si="77">ROW()-3</f>
        <v>845</v>
      </c>
      <c r="B848" s="63" t="s">
        <v>2332</v>
      </c>
      <c r="C848" s="63" t="s">
        <v>178</v>
      </c>
      <c r="D848" s="63" t="s">
        <v>2450</v>
      </c>
      <c r="E848" s="64">
        <v>0</v>
      </c>
      <c r="F848" s="65" t="s">
        <v>190</v>
      </c>
      <c r="G848" s="389">
        <f t="shared" si="76"/>
        <v>0.69</v>
      </c>
      <c r="H848" s="389">
        <f t="shared" si="76"/>
        <v>0.61</v>
      </c>
      <c r="I848" s="389">
        <f t="shared" si="76"/>
        <v>0.51999999999999991</v>
      </c>
      <c r="J848" s="389">
        <f t="shared" si="76"/>
        <v>0.44</v>
      </c>
      <c r="K848" s="389">
        <f t="shared" si="76"/>
        <v>0.38</v>
      </c>
      <c r="L848" s="720">
        <v>0.06</v>
      </c>
      <c r="M848" s="63" t="s">
        <v>3216</v>
      </c>
      <c r="N848" s="440">
        <v>4.4999999999999998E-2</v>
      </c>
      <c r="O848" s="390">
        <v>6.0000000000000001E-3</v>
      </c>
      <c r="P848" s="390">
        <v>0</v>
      </c>
      <c r="Q848" s="390">
        <v>0</v>
      </c>
      <c r="R848" s="390">
        <v>0</v>
      </c>
      <c r="S848" s="63" t="s">
        <v>476</v>
      </c>
      <c r="T848" s="63"/>
      <c r="U848" s="1039"/>
      <c r="V848" s="1039"/>
      <c r="W848" s="1039"/>
      <c r="X848" s="64" t="s">
        <v>2364</v>
      </c>
    </row>
    <row r="849" spans="1:90" s="1091" customFormat="1" ht="15" customHeight="1">
      <c r="A849" s="63">
        <f t="shared" si="77"/>
        <v>846</v>
      </c>
      <c r="B849" s="63" t="s">
        <v>1308</v>
      </c>
      <c r="C849" s="63" t="s">
        <v>178</v>
      </c>
      <c r="D849" s="63" t="s">
        <v>2119</v>
      </c>
      <c r="E849" s="64">
        <v>0</v>
      </c>
      <c r="F849" s="65" t="s">
        <v>190</v>
      </c>
      <c r="G849" s="389">
        <f t="shared" si="76"/>
        <v>0.69</v>
      </c>
      <c r="H849" s="389">
        <f t="shared" si="76"/>
        <v>0.61</v>
      </c>
      <c r="I849" s="389">
        <f t="shared" si="76"/>
        <v>0.51999999999999991</v>
      </c>
      <c r="J849" s="389">
        <f t="shared" si="76"/>
        <v>0.44</v>
      </c>
      <c r="K849" s="389">
        <f t="shared" si="76"/>
        <v>0.38</v>
      </c>
      <c r="L849" s="720">
        <v>0.06</v>
      </c>
      <c r="M849" s="63" t="s">
        <v>3216</v>
      </c>
      <c r="N849" s="440">
        <v>4.4999999999999998E-2</v>
      </c>
      <c r="O849" s="390">
        <v>6.0000000000000001E-3</v>
      </c>
      <c r="P849" s="390">
        <v>0</v>
      </c>
      <c r="Q849" s="390">
        <v>0</v>
      </c>
      <c r="R849" s="390">
        <v>0</v>
      </c>
      <c r="S849" s="63" t="s">
        <v>476</v>
      </c>
      <c r="T849" s="63"/>
      <c r="U849" s="1039"/>
      <c r="V849" s="1039"/>
      <c r="W849" s="1039"/>
      <c r="X849" s="64" t="s">
        <v>2364</v>
      </c>
      <c r="Y849" s="1"/>
      <c r="Z849" s="1"/>
      <c r="AA849" s="1"/>
      <c r="AB849" s="1"/>
      <c r="AC849" s="1"/>
      <c r="AD849" s="1"/>
      <c r="AE849" s="1"/>
      <c r="AF849" s="1"/>
      <c r="AG849" s="1"/>
      <c r="AH849" s="1"/>
      <c r="AI849" s="1"/>
      <c r="AJ849" s="1"/>
      <c r="AK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c r="BP849" s="1"/>
      <c r="BQ849" s="1"/>
      <c r="BR849" s="1"/>
      <c r="BS849" s="1"/>
      <c r="BT849" s="1"/>
      <c r="BU849" s="1"/>
      <c r="BV849" s="1"/>
      <c r="BW849" s="1"/>
      <c r="BX849" s="1"/>
      <c r="BY849" s="1"/>
      <c r="BZ849" s="1"/>
      <c r="CA849" s="1"/>
      <c r="CB849" s="1"/>
      <c r="CC849" s="1"/>
      <c r="CD849" s="1"/>
      <c r="CE849" s="1"/>
      <c r="CF849" s="1"/>
      <c r="CG849" s="1"/>
      <c r="CH849" s="1"/>
      <c r="CI849" s="1"/>
      <c r="CJ849" s="1"/>
      <c r="CK849" s="1"/>
      <c r="CL849" s="1"/>
    </row>
    <row r="850" spans="1:90" ht="15" customHeight="1">
      <c r="A850" s="63">
        <f t="shared" si="77"/>
        <v>847</v>
      </c>
      <c r="B850" s="63" t="s">
        <v>1308</v>
      </c>
      <c r="C850" s="63"/>
      <c r="D850" s="63"/>
      <c r="E850" s="64"/>
      <c r="F850" s="65"/>
      <c r="G850" s="389" t="e">
        <f t="shared" si="76"/>
        <v>#N/A</v>
      </c>
      <c r="H850" s="389" t="e">
        <f t="shared" si="76"/>
        <v>#N/A</v>
      </c>
      <c r="I850" s="389" t="e">
        <f t="shared" si="76"/>
        <v>#N/A</v>
      </c>
      <c r="J850" s="389" t="e">
        <f t="shared" si="76"/>
        <v>#N/A</v>
      </c>
      <c r="K850" s="389" t="e">
        <f t="shared" si="76"/>
        <v>#N/A</v>
      </c>
      <c r="L850" s="720"/>
      <c r="M850" s="63"/>
      <c r="N850" s="440"/>
      <c r="O850" s="390"/>
      <c r="P850" s="390">
        <v>0</v>
      </c>
      <c r="Q850" s="390">
        <v>0</v>
      </c>
      <c r="R850" s="390">
        <v>0</v>
      </c>
      <c r="S850" s="63" t="s">
        <v>476</v>
      </c>
      <c r="T850" s="63"/>
      <c r="U850" s="1039"/>
      <c r="V850" s="1039"/>
      <c r="W850" s="1039"/>
      <c r="X850" s="64" t="s">
        <v>2364</v>
      </c>
    </row>
    <row r="851" spans="1:90" s="1091" customFormat="1" ht="15" customHeight="1">
      <c r="A851" s="63">
        <f t="shared" si="77"/>
        <v>848</v>
      </c>
      <c r="B851" s="63" t="s">
        <v>1308</v>
      </c>
      <c r="C851" s="63"/>
      <c r="D851" s="63"/>
      <c r="E851" s="64"/>
      <c r="F851" s="65"/>
      <c r="G851" s="389" t="e">
        <f t="shared" si="76"/>
        <v>#N/A</v>
      </c>
      <c r="H851" s="389" t="e">
        <f t="shared" si="76"/>
        <v>#N/A</v>
      </c>
      <c r="I851" s="389" t="e">
        <f t="shared" si="76"/>
        <v>#N/A</v>
      </c>
      <c r="J851" s="389" t="e">
        <f t="shared" si="76"/>
        <v>#N/A</v>
      </c>
      <c r="K851" s="389" t="e">
        <f t="shared" si="76"/>
        <v>#N/A</v>
      </c>
      <c r="L851" s="720"/>
      <c r="M851" s="63"/>
      <c r="N851" s="440"/>
      <c r="O851" s="390"/>
      <c r="P851" s="390">
        <v>0</v>
      </c>
      <c r="Q851" s="390">
        <v>0</v>
      </c>
      <c r="R851" s="390">
        <v>0</v>
      </c>
      <c r="S851" s="63" t="s">
        <v>476</v>
      </c>
      <c r="T851" s="63"/>
      <c r="U851" s="1039"/>
      <c r="V851" s="1039"/>
      <c r="W851" s="1039"/>
      <c r="X851" s="64" t="s">
        <v>2364</v>
      </c>
      <c r="Y851" s="1"/>
      <c r="Z851" s="1"/>
      <c r="AA851" s="1"/>
      <c r="AB851" s="1"/>
      <c r="AC851" s="1"/>
      <c r="AD851" s="1"/>
      <c r="AE851" s="1"/>
      <c r="AF851" s="1"/>
      <c r="AG851" s="1"/>
      <c r="AH851" s="1"/>
      <c r="AI851" s="1"/>
      <c r="AJ851" s="1"/>
      <c r="AK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c r="BP851" s="1"/>
      <c r="BQ851" s="1"/>
      <c r="BR851" s="1"/>
      <c r="BS851" s="1"/>
      <c r="BT851" s="1"/>
      <c r="BU851" s="1"/>
      <c r="BV851" s="1"/>
      <c r="BW851" s="1"/>
      <c r="BX851" s="1"/>
      <c r="BY851" s="1"/>
      <c r="BZ851" s="1"/>
      <c r="CA851" s="1"/>
      <c r="CB851" s="1"/>
      <c r="CC851" s="1"/>
      <c r="CD851" s="1"/>
      <c r="CE851" s="1"/>
      <c r="CF851" s="1"/>
      <c r="CG851" s="1"/>
      <c r="CH851" s="1"/>
      <c r="CI851" s="1"/>
      <c r="CJ851" s="1"/>
      <c r="CK851" s="1"/>
      <c r="CL851" s="1"/>
    </row>
    <row r="852" spans="1:90" ht="15" customHeight="1">
      <c r="A852" s="63">
        <f t="shared" si="77"/>
        <v>849</v>
      </c>
      <c r="B852" s="63" t="s">
        <v>1308</v>
      </c>
      <c r="C852" s="63"/>
      <c r="D852" s="63"/>
      <c r="E852" s="64"/>
      <c r="F852" s="65"/>
      <c r="G852" s="389" t="e">
        <f t="shared" si="76"/>
        <v>#N/A</v>
      </c>
      <c r="H852" s="389" t="e">
        <f t="shared" si="76"/>
        <v>#N/A</v>
      </c>
      <c r="I852" s="389" t="e">
        <f t="shared" si="76"/>
        <v>#N/A</v>
      </c>
      <c r="J852" s="389" t="e">
        <f t="shared" si="76"/>
        <v>#N/A</v>
      </c>
      <c r="K852" s="389" t="e">
        <f t="shared" si="76"/>
        <v>#N/A</v>
      </c>
      <c r="L852" s="720"/>
      <c r="M852" s="63"/>
      <c r="N852" s="440"/>
      <c r="O852" s="390"/>
      <c r="P852" s="390">
        <v>0</v>
      </c>
      <c r="Q852" s="390">
        <v>0</v>
      </c>
      <c r="R852" s="390">
        <v>0</v>
      </c>
      <c r="S852" s="63" t="s">
        <v>476</v>
      </c>
      <c r="T852" s="63"/>
      <c r="U852" s="1039"/>
      <c r="V852" s="1039"/>
      <c r="W852" s="1039"/>
      <c r="X852" s="64" t="s">
        <v>2364</v>
      </c>
    </row>
    <row r="853" spans="1:90" ht="15" customHeight="1">
      <c r="A853" s="63">
        <f t="shared" si="77"/>
        <v>850</v>
      </c>
      <c r="B853" s="63" t="s">
        <v>1308</v>
      </c>
      <c r="C853" s="63" t="s">
        <v>1438</v>
      </c>
      <c r="D853" s="63" t="s">
        <v>2451</v>
      </c>
      <c r="E853" s="64">
        <v>3799</v>
      </c>
      <c r="F853" s="65" t="s">
        <v>2121</v>
      </c>
      <c r="G853" s="389">
        <f t="shared" si="76"/>
        <v>0.54</v>
      </c>
      <c r="H853" s="389">
        <f t="shared" si="76"/>
        <v>0.45999999999999996</v>
      </c>
      <c r="I853" s="389">
        <f t="shared" si="76"/>
        <v>0.37</v>
      </c>
      <c r="J853" s="389">
        <f t="shared" si="76"/>
        <v>0.28999999999999998</v>
      </c>
      <c r="K853" s="389">
        <f t="shared" si="76"/>
        <v>0.23</v>
      </c>
      <c r="L853" s="720">
        <v>0.06</v>
      </c>
      <c r="M853" s="63" t="s">
        <v>3175</v>
      </c>
      <c r="N853" s="440">
        <v>4.4999999999999998E-2</v>
      </c>
      <c r="O853" s="390">
        <v>6.0000000000000001E-3</v>
      </c>
      <c r="P853" s="390">
        <v>0</v>
      </c>
      <c r="Q853" s="390">
        <v>0</v>
      </c>
      <c r="R853" s="390">
        <v>0</v>
      </c>
      <c r="S853" s="63" t="s">
        <v>476</v>
      </c>
      <c r="T853" s="63"/>
      <c r="U853" s="1039"/>
      <c r="V853" s="1039"/>
      <c r="W853" s="1039"/>
      <c r="X853" s="64" t="s">
        <v>2364</v>
      </c>
    </row>
    <row r="854" spans="1:90" ht="15" customHeight="1">
      <c r="A854" s="63">
        <f t="shared" si="77"/>
        <v>851</v>
      </c>
      <c r="B854" s="63" t="s">
        <v>1308</v>
      </c>
      <c r="C854" s="63" t="s">
        <v>1438</v>
      </c>
      <c r="D854" s="63" t="s">
        <v>2452</v>
      </c>
      <c r="E854" s="64">
        <v>3799</v>
      </c>
      <c r="F854" s="65" t="s">
        <v>619</v>
      </c>
      <c r="G854" s="389">
        <f t="shared" si="76"/>
        <v>0.54</v>
      </c>
      <c r="H854" s="389">
        <f t="shared" si="76"/>
        <v>0.45999999999999996</v>
      </c>
      <c r="I854" s="389">
        <f t="shared" si="76"/>
        <v>0.37</v>
      </c>
      <c r="J854" s="389">
        <f t="shared" si="76"/>
        <v>0.28999999999999998</v>
      </c>
      <c r="K854" s="389">
        <f t="shared" si="76"/>
        <v>0.23</v>
      </c>
      <c r="L854" s="720">
        <v>0.06</v>
      </c>
      <c r="M854" s="63" t="s">
        <v>3175</v>
      </c>
      <c r="N854" s="440">
        <v>4.4999999999999998E-2</v>
      </c>
      <c r="O854" s="390">
        <v>6.0000000000000001E-3</v>
      </c>
      <c r="P854" s="390">
        <v>0</v>
      </c>
      <c r="Q854" s="390">
        <v>0</v>
      </c>
      <c r="R854" s="390">
        <v>0</v>
      </c>
      <c r="S854" s="63" t="s">
        <v>476</v>
      </c>
      <c r="T854" s="63"/>
      <c r="U854" s="1039"/>
      <c r="V854" s="1039"/>
      <c r="W854" s="1039"/>
      <c r="X854" s="64" t="s">
        <v>2364</v>
      </c>
    </row>
    <row r="855" spans="1:90" ht="15" customHeight="1">
      <c r="A855" s="63">
        <f t="shared" si="77"/>
        <v>852</v>
      </c>
      <c r="B855" s="63" t="s">
        <v>1308</v>
      </c>
      <c r="C855" s="63" t="s">
        <v>1438</v>
      </c>
      <c r="D855" s="63" t="s">
        <v>2123</v>
      </c>
      <c r="E855" s="64">
        <v>3994</v>
      </c>
      <c r="F855" s="65" t="s">
        <v>619</v>
      </c>
      <c r="G855" s="389">
        <f t="shared" si="76"/>
        <v>0.54</v>
      </c>
      <c r="H855" s="389">
        <f t="shared" si="76"/>
        <v>0.45999999999999996</v>
      </c>
      <c r="I855" s="389">
        <f t="shared" si="76"/>
        <v>0.37</v>
      </c>
      <c r="J855" s="389">
        <f t="shared" si="76"/>
        <v>0.28999999999999998</v>
      </c>
      <c r="K855" s="389">
        <f t="shared" si="76"/>
        <v>0.23</v>
      </c>
      <c r="L855" s="720">
        <v>0.06</v>
      </c>
      <c r="M855" s="63" t="s">
        <v>3175</v>
      </c>
      <c r="N855" s="440">
        <v>4.4999999999999998E-2</v>
      </c>
      <c r="O855" s="390">
        <v>6.0000000000000001E-3</v>
      </c>
      <c r="P855" s="390">
        <v>0</v>
      </c>
      <c r="Q855" s="390">
        <v>0</v>
      </c>
      <c r="R855" s="390">
        <v>0</v>
      </c>
      <c r="S855" s="63" t="s">
        <v>476</v>
      </c>
      <c r="T855" s="63"/>
      <c r="U855" s="1039"/>
      <c r="V855" s="1039"/>
      <c r="W855" s="1039"/>
      <c r="X855" s="64" t="s">
        <v>2364</v>
      </c>
    </row>
    <row r="856" spans="1:90" ht="15" customHeight="1" thickBot="1">
      <c r="A856" s="63">
        <f t="shared" si="77"/>
        <v>853</v>
      </c>
      <c r="B856" s="63" t="s">
        <v>1308</v>
      </c>
      <c r="C856" s="63" t="s">
        <v>1438</v>
      </c>
      <c r="D856" s="63" t="s">
        <v>2124</v>
      </c>
      <c r="E856" s="64">
        <v>3994</v>
      </c>
      <c r="F856" s="65" t="s">
        <v>1873</v>
      </c>
      <c r="G856" s="389">
        <f t="shared" si="76"/>
        <v>0.54</v>
      </c>
      <c r="H856" s="389">
        <f t="shared" si="76"/>
        <v>0.45999999999999996</v>
      </c>
      <c r="I856" s="389">
        <f t="shared" si="76"/>
        <v>0.37</v>
      </c>
      <c r="J856" s="389">
        <f t="shared" si="76"/>
        <v>0.28999999999999998</v>
      </c>
      <c r="K856" s="389">
        <f t="shared" si="76"/>
        <v>0.23</v>
      </c>
      <c r="L856" s="720">
        <v>0.06</v>
      </c>
      <c r="M856" s="63" t="s">
        <v>3175</v>
      </c>
      <c r="N856" s="440">
        <v>4.4999999999999998E-2</v>
      </c>
      <c r="O856" s="390">
        <v>6.0000000000000001E-3</v>
      </c>
      <c r="P856" s="390">
        <v>0</v>
      </c>
      <c r="Q856" s="390">
        <v>0</v>
      </c>
      <c r="R856" s="390">
        <v>0</v>
      </c>
      <c r="S856" s="63" t="s">
        <v>476</v>
      </c>
      <c r="T856" s="63"/>
      <c r="U856" s="1039"/>
      <c r="V856" s="1039"/>
      <c r="W856" s="1039"/>
      <c r="X856" s="64" t="s">
        <v>2364</v>
      </c>
    </row>
    <row r="857" spans="1:90" s="1010" customFormat="1" ht="15" customHeight="1">
      <c r="A857" s="63">
        <f t="shared" si="77"/>
        <v>854</v>
      </c>
      <c r="B857" s="63" t="s">
        <v>1308</v>
      </c>
      <c r="C857" s="63" t="s">
        <v>1438</v>
      </c>
      <c r="D857" s="63" t="s">
        <v>2125</v>
      </c>
      <c r="E857" s="64">
        <v>2993</v>
      </c>
      <c r="F857" s="65" t="s">
        <v>1873</v>
      </c>
      <c r="G857" s="389">
        <f t="shared" si="76"/>
        <v>0.54</v>
      </c>
      <c r="H857" s="389">
        <f t="shared" si="76"/>
        <v>0.45999999999999996</v>
      </c>
      <c r="I857" s="389">
        <f t="shared" si="76"/>
        <v>0.37</v>
      </c>
      <c r="J857" s="389">
        <f t="shared" si="76"/>
        <v>0.28999999999999998</v>
      </c>
      <c r="K857" s="389">
        <f t="shared" si="76"/>
        <v>0.23</v>
      </c>
      <c r="L857" s="720">
        <v>0.06</v>
      </c>
      <c r="M857" s="63" t="s">
        <v>3175</v>
      </c>
      <c r="N857" s="440">
        <v>4.4999999999999998E-2</v>
      </c>
      <c r="O857" s="390">
        <v>6.0000000000000001E-3</v>
      </c>
      <c r="P857" s="390">
        <v>0</v>
      </c>
      <c r="Q857" s="390">
        <v>0</v>
      </c>
      <c r="R857" s="390">
        <v>0</v>
      </c>
      <c r="S857" s="63" t="s">
        <v>476</v>
      </c>
      <c r="T857" s="63"/>
      <c r="U857" s="1039"/>
      <c r="V857" s="1039"/>
      <c r="W857" s="1039"/>
      <c r="X857" s="64" t="s">
        <v>2364</v>
      </c>
      <c r="Y857" s="1"/>
      <c r="Z857" s="1"/>
      <c r="AA857" s="1"/>
      <c r="AB857" s="1"/>
      <c r="AC857" s="1"/>
      <c r="AD857" s="1"/>
      <c r="AE857" s="1"/>
      <c r="AF857" s="1"/>
      <c r="AG857" s="1"/>
      <c r="AH857" s="1"/>
      <c r="AI857" s="1"/>
      <c r="AJ857" s="1"/>
      <c r="AK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c r="BP857" s="1"/>
      <c r="BQ857" s="1"/>
      <c r="BR857" s="1"/>
      <c r="BS857" s="1"/>
      <c r="BT857" s="1"/>
      <c r="BU857" s="1"/>
      <c r="BV857" s="1"/>
      <c r="BW857" s="1"/>
      <c r="BX857" s="1"/>
      <c r="BY857" s="1"/>
      <c r="BZ857" s="1"/>
      <c r="CA857" s="1"/>
      <c r="CB857" s="1"/>
      <c r="CC857" s="1"/>
      <c r="CD857" s="1"/>
      <c r="CE857" s="1"/>
      <c r="CF857" s="1"/>
      <c r="CG857" s="1"/>
      <c r="CH857" s="1"/>
      <c r="CI857" s="1"/>
      <c r="CJ857" s="1"/>
      <c r="CK857" s="1"/>
      <c r="CL857" s="1"/>
    </row>
    <row r="858" spans="1:90" ht="15" customHeight="1">
      <c r="A858" s="63">
        <f t="shared" si="77"/>
        <v>855</v>
      </c>
      <c r="B858" s="63" t="s">
        <v>1308</v>
      </c>
      <c r="C858" s="63" t="s">
        <v>1438</v>
      </c>
      <c r="D858" s="63" t="s">
        <v>2453</v>
      </c>
      <c r="E858" s="64">
        <v>3994</v>
      </c>
      <c r="F858" s="65" t="s">
        <v>619</v>
      </c>
      <c r="G858" s="389">
        <f t="shared" si="76"/>
        <v>0.54</v>
      </c>
      <c r="H858" s="389">
        <f t="shared" si="76"/>
        <v>0.45999999999999996</v>
      </c>
      <c r="I858" s="389">
        <f t="shared" si="76"/>
        <v>0.37</v>
      </c>
      <c r="J858" s="389">
        <f t="shared" si="76"/>
        <v>0.28999999999999998</v>
      </c>
      <c r="K858" s="389">
        <f t="shared" si="76"/>
        <v>0.23</v>
      </c>
      <c r="L858" s="720">
        <v>0.06</v>
      </c>
      <c r="M858" s="63" t="s">
        <v>3175</v>
      </c>
      <c r="N858" s="440">
        <v>4.4999999999999998E-2</v>
      </c>
      <c r="O858" s="390">
        <v>6.0000000000000001E-3</v>
      </c>
      <c r="P858" s="390">
        <v>0</v>
      </c>
      <c r="Q858" s="390">
        <v>0</v>
      </c>
      <c r="R858" s="390">
        <v>0</v>
      </c>
      <c r="S858" s="63" t="s">
        <v>476</v>
      </c>
      <c r="T858" s="63"/>
      <c r="U858" s="1039"/>
      <c r="V858" s="1039"/>
      <c r="W858" s="1039"/>
      <c r="X858" s="64" t="s">
        <v>2364</v>
      </c>
    </row>
    <row r="859" spans="1:90" ht="15" customHeight="1">
      <c r="A859" s="63">
        <f t="shared" si="77"/>
        <v>856</v>
      </c>
      <c r="B859" s="63" t="s">
        <v>1308</v>
      </c>
      <c r="C859" s="63" t="s">
        <v>1438</v>
      </c>
      <c r="D859" s="63" t="s">
        <v>2454</v>
      </c>
      <c r="E859" s="64">
        <v>3799</v>
      </c>
      <c r="F859" s="65" t="s">
        <v>619</v>
      </c>
      <c r="G859" s="389">
        <f t="shared" si="76"/>
        <v>0.54</v>
      </c>
      <c r="H859" s="389">
        <f t="shared" si="76"/>
        <v>0.45999999999999996</v>
      </c>
      <c r="I859" s="389">
        <f t="shared" si="76"/>
        <v>0.37</v>
      </c>
      <c r="J859" s="389">
        <f t="shared" si="76"/>
        <v>0.28999999999999998</v>
      </c>
      <c r="K859" s="389">
        <f t="shared" si="76"/>
        <v>0.23</v>
      </c>
      <c r="L859" s="720">
        <v>0.06</v>
      </c>
      <c r="M859" s="63" t="s">
        <v>3175</v>
      </c>
      <c r="N859" s="440">
        <v>4.4999999999999998E-2</v>
      </c>
      <c r="O859" s="390">
        <v>6.0000000000000001E-3</v>
      </c>
      <c r="P859" s="390">
        <v>0</v>
      </c>
      <c r="Q859" s="390">
        <v>0</v>
      </c>
      <c r="R859" s="390">
        <v>0</v>
      </c>
      <c r="S859" s="63" t="s">
        <v>476</v>
      </c>
      <c r="T859" s="63"/>
      <c r="U859" s="1039"/>
      <c r="V859" s="1039"/>
      <c r="W859" s="1039"/>
      <c r="X859" s="64" t="s">
        <v>2364</v>
      </c>
    </row>
    <row r="860" spans="1:90" s="1061" customFormat="1" ht="15" customHeight="1">
      <c r="A860" s="63">
        <f t="shared" si="77"/>
        <v>857</v>
      </c>
      <c r="B860" s="63" t="s">
        <v>1308</v>
      </c>
      <c r="C860" s="63" t="s">
        <v>1438</v>
      </c>
      <c r="D860" s="63" t="s">
        <v>2126</v>
      </c>
      <c r="E860" s="64">
        <v>3799</v>
      </c>
      <c r="F860" s="65" t="s">
        <v>619</v>
      </c>
      <c r="G860" s="389">
        <f t="shared" si="76"/>
        <v>0.54</v>
      </c>
      <c r="H860" s="389">
        <f t="shared" si="76"/>
        <v>0.45999999999999996</v>
      </c>
      <c r="I860" s="389">
        <f t="shared" si="76"/>
        <v>0.37</v>
      </c>
      <c r="J860" s="389">
        <f t="shared" si="76"/>
        <v>0.28999999999999998</v>
      </c>
      <c r="K860" s="389">
        <f t="shared" si="76"/>
        <v>0.23</v>
      </c>
      <c r="L860" s="720">
        <v>0.06</v>
      </c>
      <c r="M860" s="63" t="s">
        <v>3175</v>
      </c>
      <c r="N860" s="440">
        <v>4.4999999999999998E-2</v>
      </c>
      <c r="O860" s="390">
        <v>6.0000000000000001E-3</v>
      </c>
      <c r="P860" s="390">
        <v>0</v>
      </c>
      <c r="Q860" s="390">
        <v>0</v>
      </c>
      <c r="R860" s="390">
        <v>0</v>
      </c>
      <c r="S860" s="63" t="s">
        <v>476</v>
      </c>
      <c r="T860" s="63"/>
      <c r="U860" s="1039"/>
      <c r="V860" s="1039"/>
      <c r="W860" s="1039"/>
      <c r="X860" s="64" t="s">
        <v>2364</v>
      </c>
      <c r="Y860" s="1"/>
      <c r="Z860" s="1"/>
      <c r="AA860" s="1"/>
      <c r="AB860" s="1"/>
      <c r="AC860" s="1"/>
      <c r="AD860" s="1"/>
      <c r="AE860" s="1"/>
      <c r="AF860" s="1"/>
      <c r="AG860" s="1"/>
      <c r="AH860" s="1"/>
      <c r="AI860" s="1"/>
      <c r="AJ860" s="1"/>
      <c r="AK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c r="BP860" s="1"/>
      <c r="BQ860" s="1"/>
      <c r="BR860" s="1"/>
      <c r="BS860" s="1"/>
      <c r="BT860" s="1"/>
      <c r="BU860" s="1"/>
      <c r="BV860" s="1"/>
      <c r="BW860" s="1"/>
      <c r="BX860" s="1"/>
      <c r="BY860" s="1"/>
      <c r="BZ860" s="1"/>
      <c r="CA860" s="1"/>
      <c r="CB860" s="1"/>
      <c r="CC860" s="1"/>
      <c r="CD860" s="1"/>
      <c r="CE860" s="1"/>
      <c r="CF860" s="1"/>
      <c r="CG860" s="1"/>
      <c r="CH860" s="1"/>
      <c r="CI860" s="1"/>
      <c r="CJ860" s="1"/>
      <c r="CK860" s="1"/>
      <c r="CL860" s="1"/>
    </row>
    <row r="861" spans="1:90" ht="15" customHeight="1">
      <c r="A861" s="63">
        <f t="shared" si="77"/>
        <v>858</v>
      </c>
      <c r="B861" s="63" t="s">
        <v>1308</v>
      </c>
      <c r="C861" s="63" t="s">
        <v>1438</v>
      </c>
      <c r="D861" s="63" t="s">
        <v>2127</v>
      </c>
      <c r="E861" s="64">
        <v>3799</v>
      </c>
      <c r="F861" s="65" t="s">
        <v>2122</v>
      </c>
      <c r="G861" s="389">
        <f t="shared" si="76"/>
        <v>0.54</v>
      </c>
      <c r="H861" s="389">
        <f t="shared" si="76"/>
        <v>0.45999999999999996</v>
      </c>
      <c r="I861" s="389">
        <f t="shared" si="76"/>
        <v>0.37</v>
      </c>
      <c r="J861" s="389">
        <f t="shared" si="76"/>
        <v>0.28999999999999998</v>
      </c>
      <c r="K861" s="389">
        <f t="shared" si="76"/>
        <v>0.23</v>
      </c>
      <c r="L861" s="720">
        <v>0.06</v>
      </c>
      <c r="M861" s="63" t="s">
        <v>3175</v>
      </c>
      <c r="N861" s="440">
        <v>4.4999999999999998E-2</v>
      </c>
      <c r="O861" s="390">
        <v>6.0000000000000001E-3</v>
      </c>
      <c r="P861" s="390">
        <v>0</v>
      </c>
      <c r="Q861" s="390">
        <v>0</v>
      </c>
      <c r="R861" s="390">
        <v>0</v>
      </c>
      <c r="S861" s="63" t="s">
        <v>476</v>
      </c>
      <c r="T861" s="63"/>
      <c r="U861" s="1039"/>
      <c r="V861" s="1039"/>
      <c r="W861" s="1039"/>
      <c r="X861" s="64" t="s">
        <v>2364</v>
      </c>
    </row>
    <row r="862" spans="1:90" s="1061" customFormat="1" ht="15" customHeight="1">
      <c r="A862" s="63">
        <f t="shared" si="77"/>
        <v>859</v>
      </c>
      <c r="B862" s="63" t="s">
        <v>1308</v>
      </c>
      <c r="C862" s="63" t="s">
        <v>1438</v>
      </c>
      <c r="D862" s="63" t="s">
        <v>2128</v>
      </c>
      <c r="E862" s="64">
        <v>3994</v>
      </c>
      <c r="F862" s="65" t="s">
        <v>619</v>
      </c>
      <c r="G862" s="389">
        <f t="shared" si="76"/>
        <v>0.54</v>
      </c>
      <c r="H862" s="389">
        <f t="shared" si="76"/>
        <v>0.45999999999999996</v>
      </c>
      <c r="I862" s="389">
        <f t="shared" si="76"/>
        <v>0.37</v>
      </c>
      <c r="J862" s="389">
        <f t="shared" si="76"/>
        <v>0.28999999999999998</v>
      </c>
      <c r="K862" s="389">
        <f t="shared" si="76"/>
        <v>0.23</v>
      </c>
      <c r="L862" s="720">
        <v>0.06</v>
      </c>
      <c r="M862" s="63" t="s">
        <v>3175</v>
      </c>
      <c r="N862" s="440">
        <v>4.4999999999999998E-2</v>
      </c>
      <c r="O862" s="390">
        <v>6.0000000000000001E-3</v>
      </c>
      <c r="P862" s="390">
        <v>0</v>
      </c>
      <c r="Q862" s="390">
        <v>0</v>
      </c>
      <c r="R862" s="390">
        <v>0</v>
      </c>
      <c r="S862" s="63" t="s">
        <v>476</v>
      </c>
      <c r="T862" s="63"/>
      <c r="U862" s="1039"/>
      <c r="V862" s="1039"/>
      <c r="W862" s="1039"/>
      <c r="X862" s="64" t="s">
        <v>2364</v>
      </c>
      <c r="Y862" s="1"/>
      <c r="Z862" s="1"/>
      <c r="AA862" s="1"/>
      <c r="AB862" s="1"/>
      <c r="AC862" s="1"/>
      <c r="AD862" s="1"/>
      <c r="AE862" s="1"/>
      <c r="AF862" s="1"/>
      <c r="AG862" s="1"/>
      <c r="AH862" s="1"/>
      <c r="AI862" s="1"/>
      <c r="AJ862" s="1"/>
      <c r="AK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c r="BP862" s="1"/>
      <c r="BQ862" s="1"/>
      <c r="BR862" s="1"/>
      <c r="BS862" s="1"/>
      <c r="BT862" s="1"/>
      <c r="BU862" s="1"/>
      <c r="BV862" s="1"/>
      <c r="BW862" s="1"/>
      <c r="BX862" s="1"/>
      <c r="BY862" s="1"/>
      <c r="BZ862" s="1"/>
      <c r="CA862" s="1"/>
      <c r="CB862" s="1"/>
      <c r="CC862" s="1"/>
      <c r="CD862" s="1"/>
      <c r="CE862" s="1"/>
      <c r="CF862" s="1"/>
      <c r="CG862" s="1"/>
      <c r="CH862" s="1"/>
      <c r="CI862" s="1"/>
      <c r="CJ862" s="1"/>
      <c r="CK862" s="1"/>
      <c r="CL862" s="1"/>
    </row>
    <row r="863" spans="1:90" ht="15" customHeight="1">
      <c r="A863" s="63">
        <f t="shared" si="77"/>
        <v>860</v>
      </c>
      <c r="B863" s="63" t="s">
        <v>1308</v>
      </c>
      <c r="C863" s="63" t="s">
        <v>1438</v>
      </c>
      <c r="D863" s="63" t="s">
        <v>2455</v>
      </c>
      <c r="E863" s="64">
        <v>3994</v>
      </c>
      <c r="F863" s="65" t="s">
        <v>619</v>
      </c>
      <c r="G863" s="389">
        <f t="shared" si="76"/>
        <v>0.54</v>
      </c>
      <c r="H863" s="389">
        <f t="shared" si="76"/>
        <v>0.45999999999999996</v>
      </c>
      <c r="I863" s="389">
        <f t="shared" si="76"/>
        <v>0.37</v>
      </c>
      <c r="J863" s="389">
        <f t="shared" si="76"/>
        <v>0.28999999999999998</v>
      </c>
      <c r="K863" s="389">
        <f t="shared" si="76"/>
        <v>0.23</v>
      </c>
      <c r="L863" s="720">
        <v>0.06</v>
      </c>
      <c r="M863" s="63" t="s">
        <v>3175</v>
      </c>
      <c r="N863" s="440">
        <v>4.4999999999999998E-2</v>
      </c>
      <c r="O863" s="390">
        <v>6.0000000000000001E-3</v>
      </c>
      <c r="P863" s="390">
        <v>0</v>
      </c>
      <c r="Q863" s="390">
        <v>0</v>
      </c>
      <c r="R863" s="390">
        <v>0</v>
      </c>
      <c r="S863" s="63" t="s">
        <v>476</v>
      </c>
      <c r="T863" s="63"/>
      <c r="U863" s="1039"/>
      <c r="V863" s="1039"/>
      <c r="W863" s="1039"/>
      <c r="X863" s="64" t="s">
        <v>2364</v>
      </c>
    </row>
    <row r="864" spans="1:90" ht="15" customHeight="1">
      <c r="A864" s="2"/>
      <c r="B864" s="2"/>
      <c r="C864" s="2"/>
      <c r="D864" s="2"/>
      <c r="E864" s="3"/>
      <c r="F864" s="4"/>
      <c r="G864" s="441"/>
      <c r="H864" s="441"/>
      <c r="I864" s="441"/>
      <c r="J864" s="441"/>
      <c r="K864" s="441"/>
      <c r="L864" s="441"/>
      <c r="M864" s="2"/>
      <c r="N864" s="442"/>
      <c r="O864" s="417"/>
      <c r="P864" s="418"/>
      <c r="Q864" s="418"/>
      <c r="T864" s="439"/>
      <c r="U864" s="439"/>
      <c r="V864" s="439"/>
      <c r="W864" s="439"/>
      <c r="X864" s="439"/>
    </row>
    <row r="865" spans="1:90" ht="15" customHeight="1">
      <c r="A865" s="2"/>
      <c r="B865" s="2"/>
      <c r="C865" s="2"/>
      <c r="D865" s="2"/>
      <c r="E865" s="3"/>
      <c r="F865" s="4"/>
      <c r="G865" s="441"/>
      <c r="H865" s="441"/>
      <c r="I865" s="441"/>
      <c r="J865" s="441"/>
      <c r="K865" s="441"/>
      <c r="L865" s="441"/>
      <c r="M865" s="2"/>
      <c r="N865" s="442"/>
      <c r="O865" s="417"/>
      <c r="P865" s="418"/>
      <c r="Q865" s="418"/>
      <c r="T865" s="439"/>
      <c r="U865" s="439"/>
      <c r="V865" s="439"/>
      <c r="W865" s="439"/>
      <c r="X865" s="439"/>
    </row>
    <row r="866" spans="1:90" ht="15" customHeight="1">
      <c r="A866" s="2"/>
      <c r="B866" s="2"/>
      <c r="C866" s="2"/>
      <c r="D866" s="2"/>
      <c r="E866" s="3"/>
      <c r="F866" s="4"/>
      <c r="G866" s="441"/>
      <c r="H866" s="441"/>
      <c r="I866" s="441"/>
      <c r="J866" s="441"/>
      <c r="K866" s="441"/>
      <c r="L866" s="441"/>
      <c r="M866" s="2"/>
      <c r="N866" s="442"/>
      <c r="O866" s="417"/>
      <c r="P866" s="418"/>
      <c r="Q866" s="418"/>
      <c r="T866" s="439"/>
      <c r="U866" s="439"/>
      <c r="V866" s="439"/>
      <c r="W866" s="439"/>
      <c r="X866" s="439"/>
    </row>
    <row r="867" spans="1:90" ht="15" customHeight="1">
      <c r="A867" s="2"/>
      <c r="B867" s="2"/>
      <c r="C867" s="2"/>
      <c r="D867" s="2"/>
      <c r="E867" s="3"/>
      <c r="F867" s="4"/>
      <c r="G867" s="441"/>
      <c r="H867" s="441"/>
      <c r="I867" s="441"/>
      <c r="J867" s="441"/>
      <c r="K867" s="441"/>
      <c r="L867" s="441"/>
      <c r="M867" s="2"/>
      <c r="N867" s="442"/>
      <c r="O867" s="417"/>
      <c r="P867" s="418"/>
      <c r="Q867" s="418"/>
      <c r="T867" s="439"/>
      <c r="U867" s="439"/>
      <c r="V867" s="439"/>
      <c r="W867" s="439"/>
      <c r="X867" s="439"/>
    </row>
    <row r="868" spans="1:90" ht="15" customHeight="1">
      <c r="A868" s="2"/>
      <c r="B868" s="2"/>
      <c r="C868" s="2"/>
      <c r="D868" s="2"/>
      <c r="E868" s="3"/>
      <c r="F868" s="4"/>
      <c r="G868" s="441"/>
      <c r="H868" s="441"/>
      <c r="I868" s="441"/>
      <c r="J868" s="441"/>
      <c r="K868" s="441"/>
      <c r="L868" s="441"/>
      <c r="M868" s="2"/>
      <c r="N868" s="442"/>
      <c r="O868" s="417"/>
      <c r="P868" s="418"/>
      <c r="Q868" s="418"/>
      <c r="T868" s="439"/>
      <c r="U868" s="439"/>
      <c r="V868" s="439"/>
      <c r="W868" s="439"/>
      <c r="X868" s="439"/>
      <c r="Y868" s="1091"/>
      <c r="Z868" s="1091"/>
      <c r="AA868" s="1091"/>
      <c r="AB868" s="1091"/>
      <c r="AC868" s="1091"/>
      <c r="AD868" s="1091"/>
      <c r="AE868" s="1091"/>
      <c r="AF868" s="1091"/>
      <c r="AG868" s="1091"/>
      <c r="AH868" s="1091"/>
      <c r="AI868" s="1091"/>
      <c r="AJ868" s="1091"/>
      <c r="AK868" s="1091"/>
      <c r="AL868" s="1091"/>
      <c r="AM868" s="1091"/>
      <c r="AN868" s="1091"/>
      <c r="AO868" s="1091"/>
      <c r="AP868" s="1091"/>
      <c r="AQ868" s="1091"/>
      <c r="AR868" s="1091"/>
      <c r="AS868" s="1091"/>
      <c r="AT868" s="1091"/>
      <c r="AU868" s="1091"/>
      <c r="AV868" s="1091"/>
      <c r="AW868" s="1091"/>
      <c r="AX868" s="1091"/>
      <c r="AY868" s="1091"/>
      <c r="AZ868" s="1091"/>
      <c r="BA868" s="1091"/>
      <c r="BB868" s="1091"/>
      <c r="BC868" s="1091"/>
      <c r="BD868" s="1091"/>
      <c r="BE868" s="1091"/>
      <c r="BF868" s="1091"/>
      <c r="BG868" s="1091"/>
      <c r="BH868" s="1091"/>
      <c r="BI868" s="1091"/>
      <c r="BJ868" s="1091"/>
      <c r="BK868" s="1091"/>
      <c r="BL868" s="1091"/>
      <c r="BM868" s="1091"/>
      <c r="BN868" s="1091"/>
      <c r="BO868" s="1091"/>
      <c r="BP868" s="1091"/>
      <c r="BQ868" s="1091"/>
      <c r="BR868" s="1091"/>
      <c r="BS868" s="1091"/>
      <c r="BT868" s="1091"/>
      <c r="BU868" s="1091"/>
      <c r="BV868" s="1091"/>
      <c r="BW868" s="1091"/>
      <c r="BX868" s="1091"/>
      <c r="BY868" s="1091"/>
      <c r="BZ868" s="1091"/>
      <c r="CA868" s="1091"/>
      <c r="CB868" s="1091"/>
      <c r="CC868" s="1091"/>
      <c r="CD868" s="1091"/>
      <c r="CE868" s="1091"/>
      <c r="CF868" s="1091"/>
      <c r="CG868" s="1091"/>
      <c r="CH868" s="1091"/>
      <c r="CI868" s="1091"/>
      <c r="CJ868" s="1091"/>
      <c r="CK868" s="1091"/>
      <c r="CL868" s="1091"/>
    </row>
    <row r="869" spans="1:90" ht="15" customHeight="1">
      <c r="A869" s="2"/>
      <c r="B869" s="2"/>
      <c r="C869" s="2"/>
      <c r="D869" s="2"/>
      <c r="E869" s="3"/>
      <c r="F869" s="4"/>
      <c r="G869" s="441"/>
      <c r="H869" s="441"/>
      <c r="I869" s="441"/>
      <c r="J869" s="441"/>
      <c r="K869" s="441"/>
      <c r="L869" s="441"/>
      <c r="M869" s="2"/>
      <c r="N869" s="442"/>
      <c r="O869" s="417"/>
      <c r="P869" s="418"/>
      <c r="Q869" s="418"/>
      <c r="T869" s="439"/>
      <c r="U869" s="439"/>
      <c r="V869" s="439"/>
      <c r="W869" s="439"/>
      <c r="X869" s="439"/>
      <c r="Y869" s="1091"/>
      <c r="Z869" s="1091"/>
      <c r="AA869" s="1091"/>
      <c r="AB869" s="1091"/>
      <c r="AC869" s="1091"/>
      <c r="AD869" s="1091"/>
      <c r="AE869" s="1091"/>
      <c r="AF869" s="1091"/>
      <c r="AG869" s="1091"/>
      <c r="AH869" s="1091"/>
      <c r="AI869" s="1091"/>
      <c r="AJ869" s="1091"/>
    </row>
    <row r="870" spans="1:90" ht="15" customHeight="1">
      <c r="A870" s="2"/>
      <c r="B870" s="2"/>
      <c r="C870" s="2"/>
      <c r="D870" s="2"/>
      <c r="E870" s="3"/>
      <c r="F870" s="4"/>
      <c r="G870" s="441"/>
      <c r="H870" s="441"/>
      <c r="I870" s="441"/>
      <c r="J870" s="441"/>
      <c r="K870" s="441"/>
      <c r="L870" s="441"/>
      <c r="M870" s="2"/>
      <c r="N870" s="442"/>
      <c r="O870" s="417"/>
      <c r="P870" s="418"/>
      <c r="Q870" s="418"/>
      <c r="T870" s="439"/>
      <c r="U870" s="439"/>
      <c r="V870" s="439"/>
      <c r="W870" s="439"/>
      <c r="X870" s="439"/>
      <c r="Y870" s="1091"/>
      <c r="Z870" s="1091"/>
      <c r="AA870" s="1091"/>
      <c r="AB870" s="1091"/>
      <c r="AC870" s="1091"/>
      <c r="AD870" s="1091"/>
      <c r="AE870" s="1091"/>
      <c r="AF870" s="1091"/>
      <c r="AG870" s="1091"/>
      <c r="AH870" s="1091"/>
      <c r="AI870" s="1091"/>
      <c r="AJ870" s="1091"/>
      <c r="AK870" s="1091"/>
      <c r="AL870" s="1091"/>
      <c r="AM870" s="1091"/>
      <c r="AN870" s="1091"/>
      <c r="AO870" s="1091"/>
      <c r="AP870" s="1091"/>
      <c r="AQ870" s="1091"/>
      <c r="AR870" s="1091"/>
      <c r="AS870" s="1091"/>
      <c r="AT870" s="1091"/>
      <c r="AU870" s="1091"/>
      <c r="AV870" s="1091"/>
      <c r="AW870" s="1091"/>
      <c r="AX870" s="1091"/>
      <c r="AY870" s="1091"/>
      <c r="AZ870" s="1091"/>
      <c r="BA870" s="1091"/>
      <c r="BB870" s="1091"/>
      <c r="BC870" s="1091"/>
      <c r="BD870" s="1091"/>
      <c r="BE870" s="1091"/>
      <c r="BF870" s="1091"/>
      <c r="BG870" s="1091"/>
      <c r="BH870" s="1091"/>
      <c r="BI870" s="1091"/>
      <c r="BJ870" s="1091"/>
      <c r="BK870" s="1091"/>
      <c r="BL870" s="1091"/>
      <c r="BM870" s="1091"/>
      <c r="BN870" s="1091"/>
      <c r="BO870" s="1091"/>
      <c r="BP870" s="1091"/>
      <c r="BQ870" s="1091"/>
      <c r="BR870" s="1091"/>
      <c r="BS870" s="1091"/>
      <c r="BT870" s="1091"/>
      <c r="BU870" s="1091"/>
      <c r="BV870" s="1091"/>
      <c r="BW870" s="1091"/>
      <c r="BX870" s="1091"/>
      <c r="BY870" s="1091"/>
      <c r="BZ870" s="1091"/>
      <c r="CA870" s="1091"/>
      <c r="CB870" s="1091"/>
      <c r="CC870" s="1091"/>
      <c r="CD870" s="1091"/>
      <c r="CE870" s="1091"/>
      <c r="CF870" s="1091"/>
      <c r="CG870" s="1091"/>
      <c r="CH870" s="1091"/>
      <c r="CI870" s="1091"/>
      <c r="CJ870" s="1091"/>
      <c r="CK870" s="1091"/>
      <c r="CL870" s="1091"/>
    </row>
    <row r="871" spans="1:90" ht="15" customHeight="1">
      <c r="A871" s="2"/>
      <c r="B871" s="2"/>
      <c r="C871" s="2"/>
      <c r="D871" s="2"/>
      <c r="E871" s="3"/>
      <c r="F871" s="4"/>
      <c r="G871" s="441"/>
      <c r="H871" s="441"/>
      <c r="I871" s="441"/>
      <c r="J871" s="441"/>
      <c r="K871" s="441"/>
      <c r="L871" s="441"/>
      <c r="M871" s="2"/>
      <c r="N871" s="442"/>
      <c r="O871" s="417"/>
      <c r="P871" s="418"/>
      <c r="Q871" s="418"/>
      <c r="T871" s="439"/>
      <c r="U871" s="439"/>
      <c r="V871" s="439"/>
      <c r="W871" s="439"/>
      <c r="X871" s="439"/>
      <c r="Y871" s="1091"/>
      <c r="Z871" s="1091"/>
      <c r="AA871" s="1091"/>
      <c r="AB871" s="1091"/>
      <c r="AC871" s="1091"/>
      <c r="AD871" s="1091"/>
      <c r="AE871" s="1091"/>
      <c r="AF871" s="1091"/>
      <c r="AG871" s="1091"/>
      <c r="AH871" s="1091"/>
      <c r="AI871" s="1091"/>
      <c r="AJ871" s="1091"/>
    </row>
    <row r="872" spans="1:90" ht="15" customHeight="1">
      <c r="A872" s="2"/>
      <c r="B872" s="2"/>
      <c r="C872" s="2"/>
      <c r="D872" s="2"/>
      <c r="E872" s="3"/>
      <c r="F872" s="4"/>
      <c r="G872" s="441"/>
      <c r="H872" s="441"/>
      <c r="I872" s="441"/>
      <c r="J872" s="441"/>
      <c r="K872" s="441"/>
      <c r="L872" s="441"/>
      <c r="M872" s="2"/>
      <c r="N872" s="442"/>
      <c r="O872" s="417"/>
      <c r="P872" s="418"/>
      <c r="Q872" s="418"/>
      <c r="T872" s="439"/>
      <c r="U872" s="439"/>
      <c r="V872" s="439"/>
      <c r="W872" s="439"/>
      <c r="X872" s="439"/>
      <c r="Y872" s="1091"/>
      <c r="Z872" s="1091"/>
      <c r="AA872" s="1091"/>
      <c r="AB872" s="1091"/>
      <c r="AC872" s="1091"/>
      <c r="AD872" s="1091"/>
      <c r="AE872" s="1091"/>
      <c r="AF872" s="1091"/>
      <c r="AG872" s="1091"/>
      <c r="AH872" s="1091"/>
      <c r="AI872" s="1091"/>
      <c r="AJ872" s="1091"/>
    </row>
    <row r="873" spans="1:90" ht="15" customHeight="1">
      <c r="A873" s="1085"/>
      <c r="B873" s="1085"/>
      <c r="C873" s="1085"/>
      <c r="D873" s="1085"/>
      <c r="E873" s="1086"/>
      <c r="F873" s="1087"/>
      <c r="G873" s="1088"/>
      <c r="H873" s="1088"/>
      <c r="I873" s="1088"/>
      <c r="J873" s="1088"/>
      <c r="K873" s="1088"/>
      <c r="L873" s="1088"/>
      <c r="M873" s="1085"/>
      <c r="N873" s="1089"/>
      <c r="O873" s="1090"/>
      <c r="P873" s="1091"/>
      <c r="Q873" s="1091"/>
      <c r="R873" s="1091"/>
      <c r="S873" s="1091"/>
      <c r="T873" s="1092"/>
      <c r="U873" s="1092"/>
      <c r="V873" s="1092"/>
      <c r="W873" s="1092"/>
      <c r="X873" s="1092"/>
      <c r="Y873" s="1091"/>
      <c r="Z873" s="1091"/>
      <c r="AA873" s="1091"/>
      <c r="AB873" s="1091"/>
      <c r="AC873" s="1091"/>
      <c r="AD873" s="1091"/>
      <c r="AE873" s="1091"/>
      <c r="AF873" s="1091"/>
      <c r="AG873" s="1091"/>
      <c r="AH873" s="1091"/>
      <c r="AI873" s="1091"/>
      <c r="AJ873" s="1091"/>
    </row>
    <row r="874" spans="1:90" ht="15" customHeight="1">
      <c r="A874" s="2"/>
      <c r="B874" s="2"/>
      <c r="C874" s="2"/>
      <c r="D874" s="2"/>
      <c r="E874" s="3"/>
      <c r="F874" s="4"/>
      <c r="G874" s="441"/>
      <c r="H874" s="441"/>
      <c r="I874" s="441"/>
      <c r="J874" s="441"/>
      <c r="K874" s="441"/>
      <c r="L874" s="441"/>
      <c r="M874" s="2"/>
      <c r="N874" s="442"/>
      <c r="O874" s="417"/>
      <c r="P874" s="418"/>
      <c r="Q874" s="418"/>
      <c r="T874" s="439"/>
      <c r="U874" s="439"/>
      <c r="V874" s="439"/>
      <c r="W874" s="439"/>
      <c r="X874" s="439"/>
    </row>
    <row r="875" spans="1:90" ht="15" customHeight="1">
      <c r="A875" s="2"/>
      <c r="B875" s="2"/>
      <c r="C875" s="2"/>
      <c r="D875" s="2"/>
      <c r="E875" s="3"/>
      <c r="F875" s="4"/>
      <c r="G875" s="441"/>
      <c r="H875" s="441"/>
      <c r="I875" s="441"/>
      <c r="J875" s="441"/>
      <c r="K875" s="441"/>
      <c r="L875" s="441"/>
      <c r="M875" s="2"/>
      <c r="N875" s="442"/>
      <c r="O875" s="417"/>
      <c r="P875" s="418" t="s">
        <v>1022</v>
      </c>
      <c r="Q875" s="418" t="s">
        <v>1262</v>
      </c>
      <c r="R875" s="418" t="s">
        <v>936</v>
      </c>
      <c r="S875" s="418" t="s">
        <v>937</v>
      </c>
      <c r="T875" s="439"/>
      <c r="U875" s="2343" t="s">
        <v>2475</v>
      </c>
      <c r="V875" s="2343"/>
      <c r="W875" s="2343"/>
      <c r="X875" s="439" t="s">
        <v>1128</v>
      </c>
      <c r="Z875" s="418" t="s">
        <v>1264</v>
      </c>
      <c r="AA875" s="1" t="s">
        <v>1271</v>
      </c>
      <c r="AB875" s="1" t="s">
        <v>1674</v>
      </c>
      <c r="AD875" s="1" t="s">
        <v>1811</v>
      </c>
      <c r="AF875" s="1" t="s">
        <v>2476</v>
      </c>
      <c r="AI875" s="1091" t="s">
        <v>2648</v>
      </c>
      <c r="AJ875" s="1091"/>
    </row>
    <row r="876" spans="1:90" ht="15" customHeight="1" thickBot="1">
      <c r="A876" s="2"/>
      <c r="B876" s="2"/>
      <c r="C876" s="2"/>
      <c r="D876" s="2">
        <v>1</v>
      </c>
      <c r="E876" s="2">
        <v>2</v>
      </c>
      <c r="F876" s="2">
        <v>3</v>
      </c>
      <c r="G876" s="2">
        <v>4</v>
      </c>
      <c r="H876" s="2">
        <v>5</v>
      </c>
      <c r="I876" s="2">
        <v>6</v>
      </c>
      <c r="J876" s="2">
        <v>7</v>
      </c>
      <c r="K876" s="2">
        <v>8</v>
      </c>
      <c r="L876" s="2" t="s">
        <v>1469</v>
      </c>
      <c r="M876" s="2">
        <v>10</v>
      </c>
      <c r="N876" s="2">
        <v>11</v>
      </c>
      <c r="O876" s="2">
        <v>12</v>
      </c>
      <c r="P876" s="418">
        <v>13</v>
      </c>
      <c r="Q876" s="418">
        <v>14</v>
      </c>
      <c r="R876" s="418">
        <v>15</v>
      </c>
      <c r="S876" s="418">
        <v>16</v>
      </c>
      <c r="T876" s="923">
        <v>17</v>
      </c>
      <c r="U876" s="1120" t="s">
        <v>2671</v>
      </c>
      <c r="V876" s="1120" t="s">
        <v>2672</v>
      </c>
      <c r="W876" s="1120" t="s">
        <v>2673</v>
      </c>
      <c r="X876" s="923">
        <v>21</v>
      </c>
      <c r="Y876" s="923" t="s">
        <v>2474</v>
      </c>
      <c r="Z876" s="923">
        <v>23</v>
      </c>
      <c r="AA876" s="923">
        <v>24</v>
      </c>
      <c r="AB876" s="923">
        <v>25</v>
      </c>
      <c r="AC876" s="923">
        <v>26</v>
      </c>
      <c r="AD876" s="923">
        <v>27</v>
      </c>
      <c r="AE876" s="923">
        <v>28</v>
      </c>
      <c r="AF876" s="923">
        <v>29</v>
      </c>
      <c r="AG876" s="923">
        <v>30</v>
      </c>
      <c r="AH876" s="1">
        <v>31</v>
      </c>
      <c r="AI876" s="1">
        <v>32</v>
      </c>
      <c r="AJ876" s="1091">
        <v>33</v>
      </c>
      <c r="AK876" s="1">
        <v>34</v>
      </c>
      <c r="AL876" s="1" t="s">
        <v>2979</v>
      </c>
    </row>
    <row r="877" spans="1:90" ht="15" customHeight="1">
      <c r="A877" s="1001">
        <v>1</v>
      </c>
      <c r="B877" s="1002" t="s">
        <v>207</v>
      </c>
      <c r="C877" s="1002" t="s">
        <v>202</v>
      </c>
      <c r="D877" s="1002" t="s">
        <v>1148</v>
      </c>
      <c r="E877" s="1003">
        <v>999</v>
      </c>
      <c r="F877" s="1004" t="s">
        <v>688</v>
      </c>
      <c r="G877" s="1004">
        <f t="shared" ref="G877:G908" si="78">+INDEX($BD$4:$CK$8,MATCH($G$3,$BC$4:$BC$8,0),MATCH(M877,$BD$3:$CK$3,0))</f>
        <v>0.73</v>
      </c>
      <c r="H877" s="1004">
        <f t="shared" ref="H877:H908" si="79">+INDEX($BD$4:$CK$8,MATCH($H$3,$BC$4:$BC$8,0),MATCH(M877,$BD$3:$CK$3,0))</f>
        <v>0.65</v>
      </c>
      <c r="I877" s="1004">
        <f t="shared" ref="I877:I884" si="80">+INDEX($BD$4:$CK$8,MATCH($I$3,$BC$4:$BC$8,0),MATCH(M877,$BD$3:$CK$3,0))</f>
        <v>0.56000000000000005</v>
      </c>
      <c r="J877" s="1004">
        <f t="shared" ref="J877:J884" si="81">+INDEX($BD$4:$CK$8,MATCH($J$3,$BC$4:$BC$8,0),MATCH(M877,$BD$3:$CK$3,0))</f>
        <v>0.48</v>
      </c>
      <c r="K877" s="1004">
        <f t="shared" ref="K877:K908" si="82">+INDEX($BD$4:$CK$8,MATCH($K$3,$BC$4:$BC$8,0),MATCH(M877,$BD$3:$CK$3,0))</f>
        <v>0.42</v>
      </c>
      <c r="L877" s="1005">
        <v>0.05</v>
      </c>
      <c r="M877" s="1002" t="s">
        <v>321</v>
      </c>
      <c r="N877" s="1006">
        <v>0.05</v>
      </c>
      <c r="O877" s="1007">
        <v>6.0000000000000001E-3</v>
      </c>
      <c r="P877" s="1007">
        <v>0.02</v>
      </c>
      <c r="Q877" s="1008" t="s">
        <v>719</v>
      </c>
      <c r="R877" s="1009" t="str">
        <f>IF(OR(S877="서산",S877="광주",S877="화성"),"선보","유림로지스")</f>
        <v>유림로지스</v>
      </c>
      <c r="S877" s="1009" t="s">
        <v>814</v>
      </c>
      <c r="T877" s="1009" t="str">
        <f t="shared" ref="T877:T908" si="83">+IF(LEFT(D877,1)="G","Y","N")</f>
        <v>N</v>
      </c>
      <c r="U877" s="1009">
        <v>0</v>
      </c>
      <c r="V877" s="1009">
        <v>0</v>
      </c>
      <c r="W877" s="1009">
        <v>0</v>
      </c>
      <c r="X877" s="1009" t="s">
        <v>1129</v>
      </c>
      <c r="Y877" s="1009" t="s">
        <v>1265</v>
      </c>
      <c r="Z877" s="1007">
        <f t="shared" ref="Z877:Z908" si="84">IF(AD877="",0%,VLOOKUP(AD877,$D$1072:$E$1094,2,0))</f>
        <v>1.4999999999999999E-2</v>
      </c>
      <c r="AA877" s="1009" t="s">
        <v>1557</v>
      </c>
      <c r="AB877" s="1010" t="s">
        <v>1675</v>
      </c>
      <c r="AC877" s="1011"/>
      <c r="AD877" s="1010" t="s">
        <v>1812</v>
      </c>
      <c r="AE877" s="1010"/>
      <c r="AF877" s="1010" t="s">
        <v>2471</v>
      </c>
      <c r="AG877" s="1010"/>
      <c r="AH877" s="1010"/>
      <c r="AI877" s="1010" t="s">
        <v>3078</v>
      </c>
      <c r="AJ877" s="1144"/>
      <c r="AK877" s="1010" t="s">
        <v>2942</v>
      </c>
      <c r="AL877" s="1011">
        <f t="shared" ref="AL877:AL883" si="85">VLOOKUP(AD877,$D$1072:$F$1094,3,0)</f>
        <v>128000</v>
      </c>
      <c r="AM877" s="1010"/>
      <c r="AN877" s="1010"/>
      <c r="AO877" s="1010"/>
      <c r="AP877" s="1010"/>
      <c r="AQ877" s="1010"/>
      <c r="AR877" s="1010"/>
      <c r="AS877" s="1010"/>
      <c r="AT877" s="1010"/>
      <c r="AU877" s="1010"/>
      <c r="AV877" s="1010"/>
      <c r="AW877" s="1010"/>
      <c r="AX877" s="1010"/>
      <c r="AY877" s="1010"/>
      <c r="AZ877" s="1010"/>
      <c r="BA877" s="1010"/>
      <c r="BB877" s="1010"/>
      <c r="BC877" s="1010"/>
      <c r="BD877" s="1010"/>
      <c r="BE877" s="1010"/>
      <c r="BF877" s="1010"/>
      <c r="BG877" s="1010"/>
      <c r="BH877" s="1010"/>
      <c r="BI877" s="1010"/>
      <c r="BJ877" s="1010"/>
      <c r="BK877" s="1010"/>
      <c r="BL877" s="1010"/>
      <c r="BM877" s="1010"/>
      <c r="BN877" s="1010"/>
      <c r="BO877" s="1010"/>
      <c r="BP877" s="1010"/>
      <c r="BQ877" s="1010"/>
      <c r="BR877" s="1010"/>
      <c r="BS877" s="1010"/>
      <c r="BT877" s="1010"/>
      <c r="BU877" s="1010"/>
      <c r="BV877" s="1010"/>
      <c r="BW877" s="1010"/>
      <c r="BX877" s="1010"/>
      <c r="BY877" s="1010"/>
      <c r="BZ877" s="1010"/>
      <c r="CA877" s="1010"/>
      <c r="CB877" s="1010"/>
      <c r="CC877" s="1010"/>
      <c r="CD877" s="1010"/>
      <c r="CE877" s="1010"/>
      <c r="CF877" s="1010"/>
      <c r="CG877" s="1010"/>
      <c r="CH877" s="1010"/>
      <c r="CI877" s="1010"/>
      <c r="CJ877" s="1010"/>
      <c r="CK877" s="1010"/>
      <c r="CL877" s="1010"/>
    </row>
    <row r="878" spans="1:90" ht="15" customHeight="1">
      <c r="A878" s="417">
        <v>2</v>
      </c>
      <c r="B878" s="417" t="s">
        <v>207</v>
      </c>
      <c r="C878" s="2" t="s">
        <v>202</v>
      </c>
      <c r="D878" s="2" t="s">
        <v>1149</v>
      </c>
      <c r="E878" s="3">
        <v>999</v>
      </c>
      <c r="F878" s="4" t="s">
        <v>688</v>
      </c>
      <c r="G878" s="4">
        <f t="shared" si="78"/>
        <v>0.73</v>
      </c>
      <c r="H878" s="4">
        <f t="shared" si="79"/>
        <v>0.65</v>
      </c>
      <c r="I878" s="4">
        <f t="shared" si="80"/>
        <v>0.56000000000000005</v>
      </c>
      <c r="J878" s="4">
        <f t="shared" si="81"/>
        <v>0.48</v>
      </c>
      <c r="K878" s="4">
        <f t="shared" si="82"/>
        <v>0.42</v>
      </c>
      <c r="L878" s="441">
        <v>0.05</v>
      </c>
      <c r="M878" s="2" t="s">
        <v>321</v>
      </c>
      <c r="N878" s="443">
        <v>0.05</v>
      </c>
      <c r="O878" s="296">
        <v>6.0000000000000001E-3</v>
      </c>
      <c r="P878" s="296">
        <v>0.02</v>
      </c>
      <c r="Q878" s="444" t="s">
        <v>720</v>
      </c>
      <c r="R878" s="633" t="str">
        <f t="shared" ref="R878:R951" si="86">IF(OR(S878="서산",S878="광주",S878="화성"),"선보","유림로지스")</f>
        <v>유림로지스</v>
      </c>
      <c r="S878" s="633" t="s">
        <v>1254</v>
      </c>
      <c r="T878" s="633" t="str">
        <f t="shared" si="83"/>
        <v>N</v>
      </c>
      <c r="U878" s="633">
        <v>0</v>
      </c>
      <c r="V878" s="633">
        <v>0</v>
      </c>
      <c r="W878" s="633">
        <v>0</v>
      </c>
      <c r="X878" s="633" t="s">
        <v>1129</v>
      </c>
      <c r="Y878" s="633" t="s">
        <v>476</v>
      </c>
      <c r="Z878" s="296">
        <f t="shared" si="84"/>
        <v>1.4999999999999999E-2</v>
      </c>
      <c r="AA878" s="633" t="s">
        <v>1557</v>
      </c>
      <c r="AB878" s="1" t="s">
        <v>1675</v>
      </c>
      <c r="AC878" s="736"/>
      <c r="AD878" s="1" t="s">
        <v>1813</v>
      </c>
      <c r="AF878" s="1" t="s">
        <v>2472</v>
      </c>
      <c r="AI878" s="1" t="s">
        <v>3079</v>
      </c>
      <c r="AJ878" s="1091"/>
      <c r="AK878" s="1" t="s">
        <v>2941</v>
      </c>
      <c r="AL878" s="736">
        <f t="shared" si="85"/>
        <v>128000</v>
      </c>
    </row>
    <row r="879" spans="1:90" ht="15" customHeight="1">
      <c r="A879" s="417">
        <v>3</v>
      </c>
      <c r="B879" s="417" t="s">
        <v>207</v>
      </c>
      <c r="C879" s="2" t="s">
        <v>202</v>
      </c>
      <c r="D879" s="2" t="s">
        <v>2710</v>
      </c>
      <c r="E879" s="3">
        <v>999</v>
      </c>
      <c r="F879" s="4" t="s">
        <v>2711</v>
      </c>
      <c r="G879" s="4">
        <f t="shared" si="78"/>
        <v>0.62</v>
      </c>
      <c r="H879" s="4">
        <f t="shared" si="79"/>
        <v>0.54</v>
      </c>
      <c r="I879" s="4">
        <f t="shared" si="80"/>
        <v>0.45</v>
      </c>
      <c r="J879" s="4">
        <f t="shared" si="81"/>
        <v>0.37</v>
      </c>
      <c r="K879" s="4">
        <f t="shared" si="82"/>
        <v>0.31</v>
      </c>
      <c r="L879" s="441">
        <v>0.05</v>
      </c>
      <c r="M879" s="2" t="s">
        <v>1234</v>
      </c>
      <c r="N879" s="443">
        <v>0.05</v>
      </c>
      <c r="O879" s="296">
        <v>6.0000000000000001E-3</v>
      </c>
      <c r="P879" s="296">
        <v>0.02</v>
      </c>
      <c r="Q879" s="444" t="s">
        <v>720</v>
      </c>
      <c r="R879" s="633" t="str">
        <f t="shared" si="86"/>
        <v>유림로지스</v>
      </c>
      <c r="S879" s="633" t="s">
        <v>2712</v>
      </c>
      <c r="T879" s="633" t="str">
        <f t="shared" si="83"/>
        <v>N</v>
      </c>
      <c r="U879" s="633">
        <v>0</v>
      </c>
      <c r="V879" s="633">
        <v>0</v>
      </c>
      <c r="W879" s="633">
        <v>0</v>
      </c>
      <c r="X879" s="633" t="s">
        <v>1129</v>
      </c>
      <c r="Y879" s="633" t="s">
        <v>2713</v>
      </c>
      <c r="Z879" s="296">
        <f t="shared" si="84"/>
        <v>1.4999999999999999E-2</v>
      </c>
      <c r="AA879" s="633" t="s">
        <v>1557</v>
      </c>
      <c r="AB879" s="1" t="s">
        <v>2714</v>
      </c>
      <c r="AC879" s="736"/>
      <c r="AD879" s="1" t="s">
        <v>2715</v>
      </c>
      <c r="AF879" s="1" t="s">
        <v>2716</v>
      </c>
      <c r="AI879" s="1" t="s">
        <v>3080</v>
      </c>
      <c r="AJ879" s="1091"/>
      <c r="AK879" s="1" t="s">
        <v>2943</v>
      </c>
      <c r="AL879" s="736">
        <f t="shared" si="85"/>
        <v>128000</v>
      </c>
    </row>
    <row r="880" spans="1:90" ht="15" customHeight="1">
      <c r="A880" s="417">
        <v>4</v>
      </c>
      <c r="B880" s="1123" t="s">
        <v>207</v>
      </c>
      <c r="C880" s="973" t="s">
        <v>202</v>
      </c>
      <c r="D880" s="973" t="s">
        <v>2717</v>
      </c>
      <c r="E880" s="974">
        <v>1598</v>
      </c>
      <c r="F880" s="975" t="s">
        <v>2718</v>
      </c>
      <c r="G880" s="4">
        <f t="shared" ref="G880" si="87">+INDEX($BD$4:$CK$8,MATCH($G$3,$BC$4:$BC$8,0),MATCH(M880,$BD$3:$CK$3,0))</f>
        <v>0.76</v>
      </c>
      <c r="H880" s="4">
        <f t="shared" ref="H880" si="88">+INDEX($BD$4:$CK$8,MATCH($H$3,$BC$4:$BC$8,0),MATCH(M880,$BD$3:$CK$3,0))</f>
        <v>0.68</v>
      </c>
      <c r="I880" s="4">
        <f t="shared" ref="I880" si="89">+INDEX($BD$4:$CK$8,MATCH($I$3,$BC$4:$BC$8,0),MATCH(M880,$BD$3:$CK$3,0))</f>
        <v>0.59</v>
      </c>
      <c r="J880" s="4">
        <f t="shared" ref="J880" si="90">+INDEX($BD$4:$CK$8,MATCH($J$3,$BC$4:$BC$8,0),MATCH(M880,$BD$3:$CK$3,0))</f>
        <v>0.51</v>
      </c>
      <c r="K880" s="4">
        <f t="shared" ref="K880" si="91">+INDEX($BD$4:$CK$8,MATCH($K$3,$BC$4:$BC$8,0),MATCH(M880,$BD$3:$CK$3,0))</f>
        <v>0.45</v>
      </c>
      <c r="L880" s="1076">
        <v>0.05</v>
      </c>
      <c r="M880" s="973" t="s">
        <v>3075</v>
      </c>
      <c r="N880" s="1077">
        <v>0.05</v>
      </c>
      <c r="O880" s="1078">
        <v>6.0000000000000001E-3</v>
      </c>
      <c r="P880" s="1078">
        <v>0.03</v>
      </c>
      <c r="Q880" s="1079"/>
      <c r="R880" s="1080" t="str">
        <f t="shared" si="86"/>
        <v>유림로지스</v>
      </c>
      <c r="S880" s="1080" t="s">
        <v>2719</v>
      </c>
      <c r="T880" s="1080" t="str">
        <f t="shared" si="83"/>
        <v>N</v>
      </c>
      <c r="U880" s="1080">
        <v>0</v>
      </c>
      <c r="V880" s="1080">
        <v>0</v>
      </c>
      <c r="W880" s="1080">
        <v>0</v>
      </c>
      <c r="X880" s="1080" t="s">
        <v>2720</v>
      </c>
      <c r="Y880" s="1080" t="s">
        <v>2721</v>
      </c>
      <c r="Z880" s="1078">
        <f t="shared" si="84"/>
        <v>2.5000000000000001E-2</v>
      </c>
      <c r="AA880" s="1080" t="s">
        <v>2722</v>
      </c>
      <c r="AB880" s="1061" t="s">
        <v>2716</v>
      </c>
      <c r="AC880" s="1082"/>
      <c r="AD880" s="1061" t="s">
        <v>2723</v>
      </c>
      <c r="AE880" s="1061"/>
      <c r="AF880" s="1061" t="s">
        <v>2713</v>
      </c>
      <c r="AG880" s="1061" t="s">
        <v>2586</v>
      </c>
      <c r="AH880" s="1061"/>
      <c r="AI880" s="1061" t="s">
        <v>3245</v>
      </c>
      <c r="AJ880" s="1061" t="s">
        <v>2664</v>
      </c>
      <c r="AK880" s="1061" t="s">
        <v>2944</v>
      </c>
      <c r="AL880" s="736">
        <f t="shared" si="85"/>
        <v>77000</v>
      </c>
      <c r="AM880" s="1061"/>
      <c r="AN880" s="1061"/>
      <c r="AO880" s="1061"/>
      <c r="AP880" s="1061"/>
      <c r="AQ880" s="1061"/>
      <c r="AR880" s="1061"/>
      <c r="AS880" s="1061"/>
      <c r="AT880" s="1061"/>
      <c r="AU880" s="1061"/>
      <c r="AV880" s="1061"/>
      <c r="AW880" s="1061"/>
      <c r="AX880" s="1061"/>
      <c r="AY880" s="1061"/>
      <c r="AZ880" s="1061"/>
      <c r="BA880" s="1061"/>
      <c r="BB880" s="1061"/>
      <c r="BC880" s="1061"/>
      <c r="BD880" s="1061"/>
      <c r="BE880" s="1061"/>
      <c r="BF880" s="1061"/>
      <c r="BG880" s="1061"/>
      <c r="BH880" s="1061"/>
      <c r="BI880" s="1061"/>
      <c r="BJ880" s="1061"/>
      <c r="BK880" s="1061"/>
      <c r="BL880" s="1061"/>
      <c r="BM880" s="1061"/>
      <c r="BN880" s="1061"/>
      <c r="BO880" s="1061"/>
      <c r="BP880" s="1061"/>
      <c r="BQ880" s="1061"/>
      <c r="BR880" s="1061"/>
      <c r="BS880" s="1061"/>
      <c r="BT880" s="1061"/>
      <c r="BU880" s="1061"/>
      <c r="BV880" s="1061"/>
      <c r="BW880" s="1061"/>
      <c r="BX880" s="1061"/>
      <c r="BY880" s="1061"/>
      <c r="BZ880" s="1061"/>
      <c r="CA880" s="1061"/>
      <c r="CB880" s="1061"/>
      <c r="CC880" s="1061"/>
      <c r="CD880" s="1061"/>
      <c r="CE880" s="1061"/>
      <c r="CF880" s="1061"/>
      <c r="CG880" s="1061"/>
      <c r="CH880" s="1061"/>
      <c r="CI880" s="1061"/>
      <c r="CJ880" s="1061"/>
      <c r="CK880" s="1061"/>
      <c r="CL880" s="1061"/>
    </row>
    <row r="881" spans="1:90" s="1061" customFormat="1" ht="15" customHeight="1">
      <c r="A881" s="417">
        <v>5</v>
      </c>
      <c r="B881" s="417" t="s">
        <v>207</v>
      </c>
      <c r="C881" s="2" t="s">
        <v>202</v>
      </c>
      <c r="D881" s="2" t="s">
        <v>2724</v>
      </c>
      <c r="E881" s="3">
        <v>1591</v>
      </c>
      <c r="F881" s="4" t="s">
        <v>2725</v>
      </c>
      <c r="G881" s="4">
        <f t="shared" ref="G881:G882" si="92">+INDEX($BD$4:$CK$8,MATCH($G$3,$BC$4:$BC$8,0),MATCH(M881,$BD$3:$CK$3,0))</f>
        <v>0.67</v>
      </c>
      <c r="H881" s="4">
        <f t="shared" ref="H881:H882" si="93">+INDEX($BD$4:$CK$8,MATCH($H$3,$BC$4:$BC$8,0),MATCH(M881,$BD$3:$CK$3,0))</f>
        <v>0.59</v>
      </c>
      <c r="I881" s="4">
        <f t="shared" ref="I881:I882" si="94">+INDEX($BD$4:$CK$8,MATCH($I$3,$BC$4:$BC$8,0),MATCH(M881,$BD$3:$CK$3,0))</f>
        <v>0.5</v>
      </c>
      <c r="J881" s="4">
        <f t="shared" ref="J881:J882" si="95">+INDEX($BD$4:$CK$8,MATCH($J$3,$BC$4:$BC$8,0),MATCH(M881,$BD$3:$CK$3,0))</f>
        <v>0.42</v>
      </c>
      <c r="K881" s="4">
        <f t="shared" ref="K881:K882" si="96">+INDEX($BD$4:$CK$8,MATCH($K$3,$BC$4:$BC$8,0),MATCH(M881,$BD$3:$CK$3,0))</f>
        <v>0.36</v>
      </c>
      <c r="L881" s="441">
        <v>0.05</v>
      </c>
      <c r="M881" s="2" t="s">
        <v>326</v>
      </c>
      <c r="N881" s="443">
        <v>0.05</v>
      </c>
      <c r="O881" s="296">
        <v>6.0000000000000001E-3</v>
      </c>
      <c r="P881" s="296">
        <v>0.03</v>
      </c>
      <c r="Q881" s="444"/>
      <c r="R881" s="633" t="str">
        <f t="shared" si="86"/>
        <v>유림로지스</v>
      </c>
      <c r="S881" s="633" t="s">
        <v>2726</v>
      </c>
      <c r="T881" s="633" t="str">
        <f t="shared" si="83"/>
        <v>N</v>
      </c>
      <c r="U881" s="633">
        <v>0</v>
      </c>
      <c r="V881" s="633">
        <v>0</v>
      </c>
      <c r="W881" s="633">
        <v>0</v>
      </c>
      <c r="X881" s="633" t="s">
        <v>2727</v>
      </c>
      <c r="Y881" s="633" t="s">
        <v>2728</v>
      </c>
      <c r="Z881" s="296">
        <f t="shared" si="84"/>
        <v>2.5000000000000001E-2</v>
      </c>
      <c r="AA881" s="633" t="s">
        <v>2729</v>
      </c>
      <c r="AB881" s="1" t="s">
        <v>2716</v>
      </c>
      <c r="AC881" s="736"/>
      <c r="AD881" s="1" t="s">
        <v>2730</v>
      </c>
      <c r="AE881" s="1"/>
      <c r="AF881" s="1" t="s">
        <v>2731</v>
      </c>
      <c r="AG881" s="1"/>
      <c r="AH881" s="1"/>
      <c r="AI881" s="1" t="s">
        <v>3246</v>
      </c>
      <c r="AJ881" s="1091"/>
      <c r="AK881" s="1" t="s">
        <v>2945</v>
      </c>
      <c r="AL881" s="736">
        <f t="shared" si="85"/>
        <v>77000</v>
      </c>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c r="BP881" s="1"/>
      <c r="BQ881" s="1"/>
      <c r="BR881" s="1"/>
      <c r="BS881" s="1"/>
      <c r="BT881" s="1"/>
      <c r="BU881" s="1"/>
      <c r="BV881" s="1"/>
      <c r="BW881" s="1"/>
      <c r="BX881" s="1"/>
      <c r="BY881" s="1"/>
      <c r="BZ881" s="1"/>
      <c r="CA881" s="1"/>
      <c r="CB881" s="1"/>
      <c r="CC881" s="1"/>
      <c r="CD881" s="1"/>
      <c r="CE881" s="1"/>
      <c r="CF881" s="1"/>
      <c r="CG881" s="1"/>
      <c r="CH881" s="1"/>
      <c r="CI881" s="1"/>
      <c r="CJ881" s="1"/>
      <c r="CK881" s="1"/>
      <c r="CL881" s="1"/>
    </row>
    <row r="882" spans="1:90" s="1061" customFormat="1" ht="15" customHeight="1">
      <c r="A882" s="417">
        <v>6</v>
      </c>
      <c r="B882" s="1123" t="s">
        <v>207</v>
      </c>
      <c r="C882" s="973" t="s">
        <v>202</v>
      </c>
      <c r="D882" s="973" t="s">
        <v>2732</v>
      </c>
      <c r="E882" s="974">
        <v>1580</v>
      </c>
      <c r="F882" s="975" t="s">
        <v>2733</v>
      </c>
      <c r="G882" s="4">
        <f t="shared" si="92"/>
        <v>0.7</v>
      </c>
      <c r="H882" s="4">
        <f t="shared" si="93"/>
        <v>0.62</v>
      </c>
      <c r="I882" s="4">
        <f t="shared" si="94"/>
        <v>0.53</v>
      </c>
      <c r="J882" s="4">
        <f t="shared" si="95"/>
        <v>0.45</v>
      </c>
      <c r="K882" s="4">
        <f t="shared" si="96"/>
        <v>0.39</v>
      </c>
      <c r="L882" s="1076">
        <v>0.05</v>
      </c>
      <c r="M882" s="973" t="s">
        <v>3077</v>
      </c>
      <c r="N882" s="1077">
        <v>0.05</v>
      </c>
      <c r="O882" s="1078">
        <v>6.0000000000000001E-3</v>
      </c>
      <c r="P882" s="1078">
        <v>0.03</v>
      </c>
      <c r="Q882" s="1079"/>
      <c r="R882" s="1080" t="str">
        <f t="shared" si="86"/>
        <v>유림로지스</v>
      </c>
      <c r="S882" s="1080" t="s">
        <v>2734</v>
      </c>
      <c r="T882" s="1080" t="str">
        <f t="shared" si="83"/>
        <v>N</v>
      </c>
      <c r="U882" s="1080">
        <v>0</v>
      </c>
      <c r="V882" s="1080">
        <v>0</v>
      </c>
      <c r="W882" s="1080">
        <v>0</v>
      </c>
      <c r="X882" s="1080" t="s">
        <v>2735</v>
      </c>
      <c r="Y882" s="1080" t="s">
        <v>2736</v>
      </c>
      <c r="Z882" s="1078">
        <f t="shared" si="84"/>
        <v>2.5000000000000001E-2</v>
      </c>
      <c r="AA882" s="1080" t="s">
        <v>2737</v>
      </c>
      <c r="AB882" s="1061" t="s">
        <v>2736</v>
      </c>
      <c r="AC882" s="1082"/>
      <c r="AD882" s="1061" t="s">
        <v>2730</v>
      </c>
      <c r="AF882" s="1061" t="s">
        <v>2731</v>
      </c>
      <c r="AG882" s="1061" t="s">
        <v>2587</v>
      </c>
      <c r="AI882" s="1061" t="s">
        <v>145</v>
      </c>
      <c r="AJ882" s="1061" t="s">
        <v>2664</v>
      </c>
      <c r="AK882" s="1061" t="s">
        <v>587</v>
      </c>
      <c r="AL882" s="736">
        <f t="shared" si="85"/>
        <v>77000</v>
      </c>
    </row>
    <row r="883" spans="1:90" ht="15" customHeight="1">
      <c r="A883" s="417">
        <v>7</v>
      </c>
      <c r="B883" s="417" t="s">
        <v>207</v>
      </c>
      <c r="C883" s="2" t="s">
        <v>202</v>
      </c>
      <c r="D883" s="2" t="s">
        <v>2738</v>
      </c>
      <c r="E883" s="3">
        <v>1598</v>
      </c>
      <c r="F883" s="4" t="s">
        <v>2739</v>
      </c>
      <c r="G883" s="4">
        <f t="shared" si="78"/>
        <v>0.74</v>
      </c>
      <c r="H883" s="4">
        <f t="shared" si="79"/>
        <v>0.66</v>
      </c>
      <c r="I883" s="4">
        <f t="shared" si="80"/>
        <v>0.56999999999999995</v>
      </c>
      <c r="J883" s="4">
        <f t="shared" si="81"/>
        <v>0.49</v>
      </c>
      <c r="K883" s="4">
        <f t="shared" si="82"/>
        <v>0.43</v>
      </c>
      <c r="L883" s="441">
        <v>0.05</v>
      </c>
      <c r="M883" s="2" t="s">
        <v>320</v>
      </c>
      <c r="N883" s="443">
        <v>0.05</v>
      </c>
      <c r="O883" s="296">
        <v>6.0000000000000001E-3</v>
      </c>
      <c r="P883" s="296">
        <v>0.03</v>
      </c>
      <c r="Q883" s="444"/>
      <c r="R883" s="633" t="str">
        <f t="shared" si="86"/>
        <v>유림로지스</v>
      </c>
      <c r="S883" s="633" t="s">
        <v>2740</v>
      </c>
      <c r="T883" s="633" t="str">
        <f t="shared" si="83"/>
        <v>N</v>
      </c>
      <c r="U883" s="633">
        <v>0</v>
      </c>
      <c r="V883" s="633">
        <v>0</v>
      </c>
      <c r="W883" s="633">
        <v>0</v>
      </c>
      <c r="X883" s="633" t="s">
        <v>2741</v>
      </c>
      <c r="Y883" s="633" t="s">
        <v>2742</v>
      </c>
      <c r="Z883" s="296">
        <f t="shared" si="84"/>
        <v>2.5000000000000001E-2</v>
      </c>
      <c r="AA883" s="633" t="s">
        <v>2743</v>
      </c>
      <c r="AB883" s="1" t="s">
        <v>2742</v>
      </c>
      <c r="AC883" s="736"/>
      <c r="AD883" s="1" t="s">
        <v>1768</v>
      </c>
      <c r="AF883" s="1" t="s">
        <v>2731</v>
      </c>
      <c r="AI883" s="1" t="s">
        <v>145</v>
      </c>
      <c r="AJ883" s="1091"/>
      <c r="AK883" s="1" t="s">
        <v>612</v>
      </c>
      <c r="AL883" s="736">
        <f t="shared" si="85"/>
        <v>77000</v>
      </c>
    </row>
    <row r="884" spans="1:90" s="1061" customFormat="1" ht="15" customHeight="1">
      <c r="A884" s="417">
        <v>8</v>
      </c>
      <c r="B884" s="417" t="s">
        <v>207</v>
      </c>
      <c r="C884" s="2" t="s">
        <v>202</v>
      </c>
      <c r="D884" s="2" t="s">
        <v>2744</v>
      </c>
      <c r="E884" s="3">
        <v>1580</v>
      </c>
      <c r="F884" s="4" t="s">
        <v>2745</v>
      </c>
      <c r="G884" s="4">
        <f t="shared" si="78"/>
        <v>0.65</v>
      </c>
      <c r="H884" s="4">
        <f t="shared" si="79"/>
        <v>0.56999999999999995</v>
      </c>
      <c r="I884" s="4">
        <f t="shared" si="80"/>
        <v>0.48</v>
      </c>
      <c r="J884" s="4">
        <f t="shared" si="81"/>
        <v>0.4</v>
      </c>
      <c r="K884" s="4">
        <f t="shared" si="82"/>
        <v>0.34</v>
      </c>
      <c r="L884" s="441">
        <v>0.05</v>
      </c>
      <c r="M884" s="2" t="s">
        <v>328</v>
      </c>
      <c r="N884" s="443">
        <v>0.05</v>
      </c>
      <c r="O884" s="296">
        <v>6.0000000000000001E-3</v>
      </c>
      <c r="P884" s="296">
        <v>0</v>
      </c>
      <c r="Q884" s="444"/>
      <c r="R884" s="633" t="str">
        <f t="shared" si="86"/>
        <v>유림로지스</v>
      </c>
      <c r="S884" s="633" t="s">
        <v>2746</v>
      </c>
      <c r="T884" s="633" t="str">
        <f t="shared" si="83"/>
        <v>N</v>
      </c>
      <c r="U884" s="633">
        <v>0</v>
      </c>
      <c r="V884" s="633">
        <v>0</v>
      </c>
      <c r="W884" s="633">
        <v>0</v>
      </c>
      <c r="X884" s="633" t="s">
        <v>2747</v>
      </c>
      <c r="Y884" s="633" t="s">
        <v>2742</v>
      </c>
      <c r="Z884" s="296">
        <f t="shared" si="84"/>
        <v>0</v>
      </c>
      <c r="AA884" s="633" t="s">
        <v>2737</v>
      </c>
      <c r="AB884" s="1" t="s">
        <v>2742</v>
      </c>
      <c r="AC884" s="736"/>
      <c r="AD884" s="1"/>
      <c r="AE884" s="1"/>
      <c r="AF884" s="1" t="s">
        <v>2731</v>
      </c>
      <c r="AG884" s="1"/>
      <c r="AH884" s="1"/>
      <c r="AI884" s="1" t="s">
        <v>3081</v>
      </c>
      <c r="AJ884" s="1091"/>
      <c r="AK884" s="1" t="s">
        <v>2946</v>
      </c>
      <c r="AL884" s="736"/>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c r="BP884" s="1"/>
      <c r="BQ884" s="1"/>
      <c r="BR884" s="1"/>
      <c r="BS884" s="1"/>
      <c r="BT884" s="1"/>
      <c r="BU884" s="1"/>
      <c r="BV884" s="1"/>
      <c r="BW884" s="1"/>
      <c r="BX884" s="1"/>
      <c r="BY884" s="1"/>
      <c r="BZ884" s="1"/>
      <c r="CA884" s="1"/>
      <c r="CB884" s="1"/>
      <c r="CC884" s="1"/>
      <c r="CD884" s="1"/>
      <c r="CE884" s="1"/>
      <c r="CF884" s="1"/>
      <c r="CG884" s="1"/>
      <c r="CH884" s="1"/>
      <c r="CI884" s="1"/>
      <c r="CJ884" s="1"/>
      <c r="CK884" s="1"/>
      <c r="CL884" s="1"/>
    </row>
    <row r="885" spans="1:90" ht="15" customHeight="1">
      <c r="A885" s="417">
        <v>9</v>
      </c>
      <c r="B885" s="417" t="s">
        <v>207</v>
      </c>
      <c r="C885" s="2" t="s">
        <v>202</v>
      </c>
      <c r="D885" s="2" t="s">
        <v>2748</v>
      </c>
      <c r="E885" s="3">
        <v>0</v>
      </c>
      <c r="F885" s="4" t="s">
        <v>2749</v>
      </c>
      <c r="G885" s="4" t="e">
        <f t="shared" si="78"/>
        <v>#N/A</v>
      </c>
      <c r="H885" s="4" t="e">
        <f t="shared" si="79"/>
        <v>#N/A</v>
      </c>
      <c r="I885" s="4">
        <f>+IF(운용리스_단일!$AS$40=20000,42%,37%)</f>
        <v>0.42</v>
      </c>
      <c r="J885" s="4">
        <f>+IF(운용리스_단일!$AS$40=20000,35%,30%)</f>
        <v>0.35</v>
      </c>
      <c r="K885" s="4" t="e">
        <f t="shared" si="82"/>
        <v>#N/A</v>
      </c>
      <c r="L885" s="441">
        <f>+IF(AND(계산_운용리스_단일!$C$4="전기",계산_운용리스_단일!$D$4="국산",계산_운용리스_단일!$C$17=20000),5%,3%)</f>
        <v>0.03</v>
      </c>
      <c r="M885" s="2"/>
      <c r="N885" s="443">
        <v>0.05</v>
      </c>
      <c r="O885" s="296">
        <v>6.0000000000000001E-3</v>
      </c>
      <c r="P885" s="296">
        <v>0.02</v>
      </c>
      <c r="Q885" s="444"/>
      <c r="R885" s="633" t="str">
        <f t="shared" ref="R885:R891" si="97">IF(OR(S885="서산",S885="광주",S885="화성"),"선보","유림로지스")</f>
        <v>유림로지스</v>
      </c>
      <c r="S885" s="633" t="s">
        <v>2740</v>
      </c>
      <c r="T885" s="633" t="str">
        <f t="shared" si="83"/>
        <v>N</v>
      </c>
      <c r="U885" s="633">
        <v>0</v>
      </c>
      <c r="V885" s="633">
        <v>0</v>
      </c>
      <c r="W885" s="633">
        <v>0</v>
      </c>
      <c r="X885" s="633" t="s">
        <v>2741</v>
      </c>
      <c r="Y885" s="633" t="s">
        <v>2742</v>
      </c>
      <c r="Z885" s="296">
        <f t="shared" si="84"/>
        <v>0.02</v>
      </c>
      <c r="AA885" s="633" t="s">
        <v>2749</v>
      </c>
      <c r="AB885" s="1" t="s">
        <v>2742</v>
      </c>
      <c r="AC885" s="736"/>
      <c r="AD885" s="1" t="s">
        <v>2750</v>
      </c>
      <c r="AF885" s="1" t="s">
        <v>2731</v>
      </c>
      <c r="AI885" s="1" t="s">
        <v>158</v>
      </c>
      <c r="AJ885" s="1091"/>
      <c r="AK885" s="1" t="s">
        <v>2947</v>
      </c>
      <c r="AL885" s="736">
        <f t="shared" ref="AL885:AL891" si="98">VLOOKUP(AD885,$D$1072:$F$1094,3,0)</f>
        <v>81000</v>
      </c>
    </row>
    <row r="886" spans="1:90" ht="15" customHeight="1">
      <c r="A886" s="417">
        <v>10</v>
      </c>
      <c r="B886" s="417" t="s">
        <v>207</v>
      </c>
      <c r="C886" s="2" t="s">
        <v>202</v>
      </c>
      <c r="D886" s="2" t="s">
        <v>2751</v>
      </c>
      <c r="E886" s="3">
        <v>0</v>
      </c>
      <c r="F886" s="4" t="s">
        <v>2749</v>
      </c>
      <c r="G886" s="4" t="e">
        <f t="shared" si="78"/>
        <v>#N/A</v>
      </c>
      <c r="H886" s="4" t="e">
        <f t="shared" si="79"/>
        <v>#N/A</v>
      </c>
      <c r="I886" s="4">
        <f>+IF(운용리스_단일!$AS$40=20000,42%,37%)</f>
        <v>0.42</v>
      </c>
      <c r="J886" s="4">
        <f>+IF(운용리스_단일!$AS$40=20000,35%,30%)</f>
        <v>0.35</v>
      </c>
      <c r="K886" s="4" t="e">
        <f t="shared" si="82"/>
        <v>#N/A</v>
      </c>
      <c r="L886" s="441">
        <f>+IF(AND(계산_운용리스_단일!$C$4="전기",계산_운용리스_단일!$D$4="국산",계산_운용리스_단일!$C$17=20000),5%,3%)</f>
        <v>0.03</v>
      </c>
      <c r="M886" s="2"/>
      <c r="N886" s="443">
        <v>0.05</v>
      </c>
      <c r="O886" s="296">
        <v>6.0000000000000001E-3</v>
      </c>
      <c r="P886" s="296">
        <v>0.02</v>
      </c>
      <c r="Q886" s="444"/>
      <c r="R886" s="633" t="str">
        <f t="shared" si="97"/>
        <v>유림로지스</v>
      </c>
      <c r="S886" s="633" t="s">
        <v>2746</v>
      </c>
      <c r="T886" s="633" t="str">
        <f t="shared" si="83"/>
        <v>N</v>
      </c>
      <c r="U886" s="633">
        <v>0</v>
      </c>
      <c r="V886" s="633">
        <v>0</v>
      </c>
      <c r="W886" s="633">
        <v>0</v>
      </c>
      <c r="X886" s="633" t="s">
        <v>2747</v>
      </c>
      <c r="Y886" s="633" t="s">
        <v>2731</v>
      </c>
      <c r="Z886" s="296">
        <f t="shared" si="84"/>
        <v>0.02</v>
      </c>
      <c r="AA886" s="633" t="s">
        <v>2749</v>
      </c>
      <c r="AB886" s="1" t="s">
        <v>2731</v>
      </c>
      <c r="AC886" s="736"/>
      <c r="AD886" s="1" t="s">
        <v>2750</v>
      </c>
      <c r="AF886" s="1" t="s">
        <v>2731</v>
      </c>
      <c r="AI886" s="1" t="s">
        <v>158</v>
      </c>
      <c r="AJ886" s="1091"/>
      <c r="AK886" s="1" t="s">
        <v>2948</v>
      </c>
      <c r="AL886" s="736">
        <f t="shared" si="98"/>
        <v>81000</v>
      </c>
    </row>
    <row r="887" spans="1:90" ht="15" customHeight="1">
      <c r="A887" s="417">
        <v>11</v>
      </c>
      <c r="B887" s="417" t="s">
        <v>207</v>
      </c>
      <c r="C887" s="2" t="s">
        <v>202</v>
      </c>
      <c r="D887" s="2" t="s">
        <v>2752</v>
      </c>
      <c r="E887" s="3">
        <v>0</v>
      </c>
      <c r="F887" s="4" t="s">
        <v>2749</v>
      </c>
      <c r="G887" s="4" t="e">
        <f t="shared" si="78"/>
        <v>#N/A</v>
      </c>
      <c r="H887" s="4" t="e">
        <f t="shared" si="79"/>
        <v>#N/A</v>
      </c>
      <c r="I887" s="4">
        <f>+IF(운용리스_단일!$AS$40=20000,42%,37%)</f>
        <v>0.42</v>
      </c>
      <c r="J887" s="4">
        <f>+IF(운용리스_단일!$AS$40=20000,35%,30%)</f>
        <v>0.35</v>
      </c>
      <c r="K887" s="4" t="e">
        <f t="shared" si="82"/>
        <v>#N/A</v>
      </c>
      <c r="L887" s="441">
        <f>+IF(AND(계산_운용리스_단일!$C$4="전기",계산_운용리스_단일!$D$4="국산",계산_운용리스_단일!$C$17=20000),5%,3%)</f>
        <v>0.03</v>
      </c>
      <c r="M887" s="2"/>
      <c r="N887" s="443">
        <v>0.05</v>
      </c>
      <c r="O887" s="296">
        <v>6.0000000000000001E-3</v>
      </c>
      <c r="P887" s="296">
        <v>0.02</v>
      </c>
      <c r="Q887" s="444"/>
      <c r="R887" s="633" t="str">
        <f t="shared" si="97"/>
        <v>유림로지스</v>
      </c>
      <c r="S887" s="633" t="s">
        <v>2746</v>
      </c>
      <c r="T887" s="633" t="str">
        <f t="shared" si="83"/>
        <v>N</v>
      </c>
      <c r="U887" s="633">
        <v>0</v>
      </c>
      <c r="V887" s="633">
        <v>0</v>
      </c>
      <c r="W887" s="633">
        <v>0</v>
      </c>
      <c r="X887" s="633" t="s">
        <v>2747</v>
      </c>
      <c r="Y887" s="633" t="s">
        <v>2731</v>
      </c>
      <c r="Z887" s="296">
        <f t="shared" si="84"/>
        <v>0.02</v>
      </c>
      <c r="AA887" s="633" t="s">
        <v>2749</v>
      </c>
      <c r="AB887" s="1" t="s">
        <v>2731</v>
      </c>
      <c r="AC887" s="736"/>
      <c r="AD887" s="1" t="s">
        <v>2750</v>
      </c>
      <c r="AF887" s="1" t="s">
        <v>2731</v>
      </c>
      <c r="AI887" s="1" t="s">
        <v>158</v>
      </c>
      <c r="AJ887" s="1091"/>
      <c r="AK887" s="1" t="s">
        <v>612</v>
      </c>
      <c r="AL887" s="736">
        <f t="shared" si="98"/>
        <v>81000</v>
      </c>
    </row>
    <row r="888" spans="1:90" ht="15" customHeight="1">
      <c r="A888" s="417">
        <v>12</v>
      </c>
      <c r="B888" s="417" t="s">
        <v>207</v>
      </c>
      <c r="C888" s="2" t="s">
        <v>202</v>
      </c>
      <c r="D888" s="2" t="s">
        <v>2753</v>
      </c>
      <c r="E888" s="3">
        <v>0</v>
      </c>
      <c r="F888" s="4" t="s">
        <v>2749</v>
      </c>
      <c r="G888" s="4" t="e">
        <f t="shared" si="78"/>
        <v>#N/A</v>
      </c>
      <c r="H888" s="4" t="e">
        <f t="shared" si="79"/>
        <v>#N/A</v>
      </c>
      <c r="I888" s="4">
        <f>+IF(운용리스_단일!$AS$40=20000,42%,37%)</f>
        <v>0.42</v>
      </c>
      <c r="J888" s="4">
        <f>+IF(운용리스_단일!$AS$40=20000,35%,30%)</f>
        <v>0.35</v>
      </c>
      <c r="K888" s="4" t="e">
        <f t="shared" si="82"/>
        <v>#N/A</v>
      </c>
      <c r="L888" s="441">
        <f>+IF(AND(계산_운용리스_단일!$C$4="전기",계산_운용리스_단일!$D$4="국산",계산_운용리스_단일!$C$17=20000),5%,3%)</f>
        <v>0.03</v>
      </c>
      <c r="M888" s="2"/>
      <c r="N888" s="443">
        <v>0.05</v>
      </c>
      <c r="O888" s="296">
        <v>6.0000000000000001E-3</v>
      </c>
      <c r="P888" s="296">
        <v>0.02</v>
      </c>
      <c r="Q888" s="444"/>
      <c r="R888" s="633" t="str">
        <f t="shared" si="97"/>
        <v>유림로지스</v>
      </c>
      <c r="S888" s="633" t="s">
        <v>2746</v>
      </c>
      <c r="T888" s="633" t="str">
        <f t="shared" si="83"/>
        <v>N</v>
      </c>
      <c r="U888" s="633">
        <v>0</v>
      </c>
      <c r="V888" s="633">
        <v>0</v>
      </c>
      <c r="W888" s="633">
        <v>0</v>
      </c>
      <c r="X888" s="633" t="s">
        <v>2747</v>
      </c>
      <c r="Y888" s="633" t="s">
        <v>2731</v>
      </c>
      <c r="Z888" s="296">
        <f t="shared" si="84"/>
        <v>0.02</v>
      </c>
      <c r="AA888" s="633" t="s">
        <v>2749</v>
      </c>
      <c r="AB888" s="1" t="s">
        <v>2731</v>
      </c>
      <c r="AC888" s="736"/>
      <c r="AD888" s="1" t="s">
        <v>2750</v>
      </c>
      <c r="AF888" s="1" t="s">
        <v>2731</v>
      </c>
      <c r="AI888" s="1" t="s">
        <v>158</v>
      </c>
      <c r="AJ888" s="1091"/>
      <c r="AK888" s="1" t="s">
        <v>2949</v>
      </c>
      <c r="AL888" s="736">
        <f t="shared" si="98"/>
        <v>81000</v>
      </c>
    </row>
    <row r="889" spans="1:90" s="1061" customFormat="1" ht="15" customHeight="1">
      <c r="A889" s="417">
        <v>13</v>
      </c>
      <c r="B889" s="417" t="s">
        <v>207</v>
      </c>
      <c r="C889" s="2" t="s">
        <v>202</v>
      </c>
      <c r="D889" s="2" t="s">
        <v>2754</v>
      </c>
      <c r="E889" s="3">
        <v>0</v>
      </c>
      <c r="F889" s="4" t="s">
        <v>2749</v>
      </c>
      <c r="G889" s="4" t="e">
        <f t="shared" si="78"/>
        <v>#N/A</v>
      </c>
      <c r="H889" s="4" t="e">
        <f t="shared" si="79"/>
        <v>#N/A</v>
      </c>
      <c r="I889" s="4">
        <f>+IF(운용리스_단일!$AS$40=20000,42%,37%)</f>
        <v>0.42</v>
      </c>
      <c r="J889" s="4">
        <f>+IF(운용리스_단일!$AS$40=20000,35%,30%)</f>
        <v>0.35</v>
      </c>
      <c r="K889" s="4" t="e">
        <f t="shared" si="82"/>
        <v>#N/A</v>
      </c>
      <c r="L889" s="441">
        <f>+IF(AND(계산_운용리스_단일!$C$4="전기",계산_운용리스_단일!$D$4="국산",계산_운용리스_단일!$C$17=20000),5%,3%)</f>
        <v>0.03</v>
      </c>
      <c r="M889" s="2"/>
      <c r="N889" s="443">
        <v>0.05</v>
      </c>
      <c r="O889" s="296">
        <v>6.0000000000000001E-3</v>
      </c>
      <c r="P889" s="296">
        <v>0.02</v>
      </c>
      <c r="Q889" s="444"/>
      <c r="R889" s="633" t="str">
        <f t="shared" si="97"/>
        <v>유림로지스</v>
      </c>
      <c r="S889" s="633" t="s">
        <v>2746</v>
      </c>
      <c r="T889" s="633" t="str">
        <f t="shared" si="83"/>
        <v>N</v>
      </c>
      <c r="U889" s="633">
        <v>0</v>
      </c>
      <c r="V889" s="633">
        <v>0</v>
      </c>
      <c r="W889" s="633">
        <v>0</v>
      </c>
      <c r="X889" s="633" t="s">
        <v>2747</v>
      </c>
      <c r="Y889" s="633" t="s">
        <v>2731</v>
      </c>
      <c r="Z889" s="296">
        <f t="shared" si="84"/>
        <v>0.02</v>
      </c>
      <c r="AA889" s="633" t="s">
        <v>2749</v>
      </c>
      <c r="AB889" s="1" t="s">
        <v>2731</v>
      </c>
      <c r="AC889" s="736"/>
      <c r="AD889" s="1" t="s">
        <v>2750</v>
      </c>
      <c r="AE889" s="1"/>
      <c r="AF889" s="1" t="s">
        <v>2731</v>
      </c>
      <c r="AG889" s="1"/>
      <c r="AH889" s="1"/>
      <c r="AI889" s="1" t="s">
        <v>158</v>
      </c>
      <c r="AJ889" s="1091"/>
      <c r="AK889" s="1" t="s">
        <v>612</v>
      </c>
      <c r="AL889" s="736">
        <f t="shared" si="98"/>
        <v>81000</v>
      </c>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c r="BP889" s="1"/>
      <c r="BQ889" s="1"/>
      <c r="BR889" s="1"/>
      <c r="BS889" s="1"/>
      <c r="BT889" s="1"/>
      <c r="BU889" s="1"/>
      <c r="BV889" s="1"/>
      <c r="BW889" s="1"/>
      <c r="BX889" s="1"/>
      <c r="BY889" s="1"/>
      <c r="BZ889" s="1"/>
      <c r="CA889" s="1"/>
      <c r="CB889" s="1"/>
      <c r="CC889" s="1"/>
      <c r="CD889" s="1"/>
      <c r="CE889" s="1"/>
      <c r="CF889" s="1"/>
      <c r="CG889" s="1"/>
      <c r="CH889" s="1"/>
      <c r="CI889" s="1"/>
      <c r="CJ889" s="1"/>
      <c r="CK889" s="1"/>
      <c r="CL889" s="1"/>
    </row>
    <row r="890" spans="1:90" s="1061" customFormat="1" ht="15" customHeight="1">
      <c r="A890" s="417">
        <v>14</v>
      </c>
      <c r="B890" s="417" t="s">
        <v>207</v>
      </c>
      <c r="C890" s="2" t="s">
        <v>202</v>
      </c>
      <c r="D890" s="2" t="s">
        <v>2755</v>
      </c>
      <c r="E890" s="3">
        <v>0</v>
      </c>
      <c r="F890" s="4" t="s">
        <v>2749</v>
      </c>
      <c r="G890" s="4" t="e">
        <f t="shared" si="78"/>
        <v>#N/A</v>
      </c>
      <c r="H890" s="4" t="e">
        <f t="shared" si="79"/>
        <v>#N/A</v>
      </c>
      <c r="I890" s="4">
        <f>+IF(운용리스_단일!$AS$40=20000,42%,37%)</f>
        <v>0.42</v>
      </c>
      <c r="J890" s="4">
        <f>+IF(운용리스_단일!$AS$40=20000,35%,30%)</f>
        <v>0.35</v>
      </c>
      <c r="K890" s="4" t="e">
        <f t="shared" si="82"/>
        <v>#N/A</v>
      </c>
      <c r="L890" s="441">
        <f>+IF(AND(계산_운용리스_단일!$C$4="전기",계산_운용리스_단일!$D$4="국산",계산_운용리스_단일!$C$17=20000),5%,3%)</f>
        <v>0.03</v>
      </c>
      <c r="M890" s="2"/>
      <c r="N890" s="443">
        <v>0.05</v>
      </c>
      <c r="O890" s="296">
        <v>6.0000000000000001E-3</v>
      </c>
      <c r="P890" s="296">
        <v>0.02</v>
      </c>
      <c r="Q890" s="444"/>
      <c r="R890" s="633" t="str">
        <f t="shared" si="97"/>
        <v>유림로지스</v>
      </c>
      <c r="S890" s="633" t="s">
        <v>2746</v>
      </c>
      <c r="T890" s="633" t="str">
        <f t="shared" si="83"/>
        <v>N</v>
      </c>
      <c r="U890" s="633">
        <v>0</v>
      </c>
      <c r="V890" s="633">
        <v>0</v>
      </c>
      <c r="W890" s="633">
        <v>0</v>
      </c>
      <c r="X890" s="633" t="s">
        <v>2747</v>
      </c>
      <c r="Y890" s="633" t="s">
        <v>2731</v>
      </c>
      <c r="Z890" s="296">
        <f t="shared" si="84"/>
        <v>0.02</v>
      </c>
      <c r="AA890" s="633" t="s">
        <v>2749</v>
      </c>
      <c r="AB890" s="1" t="s">
        <v>2731</v>
      </c>
      <c r="AC890" s="736"/>
      <c r="AD890" s="1" t="s">
        <v>2750</v>
      </c>
      <c r="AE890" s="1"/>
      <c r="AF890" s="1" t="s">
        <v>2731</v>
      </c>
      <c r="AG890" s="1"/>
      <c r="AH890" s="1"/>
      <c r="AI890" s="1" t="s">
        <v>158</v>
      </c>
      <c r="AJ890" s="1091"/>
      <c r="AK890" s="1" t="s">
        <v>612</v>
      </c>
      <c r="AL890" s="736">
        <f t="shared" si="98"/>
        <v>81000</v>
      </c>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c r="BP890" s="1"/>
      <c r="BQ890" s="1"/>
      <c r="BR890" s="1"/>
      <c r="BS890" s="1"/>
      <c r="BT890" s="1"/>
      <c r="BU890" s="1"/>
      <c r="BV890" s="1"/>
      <c r="BW890" s="1"/>
      <c r="BX890" s="1"/>
      <c r="BY890" s="1"/>
      <c r="BZ890" s="1"/>
      <c r="CA890" s="1"/>
      <c r="CB890" s="1"/>
      <c r="CC890" s="1"/>
      <c r="CD890" s="1"/>
      <c r="CE890" s="1"/>
      <c r="CF890" s="1"/>
      <c r="CG890" s="1"/>
      <c r="CH890" s="1"/>
      <c r="CI890" s="1"/>
      <c r="CJ890" s="1"/>
      <c r="CK890" s="1"/>
      <c r="CL890" s="1"/>
    </row>
    <row r="891" spans="1:90" ht="15" customHeight="1">
      <c r="A891" s="417">
        <v>15</v>
      </c>
      <c r="B891" s="417" t="s">
        <v>207</v>
      </c>
      <c r="C891" s="2" t="s">
        <v>202</v>
      </c>
      <c r="D891" s="2" t="s">
        <v>2756</v>
      </c>
      <c r="E891" s="3">
        <v>0</v>
      </c>
      <c r="F891" s="4" t="s">
        <v>2749</v>
      </c>
      <c r="G891" s="4" t="e">
        <f t="shared" si="78"/>
        <v>#N/A</v>
      </c>
      <c r="H891" s="4" t="e">
        <f t="shared" si="79"/>
        <v>#N/A</v>
      </c>
      <c r="I891" s="4">
        <f>+IF(운용리스_단일!$AS$40=20000,42%,37%)</f>
        <v>0.42</v>
      </c>
      <c r="J891" s="4">
        <f>+IF(운용리스_단일!$AS$40=20000,35%,30%)</f>
        <v>0.35</v>
      </c>
      <c r="K891" s="4" t="e">
        <f t="shared" si="82"/>
        <v>#N/A</v>
      </c>
      <c r="L891" s="441">
        <f>+IF(AND(계산_운용리스_단일!$C$4="전기",계산_운용리스_단일!$D$4="국산",계산_운용리스_단일!$C$17=20000),5%,3%)</f>
        <v>0.03</v>
      </c>
      <c r="M891" s="2"/>
      <c r="N891" s="443">
        <v>0.05</v>
      </c>
      <c r="O891" s="296">
        <v>6.0000000000000001E-3</v>
      </c>
      <c r="P891" s="296">
        <v>0.02</v>
      </c>
      <c r="Q891" s="444"/>
      <c r="R891" s="633" t="str">
        <f t="shared" si="97"/>
        <v>유림로지스</v>
      </c>
      <c r="S891" s="633" t="s">
        <v>2746</v>
      </c>
      <c r="T891" s="633" t="str">
        <f t="shared" si="83"/>
        <v>N</v>
      </c>
      <c r="U891" s="633">
        <v>0</v>
      </c>
      <c r="V891" s="633">
        <v>0</v>
      </c>
      <c r="W891" s="633">
        <v>0</v>
      </c>
      <c r="X891" s="633" t="s">
        <v>2747</v>
      </c>
      <c r="Y891" s="633" t="s">
        <v>2731</v>
      </c>
      <c r="Z891" s="296">
        <f t="shared" si="84"/>
        <v>0.02</v>
      </c>
      <c r="AA891" s="633" t="s">
        <v>2749</v>
      </c>
      <c r="AB891" s="1" t="s">
        <v>2731</v>
      </c>
      <c r="AC891" s="736"/>
      <c r="AD891" s="1" t="s">
        <v>2750</v>
      </c>
      <c r="AF891" s="1" t="s">
        <v>2731</v>
      </c>
      <c r="AI891" s="1" t="s">
        <v>158</v>
      </c>
      <c r="AJ891" s="1091"/>
      <c r="AK891" s="1" t="s">
        <v>612</v>
      </c>
      <c r="AL891" s="736">
        <f t="shared" si="98"/>
        <v>81000</v>
      </c>
    </row>
    <row r="892" spans="1:90" ht="15" customHeight="1">
      <c r="A892" s="417">
        <v>16</v>
      </c>
      <c r="B892" s="417" t="s">
        <v>207</v>
      </c>
      <c r="C892" s="2" t="s">
        <v>202</v>
      </c>
      <c r="D892" s="2" t="s">
        <v>2757</v>
      </c>
      <c r="E892" s="3">
        <v>1591</v>
      </c>
      <c r="F892" s="4" t="s">
        <v>2758</v>
      </c>
      <c r="G892" s="4" t="e">
        <f t="shared" si="78"/>
        <v>#N/A</v>
      </c>
      <c r="H892" s="4" t="e">
        <f t="shared" si="79"/>
        <v>#N/A</v>
      </c>
      <c r="I892" s="4" t="e">
        <f t="shared" ref="I892:I926" si="99">+INDEX($BD$4:$CK$8,MATCH($I$3,$BC$4:$BC$8,0),MATCH(M892,$BD$3:$CK$3,0))</f>
        <v>#N/A</v>
      </c>
      <c r="J892" s="4" t="e">
        <f t="shared" ref="J892:J926" si="100">+INDEX($BD$4:$CK$8,MATCH($J$3,$BC$4:$BC$8,0),MATCH(M892,$BD$3:$CK$3,0))</f>
        <v>#N/A</v>
      </c>
      <c r="K892" s="4" t="e">
        <f t="shared" si="82"/>
        <v>#N/A</v>
      </c>
      <c r="L892" s="441">
        <v>0</v>
      </c>
      <c r="M892" s="2"/>
      <c r="N892" s="443">
        <v>0.05</v>
      </c>
      <c r="O892" s="296">
        <v>6.0000000000000001E-3</v>
      </c>
      <c r="P892" s="296">
        <v>0</v>
      </c>
      <c r="Q892" s="444"/>
      <c r="R892" s="633" t="str">
        <f t="shared" si="86"/>
        <v>유림로지스</v>
      </c>
      <c r="S892" s="633" t="s">
        <v>2746</v>
      </c>
      <c r="T892" s="633" t="str">
        <f t="shared" si="83"/>
        <v>N</v>
      </c>
      <c r="U892" s="633">
        <v>0</v>
      </c>
      <c r="V892" s="633">
        <v>0</v>
      </c>
      <c r="W892" s="633">
        <v>0</v>
      </c>
      <c r="X892" s="633" t="s">
        <v>2747</v>
      </c>
      <c r="Y892" s="633" t="s">
        <v>2731</v>
      </c>
      <c r="Z892" s="296">
        <f t="shared" si="84"/>
        <v>0</v>
      </c>
      <c r="AA892" s="633" t="s">
        <v>2737</v>
      </c>
      <c r="AB892" s="1" t="s">
        <v>2731</v>
      </c>
      <c r="AC892" s="736"/>
      <c r="AF892" s="1" t="s">
        <v>2731</v>
      </c>
      <c r="AI892" s="1" t="s">
        <v>3082</v>
      </c>
      <c r="AJ892" s="1091"/>
      <c r="AK892" s="1" t="s">
        <v>612</v>
      </c>
      <c r="AL892" s="736"/>
    </row>
    <row r="893" spans="1:90" ht="15" customHeight="1">
      <c r="A893" s="417">
        <v>17</v>
      </c>
      <c r="B893" s="417" t="s">
        <v>207</v>
      </c>
      <c r="C893" s="2" t="s">
        <v>202</v>
      </c>
      <c r="D893" s="2" t="s">
        <v>2759</v>
      </c>
      <c r="E893" s="3">
        <v>1353</v>
      </c>
      <c r="F893" s="4" t="s">
        <v>2758</v>
      </c>
      <c r="G893" s="4" t="e">
        <f t="shared" si="78"/>
        <v>#N/A</v>
      </c>
      <c r="H893" s="4" t="e">
        <f t="shared" si="79"/>
        <v>#N/A</v>
      </c>
      <c r="I893" s="4" t="e">
        <f t="shared" si="99"/>
        <v>#N/A</v>
      </c>
      <c r="J893" s="4" t="e">
        <f t="shared" si="100"/>
        <v>#N/A</v>
      </c>
      <c r="K893" s="4" t="e">
        <f t="shared" si="82"/>
        <v>#N/A</v>
      </c>
      <c r="L893" s="441">
        <v>0</v>
      </c>
      <c r="M893" s="2"/>
      <c r="N893" s="443">
        <v>0.05</v>
      </c>
      <c r="O893" s="296">
        <v>6.0000000000000001E-3</v>
      </c>
      <c r="P893" s="296">
        <v>0</v>
      </c>
      <c r="Q893" s="444"/>
      <c r="R893" s="633" t="str">
        <f t="shared" si="86"/>
        <v>유림로지스</v>
      </c>
      <c r="S893" s="633" t="s">
        <v>2746</v>
      </c>
      <c r="T893" s="633" t="str">
        <f t="shared" si="83"/>
        <v>N</v>
      </c>
      <c r="U893" s="633">
        <v>0</v>
      </c>
      <c r="V893" s="633">
        <v>0</v>
      </c>
      <c r="W893" s="633">
        <v>0</v>
      </c>
      <c r="X893" s="633" t="s">
        <v>2747</v>
      </c>
      <c r="Y893" s="633" t="s">
        <v>2731</v>
      </c>
      <c r="Z893" s="296">
        <f t="shared" si="84"/>
        <v>0</v>
      </c>
      <c r="AA893" s="633" t="s">
        <v>2737</v>
      </c>
      <c r="AB893" s="1" t="s">
        <v>2731</v>
      </c>
      <c r="AC893" s="736"/>
      <c r="AD893" s="1" t="s">
        <v>2760</v>
      </c>
      <c r="AF893" s="1" t="s">
        <v>2731</v>
      </c>
      <c r="AI893" s="1" t="s">
        <v>3083</v>
      </c>
      <c r="AJ893" s="1091"/>
      <c r="AK893" s="1" t="s">
        <v>2947</v>
      </c>
      <c r="AL893" s="736">
        <f t="shared" ref="AL893:AL924" si="101">VLOOKUP(AD893,$D$1072:$F$1094,3,0)</f>
        <v>0</v>
      </c>
    </row>
    <row r="894" spans="1:90" ht="15" customHeight="1">
      <c r="A894" s="417">
        <v>18</v>
      </c>
      <c r="B894" s="417" t="s">
        <v>207</v>
      </c>
      <c r="C894" s="2" t="s">
        <v>202</v>
      </c>
      <c r="D894" s="2" t="s">
        <v>2761</v>
      </c>
      <c r="E894" s="3">
        <v>1591</v>
      </c>
      <c r="F894" s="4" t="s">
        <v>2758</v>
      </c>
      <c r="G894" s="4" t="e">
        <f t="shared" si="78"/>
        <v>#N/A</v>
      </c>
      <c r="H894" s="4" t="e">
        <f t="shared" si="79"/>
        <v>#N/A</v>
      </c>
      <c r="I894" s="4" t="e">
        <f t="shared" si="99"/>
        <v>#N/A</v>
      </c>
      <c r="J894" s="4" t="e">
        <f t="shared" si="100"/>
        <v>#N/A</v>
      </c>
      <c r="K894" s="4" t="e">
        <f t="shared" si="82"/>
        <v>#N/A</v>
      </c>
      <c r="L894" s="441">
        <v>0</v>
      </c>
      <c r="M894" s="2"/>
      <c r="N894" s="443">
        <v>0.05</v>
      </c>
      <c r="O894" s="296">
        <v>6.0000000000000001E-3</v>
      </c>
      <c r="P894" s="296">
        <v>0</v>
      </c>
      <c r="Q894" s="444"/>
      <c r="R894" s="633" t="str">
        <f t="shared" si="86"/>
        <v>유림로지스</v>
      </c>
      <c r="S894" s="633" t="s">
        <v>2746</v>
      </c>
      <c r="T894" s="633" t="str">
        <f t="shared" si="83"/>
        <v>N</v>
      </c>
      <c r="U894" s="633">
        <v>0</v>
      </c>
      <c r="V894" s="633">
        <v>0</v>
      </c>
      <c r="W894" s="633">
        <v>0</v>
      </c>
      <c r="X894" s="633" t="s">
        <v>2747</v>
      </c>
      <c r="Y894" s="633" t="s">
        <v>2731</v>
      </c>
      <c r="Z894" s="296">
        <f t="shared" si="84"/>
        <v>0</v>
      </c>
      <c r="AA894" s="633" t="s">
        <v>2737</v>
      </c>
      <c r="AB894" s="1" t="s">
        <v>2731</v>
      </c>
      <c r="AC894" s="736"/>
      <c r="AD894" s="1" t="s">
        <v>2760</v>
      </c>
      <c r="AF894" s="1" t="s">
        <v>2731</v>
      </c>
      <c r="AI894" s="1" t="s">
        <v>3081</v>
      </c>
      <c r="AJ894" s="1091"/>
      <c r="AK894" s="1" t="s">
        <v>612</v>
      </c>
      <c r="AL894" s="736">
        <f t="shared" si="101"/>
        <v>0</v>
      </c>
    </row>
    <row r="895" spans="1:90" s="1061" customFormat="1" ht="15" customHeight="1">
      <c r="A895" s="417">
        <v>19</v>
      </c>
      <c r="B895" s="417" t="s">
        <v>207</v>
      </c>
      <c r="C895" s="2" t="s">
        <v>202</v>
      </c>
      <c r="D895" s="2" t="s">
        <v>2762</v>
      </c>
      <c r="E895" s="3">
        <v>1998</v>
      </c>
      <c r="F895" s="4" t="s">
        <v>2758</v>
      </c>
      <c r="G895" s="4" t="e">
        <f t="shared" si="78"/>
        <v>#N/A</v>
      </c>
      <c r="H895" s="4" t="e">
        <f t="shared" si="79"/>
        <v>#N/A</v>
      </c>
      <c r="I895" s="4" t="e">
        <f t="shared" si="99"/>
        <v>#N/A</v>
      </c>
      <c r="J895" s="4" t="e">
        <f t="shared" si="100"/>
        <v>#N/A</v>
      </c>
      <c r="K895" s="4" t="e">
        <f t="shared" si="82"/>
        <v>#N/A</v>
      </c>
      <c r="L895" s="441">
        <v>0</v>
      </c>
      <c r="M895" s="2"/>
      <c r="N895" s="443">
        <v>0.05</v>
      </c>
      <c r="O895" s="296">
        <v>6.0000000000000001E-3</v>
      </c>
      <c r="P895" s="296">
        <v>0</v>
      </c>
      <c r="Q895" s="444"/>
      <c r="R895" s="633" t="str">
        <f t="shared" si="86"/>
        <v>유림로지스</v>
      </c>
      <c r="S895" s="633" t="s">
        <v>2746</v>
      </c>
      <c r="T895" s="633" t="str">
        <f t="shared" si="83"/>
        <v>N</v>
      </c>
      <c r="U895" s="633">
        <v>0</v>
      </c>
      <c r="V895" s="633">
        <v>0</v>
      </c>
      <c r="W895" s="633">
        <v>0</v>
      </c>
      <c r="X895" s="633" t="s">
        <v>2747</v>
      </c>
      <c r="Y895" s="633" t="s">
        <v>2731</v>
      </c>
      <c r="Z895" s="296">
        <f t="shared" si="84"/>
        <v>0</v>
      </c>
      <c r="AA895" s="633" t="s">
        <v>2737</v>
      </c>
      <c r="AB895" s="1" t="s">
        <v>2731</v>
      </c>
      <c r="AC895" s="736"/>
      <c r="AD895" s="1" t="s">
        <v>2760</v>
      </c>
      <c r="AE895" s="1"/>
      <c r="AF895" s="1" t="s">
        <v>2731</v>
      </c>
      <c r="AG895" s="1"/>
      <c r="AH895" s="1"/>
      <c r="AI895" s="1" t="s">
        <v>3083</v>
      </c>
      <c r="AJ895" s="1091"/>
      <c r="AK895" s="1" t="s">
        <v>612</v>
      </c>
      <c r="AL895" s="736">
        <f t="shared" si="101"/>
        <v>0</v>
      </c>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c r="BP895" s="1"/>
      <c r="BQ895" s="1"/>
      <c r="BR895" s="1"/>
      <c r="BS895" s="1"/>
      <c r="BT895" s="1"/>
      <c r="BU895" s="1"/>
      <c r="BV895" s="1"/>
      <c r="BW895" s="1"/>
      <c r="BX895" s="1"/>
      <c r="BY895" s="1"/>
      <c r="BZ895" s="1"/>
      <c r="CA895" s="1"/>
      <c r="CB895" s="1"/>
      <c r="CC895" s="1"/>
      <c r="CD895" s="1"/>
      <c r="CE895" s="1"/>
      <c r="CF895" s="1"/>
      <c r="CG895" s="1"/>
      <c r="CH895" s="1"/>
      <c r="CI895" s="1"/>
      <c r="CJ895" s="1"/>
      <c r="CK895" s="1"/>
      <c r="CL895" s="1"/>
    </row>
    <row r="896" spans="1:90" s="1061" customFormat="1" ht="15" customHeight="1">
      <c r="A896" s="417">
        <v>20</v>
      </c>
      <c r="B896" s="417" t="s">
        <v>207</v>
      </c>
      <c r="C896" s="2" t="s">
        <v>202</v>
      </c>
      <c r="D896" s="2" t="s">
        <v>2763</v>
      </c>
      <c r="E896" s="3">
        <v>1999</v>
      </c>
      <c r="F896" s="4" t="s">
        <v>2758</v>
      </c>
      <c r="G896" s="4">
        <f t="shared" si="78"/>
        <v>0.76</v>
      </c>
      <c r="H896" s="4">
        <f t="shared" si="79"/>
        <v>0.68</v>
      </c>
      <c r="I896" s="4">
        <f t="shared" si="99"/>
        <v>0.59</v>
      </c>
      <c r="J896" s="4">
        <f t="shared" si="100"/>
        <v>0.51</v>
      </c>
      <c r="K896" s="4">
        <f t="shared" si="82"/>
        <v>0.45</v>
      </c>
      <c r="L896" s="441">
        <v>0</v>
      </c>
      <c r="M896" s="2" t="s">
        <v>170</v>
      </c>
      <c r="N896" s="443">
        <v>0.05</v>
      </c>
      <c r="O896" s="296">
        <v>6.0000000000000001E-3</v>
      </c>
      <c r="P896" s="296">
        <v>4.4999999999999998E-2</v>
      </c>
      <c r="Q896" s="444"/>
      <c r="R896" s="633" t="str">
        <f t="shared" si="86"/>
        <v>유림로지스</v>
      </c>
      <c r="S896" s="633" t="s">
        <v>2764</v>
      </c>
      <c r="T896" s="633" t="str">
        <f t="shared" si="83"/>
        <v>N</v>
      </c>
      <c r="U896" s="633">
        <v>0</v>
      </c>
      <c r="V896" s="633">
        <v>0</v>
      </c>
      <c r="W896" s="633">
        <v>0</v>
      </c>
      <c r="X896" s="633" t="s">
        <v>2747</v>
      </c>
      <c r="Y896" s="633" t="s">
        <v>2731</v>
      </c>
      <c r="Z896" s="296">
        <f t="shared" si="84"/>
        <v>2.5000000000000001E-2</v>
      </c>
      <c r="AA896" s="633" t="s">
        <v>2737</v>
      </c>
      <c r="AB896" s="1" t="s">
        <v>2731</v>
      </c>
      <c r="AC896" s="736"/>
      <c r="AD896" s="1" t="s">
        <v>2765</v>
      </c>
      <c r="AE896" s="1"/>
      <c r="AF896" s="1" t="s">
        <v>2731</v>
      </c>
      <c r="AG896" s="1"/>
      <c r="AH896" s="1"/>
      <c r="AI896" s="1" t="s">
        <v>3081</v>
      </c>
      <c r="AJ896" s="1091"/>
      <c r="AK896" s="1" t="s">
        <v>2950</v>
      </c>
      <c r="AL896" s="736">
        <f t="shared" si="101"/>
        <v>0</v>
      </c>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c r="BP896" s="1"/>
      <c r="BQ896" s="1"/>
      <c r="BR896" s="1"/>
      <c r="BS896" s="1"/>
      <c r="BT896" s="1"/>
      <c r="BU896" s="1"/>
      <c r="BV896" s="1"/>
      <c r="BW896" s="1"/>
      <c r="BX896" s="1"/>
      <c r="BY896" s="1"/>
      <c r="BZ896" s="1"/>
      <c r="CA896" s="1"/>
      <c r="CB896" s="1"/>
      <c r="CC896" s="1"/>
      <c r="CD896" s="1"/>
      <c r="CE896" s="1"/>
      <c r="CF896" s="1"/>
      <c r="CG896" s="1"/>
      <c r="CH896" s="1"/>
      <c r="CI896" s="1"/>
      <c r="CJ896" s="1"/>
      <c r="CK896" s="1"/>
      <c r="CL896" s="1"/>
    </row>
    <row r="897" spans="1:90" ht="15" customHeight="1">
      <c r="A897" s="417">
        <v>21</v>
      </c>
      <c r="B897" s="417" t="s">
        <v>207</v>
      </c>
      <c r="C897" s="2" t="s">
        <v>202</v>
      </c>
      <c r="D897" s="2" t="s">
        <v>2766</v>
      </c>
      <c r="E897" s="3">
        <v>1999</v>
      </c>
      <c r="F897" s="4" t="s">
        <v>2758</v>
      </c>
      <c r="G897" s="4">
        <f t="shared" si="78"/>
        <v>0.67</v>
      </c>
      <c r="H897" s="4">
        <f t="shared" si="79"/>
        <v>0.59</v>
      </c>
      <c r="I897" s="4">
        <f t="shared" si="99"/>
        <v>0.5</v>
      </c>
      <c r="J897" s="4">
        <f t="shared" si="100"/>
        <v>0.42</v>
      </c>
      <c r="K897" s="4">
        <f t="shared" si="82"/>
        <v>0.36</v>
      </c>
      <c r="L897" s="441">
        <v>0</v>
      </c>
      <c r="M897" s="2" t="s">
        <v>326</v>
      </c>
      <c r="N897" s="443">
        <v>0.05</v>
      </c>
      <c r="O897" s="296">
        <v>6.0000000000000001E-3</v>
      </c>
      <c r="P897" s="296">
        <v>4.4999999999999998E-2</v>
      </c>
      <c r="Q897" s="444"/>
      <c r="R897" s="633" t="str">
        <f t="shared" si="86"/>
        <v>유림로지스</v>
      </c>
      <c r="S897" s="633" t="s">
        <v>2764</v>
      </c>
      <c r="T897" s="633" t="str">
        <f t="shared" si="83"/>
        <v>N</v>
      </c>
      <c r="U897" s="633">
        <v>0</v>
      </c>
      <c r="V897" s="633">
        <v>0</v>
      </c>
      <c r="W897" s="633">
        <v>0</v>
      </c>
      <c r="X897" s="633" t="s">
        <v>2747</v>
      </c>
      <c r="Y897" s="633" t="s">
        <v>2731</v>
      </c>
      <c r="Z897" s="296">
        <f t="shared" si="84"/>
        <v>2.5000000000000001E-2</v>
      </c>
      <c r="AA897" s="633" t="s">
        <v>2737</v>
      </c>
      <c r="AB897" s="1" t="s">
        <v>2731</v>
      </c>
      <c r="AC897" s="736"/>
      <c r="AD897" s="1" t="s">
        <v>2765</v>
      </c>
      <c r="AF897" s="1" t="s">
        <v>2731</v>
      </c>
      <c r="AI897" s="1" t="s">
        <v>3084</v>
      </c>
      <c r="AJ897" s="1091"/>
      <c r="AK897" s="1" t="s">
        <v>612</v>
      </c>
      <c r="AL897" s="736">
        <f t="shared" si="101"/>
        <v>0</v>
      </c>
    </row>
    <row r="898" spans="1:90" s="1061" customFormat="1" ht="15" customHeight="1">
      <c r="A898" s="417">
        <v>22</v>
      </c>
      <c r="B898" s="417" t="s">
        <v>207</v>
      </c>
      <c r="C898" s="2" t="s">
        <v>202</v>
      </c>
      <c r="D898" s="2" t="s">
        <v>2767</v>
      </c>
      <c r="E898" s="3">
        <v>1999</v>
      </c>
      <c r="F898" s="4" t="s">
        <v>2745</v>
      </c>
      <c r="G898" s="4">
        <f t="shared" si="78"/>
        <v>0.7</v>
      </c>
      <c r="H898" s="4">
        <f t="shared" si="79"/>
        <v>0.62</v>
      </c>
      <c r="I898" s="4">
        <f t="shared" si="99"/>
        <v>0.53</v>
      </c>
      <c r="J898" s="4">
        <f t="shared" si="100"/>
        <v>0.45</v>
      </c>
      <c r="K898" s="4">
        <f t="shared" si="82"/>
        <v>0.39</v>
      </c>
      <c r="L898" s="441">
        <v>0</v>
      </c>
      <c r="M898" s="2" t="s">
        <v>324</v>
      </c>
      <c r="N898" s="443">
        <v>0.05</v>
      </c>
      <c r="O898" s="296">
        <v>6.0000000000000001E-3</v>
      </c>
      <c r="P898" s="296">
        <v>4.4999999999999998E-2</v>
      </c>
      <c r="Q898" s="444"/>
      <c r="R898" s="633" t="str">
        <f t="shared" si="86"/>
        <v>유림로지스</v>
      </c>
      <c r="S898" s="633" t="s">
        <v>2764</v>
      </c>
      <c r="T898" s="633" t="str">
        <f t="shared" si="83"/>
        <v>N</v>
      </c>
      <c r="U898" s="633">
        <v>0</v>
      </c>
      <c r="V898" s="633">
        <v>0</v>
      </c>
      <c r="W898" s="633">
        <v>0</v>
      </c>
      <c r="X898" s="633" t="s">
        <v>2747</v>
      </c>
      <c r="Y898" s="633" t="s">
        <v>2731</v>
      </c>
      <c r="Z898" s="296">
        <f t="shared" si="84"/>
        <v>2.5000000000000001E-2</v>
      </c>
      <c r="AA898" s="633" t="s">
        <v>2768</v>
      </c>
      <c r="AB898" s="1" t="s">
        <v>2731</v>
      </c>
      <c r="AC898" s="736"/>
      <c r="AD898" s="1" t="s">
        <v>2765</v>
      </c>
      <c r="AE898" s="1"/>
      <c r="AF898" s="1" t="s">
        <v>2731</v>
      </c>
      <c r="AG898" s="1"/>
      <c r="AH898" s="1"/>
      <c r="AI898" s="1" t="s">
        <v>3084</v>
      </c>
      <c r="AJ898" s="1091"/>
      <c r="AK898" s="1" t="s">
        <v>612</v>
      </c>
      <c r="AL898" s="736">
        <f t="shared" si="101"/>
        <v>0</v>
      </c>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c r="BP898" s="1"/>
      <c r="BQ898" s="1"/>
      <c r="BR898" s="1"/>
      <c r="BS898" s="1"/>
      <c r="BT898" s="1"/>
      <c r="BU898" s="1"/>
      <c r="BV898" s="1"/>
      <c r="BW898" s="1"/>
      <c r="BX898" s="1"/>
      <c r="BY898" s="1"/>
      <c r="BZ898" s="1"/>
      <c r="CA898" s="1"/>
      <c r="CB898" s="1"/>
      <c r="CC898" s="1"/>
      <c r="CD898" s="1"/>
      <c r="CE898" s="1"/>
      <c r="CF898" s="1"/>
      <c r="CG898" s="1"/>
      <c r="CH898" s="1"/>
      <c r="CI898" s="1"/>
      <c r="CJ898" s="1"/>
      <c r="CK898" s="1"/>
      <c r="CL898" s="1"/>
    </row>
    <row r="899" spans="1:90" s="1061" customFormat="1" ht="15" customHeight="1">
      <c r="A899" s="417">
        <v>23</v>
      </c>
      <c r="B899" s="417" t="s">
        <v>207</v>
      </c>
      <c r="C899" s="2" t="s">
        <v>202</v>
      </c>
      <c r="D899" s="2" t="s">
        <v>2769</v>
      </c>
      <c r="E899" s="3">
        <v>1598</v>
      </c>
      <c r="F899" s="4" t="s">
        <v>2758</v>
      </c>
      <c r="G899" s="4">
        <f t="shared" si="78"/>
        <v>0.73</v>
      </c>
      <c r="H899" s="4">
        <f t="shared" si="79"/>
        <v>0.65</v>
      </c>
      <c r="I899" s="4">
        <f t="shared" si="99"/>
        <v>0.56000000000000005</v>
      </c>
      <c r="J899" s="4">
        <f t="shared" si="100"/>
        <v>0.48</v>
      </c>
      <c r="K899" s="4">
        <f t="shared" si="82"/>
        <v>0.42</v>
      </c>
      <c r="L899" s="441">
        <v>0</v>
      </c>
      <c r="M899" s="2" t="s">
        <v>321</v>
      </c>
      <c r="N899" s="443">
        <v>0.05</v>
      </c>
      <c r="O899" s="296">
        <v>6.0000000000000001E-3</v>
      </c>
      <c r="P899" s="296">
        <v>4.4999999999999998E-2</v>
      </c>
      <c r="Q899" s="444"/>
      <c r="R899" s="633" t="str">
        <f t="shared" si="86"/>
        <v>유림로지스</v>
      </c>
      <c r="S899" s="633" t="s">
        <v>2764</v>
      </c>
      <c r="T899" s="633" t="str">
        <f t="shared" si="83"/>
        <v>N</v>
      </c>
      <c r="U899" s="633">
        <v>0</v>
      </c>
      <c r="V899" s="633">
        <v>0</v>
      </c>
      <c r="W899" s="633">
        <v>0</v>
      </c>
      <c r="X899" s="633" t="s">
        <v>2747</v>
      </c>
      <c r="Y899" s="633" t="s">
        <v>2731</v>
      </c>
      <c r="Z899" s="296">
        <f t="shared" si="84"/>
        <v>2.5000000000000001E-2</v>
      </c>
      <c r="AA899" s="633" t="s">
        <v>2737</v>
      </c>
      <c r="AB899" s="1" t="s">
        <v>2731</v>
      </c>
      <c r="AC899" s="736"/>
      <c r="AD899" s="1" t="s">
        <v>2765</v>
      </c>
      <c r="AE899" s="1"/>
      <c r="AF899" s="1" t="s">
        <v>2731</v>
      </c>
      <c r="AG899" s="1"/>
      <c r="AH899" s="1"/>
      <c r="AI899" s="1" t="s">
        <v>3084</v>
      </c>
      <c r="AJ899" s="1091"/>
      <c r="AK899" s="1" t="s">
        <v>612</v>
      </c>
      <c r="AL899" s="736">
        <f t="shared" si="101"/>
        <v>0</v>
      </c>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c r="BP899" s="1"/>
      <c r="BQ899" s="1"/>
      <c r="BR899" s="1"/>
      <c r="BS899" s="1"/>
      <c r="BT899" s="1"/>
      <c r="BU899" s="1"/>
      <c r="BV899" s="1"/>
      <c r="BW899" s="1"/>
      <c r="BX899" s="1"/>
      <c r="BY899" s="1"/>
      <c r="BZ899" s="1"/>
      <c r="CA899" s="1"/>
      <c r="CB899" s="1"/>
      <c r="CC899" s="1"/>
      <c r="CD899" s="1"/>
      <c r="CE899" s="1"/>
      <c r="CF899" s="1"/>
      <c r="CG899" s="1"/>
      <c r="CH899" s="1"/>
      <c r="CI899" s="1"/>
      <c r="CJ899" s="1"/>
      <c r="CK899" s="1"/>
      <c r="CL899" s="1"/>
    </row>
    <row r="900" spans="1:90" s="1061" customFormat="1" ht="15" customHeight="1">
      <c r="A900" s="417">
        <v>24</v>
      </c>
      <c r="B900" s="417" t="s">
        <v>207</v>
      </c>
      <c r="C900" s="2" t="s">
        <v>202</v>
      </c>
      <c r="D900" s="2" t="s">
        <v>2770</v>
      </c>
      <c r="E900" s="3">
        <v>2497</v>
      </c>
      <c r="F900" s="4" t="s">
        <v>2758</v>
      </c>
      <c r="G900" s="4">
        <f t="shared" si="78"/>
        <v>0.72</v>
      </c>
      <c r="H900" s="4">
        <f t="shared" si="79"/>
        <v>0.64</v>
      </c>
      <c r="I900" s="4">
        <f t="shared" si="99"/>
        <v>0.55000000000000004</v>
      </c>
      <c r="J900" s="4">
        <f t="shared" si="100"/>
        <v>0.47</v>
      </c>
      <c r="K900" s="4">
        <f t="shared" si="82"/>
        <v>0.41</v>
      </c>
      <c r="L900" s="441">
        <v>0</v>
      </c>
      <c r="M900" s="2" t="s">
        <v>322</v>
      </c>
      <c r="N900" s="443">
        <v>0.05</v>
      </c>
      <c r="O900" s="296">
        <v>6.0000000000000001E-3</v>
      </c>
      <c r="P900" s="296">
        <v>4.4999999999999998E-2</v>
      </c>
      <c r="Q900" s="444"/>
      <c r="R900" s="633" t="str">
        <f t="shared" si="86"/>
        <v>유림로지스</v>
      </c>
      <c r="S900" s="633" t="s">
        <v>2764</v>
      </c>
      <c r="T900" s="633" t="str">
        <f t="shared" si="83"/>
        <v>N</v>
      </c>
      <c r="U900" s="633">
        <v>0</v>
      </c>
      <c r="V900" s="633">
        <v>0</v>
      </c>
      <c r="W900" s="633">
        <v>0</v>
      </c>
      <c r="X900" s="633" t="s">
        <v>2747</v>
      </c>
      <c r="Y900" s="633" t="s">
        <v>2731</v>
      </c>
      <c r="Z900" s="296">
        <f t="shared" si="84"/>
        <v>2.5000000000000001E-2</v>
      </c>
      <c r="AA900" s="633" t="s">
        <v>2737</v>
      </c>
      <c r="AB900" s="1" t="s">
        <v>2731</v>
      </c>
      <c r="AC900" s="736"/>
      <c r="AD900" s="1" t="s">
        <v>2765</v>
      </c>
      <c r="AE900" s="1"/>
      <c r="AF900" s="1" t="s">
        <v>2731</v>
      </c>
      <c r="AG900" s="1"/>
      <c r="AH900" s="1"/>
      <c r="AI900" s="1" t="s">
        <v>3084</v>
      </c>
      <c r="AJ900" s="1091"/>
      <c r="AK900" s="1" t="s">
        <v>2951</v>
      </c>
      <c r="AL900" s="736">
        <f t="shared" si="101"/>
        <v>0</v>
      </c>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c r="BP900" s="1"/>
      <c r="BQ900" s="1"/>
      <c r="BR900" s="1"/>
      <c r="BS900" s="1"/>
      <c r="BT900" s="1"/>
      <c r="BU900" s="1"/>
      <c r="BV900" s="1"/>
      <c r="BW900" s="1"/>
      <c r="BX900" s="1"/>
      <c r="BY900" s="1"/>
      <c r="BZ900" s="1"/>
      <c r="CA900" s="1"/>
      <c r="CB900" s="1"/>
      <c r="CC900" s="1"/>
      <c r="CD900" s="1"/>
      <c r="CE900" s="1"/>
      <c r="CF900" s="1"/>
      <c r="CG900" s="1"/>
      <c r="CH900" s="1"/>
      <c r="CI900" s="1"/>
      <c r="CJ900" s="1"/>
      <c r="CK900" s="1"/>
      <c r="CL900" s="1"/>
    </row>
    <row r="901" spans="1:90" s="1061" customFormat="1" ht="15" customHeight="1">
      <c r="A901" s="417">
        <v>25</v>
      </c>
      <c r="B901" s="1123" t="s">
        <v>207</v>
      </c>
      <c r="C901" s="973" t="s">
        <v>202</v>
      </c>
      <c r="D901" s="973" t="s">
        <v>2771</v>
      </c>
      <c r="E901" s="974">
        <v>2497</v>
      </c>
      <c r="F901" s="975" t="s">
        <v>2758</v>
      </c>
      <c r="G901" s="975">
        <f t="shared" si="78"/>
        <v>0.79</v>
      </c>
      <c r="H901" s="975">
        <f t="shared" si="79"/>
        <v>0.71</v>
      </c>
      <c r="I901" s="975">
        <f t="shared" si="99"/>
        <v>0.62</v>
      </c>
      <c r="J901" s="975">
        <f t="shared" si="100"/>
        <v>0.54</v>
      </c>
      <c r="K901" s="975">
        <f t="shared" si="82"/>
        <v>0.48</v>
      </c>
      <c r="L901" s="1076">
        <v>0.05</v>
      </c>
      <c r="M901" s="973" t="s">
        <v>163</v>
      </c>
      <c r="N901" s="1077">
        <v>0.05</v>
      </c>
      <c r="O901" s="1078">
        <v>6.0000000000000001E-3</v>
      </c>
      <c r="P901" s="1078">
        <v>2.5000000000000001E-2</v>
      </c>
      <c r="Q901" s="1079"/>
      <c r="R901" s="1080" t="str">
        <f t="shared" si="86"/>
        <v>유림로지스</v>
      </c>
      <c r="S901" s="1080" t="s">
        <v>2764</v>
      </c>
      <c r="T901" s="1080" t="str">
        <f t="shared" si="83"/>
        <v>N</v>
      </c>
      <c r="U901" s="1080">
        <v>0</v>
      </c>
      <c r="V901" s="1080">
        <v>0</v>
      </c>
      <c r="W901" s="1080">
        <v>0</v>
      </c>
      <c r="X901" s="1080" t="s">
        <v>2747</v>
      </c>
      <c r="Y901" s="1080" t="s">
        <v>2772</v>
      </c>
      <c r="Z901" s="1078">
        <f t="shared" si="84"/>
        <v>0.02</v>
      </c>
      <c r="AA901" s="1080" t="s">
        <v>2737</v>
      </c>
      <c r="AB901" s="1061" t="s">
        <v>2772</v>
      </c>
      <c r="AC901" s="1082"/>
      <c r="AD901" s="1061" t="s">
        <v>2773</v>
      </c>
      <c r="AF901" s="1061" t="s">
        <v>2731</v>
      </c>
      <c r="AI901" s="1061" t="s">
        <v>3081</v>
      </c>
      <c r="AK901" s="1061" t="s">
        <v>2952</v>
      </c>
      <c r="AL901" s="736">
        <f t="shared" si="101"/>
        <v>0</v>
      </c>
    </row>
    <row r="902" spans="1:90" s="1061" customFormat="1" ht="15" customHeight="1">
      <c r="A902" s="417">
        <v>26</v>
      </c>
      <c r="B902" s="1123" t="s">
        <v>207</v>
      </c>
      <c r="C902" s="973" t="s">
        <v>202</v>
      </c>
      <c r="D902" s="973" t="s">
        <v>2774</v>
      </c>
      <c r="E902" s="974">
        <v>3470</v>
      </c>
      <c r="F902" s="975" t="s">
        <v>2758</v>
      </c>
      <c r="G902" s="975">
        <f t="shared" si="78"/>
        <v>0.75</v>
      </c>
      <c r="H902" s="975">
        <f t="shared" si="79"/>
        <v>0.67</v>
      </c>
      <c r="I902" s="975">
        <f t="shared" si="99"/>
        <v>0.57999999999999996</v>
      </c>
      <c r="J902" s="975">
        <f t="shared" si="100"/>
        <v>0.5</v>
      </c>
      <c r="K902" s="975">
        <f t="shared" si="82"/>
        <v>0.44</v>
      </c>
      <c r="L902" s="1076">
        <v>0.05</v>
      </c>
      <c r="M902" s="973" t="s">
        <v>1653</v>
      </c>
      <c r="N902" s="1077">
        <v>0.05</v>
      </c>
      <c r="O902" s="1078">
        <v>6.0000000000000001E-3</v>
      </c>
      <c r="P902" s="1078">
        <v>2.5000000000000001E-2</v>
      </c>
      <c r="Q902" s="1079"/>
      <c r="R902" s="1080" t="str">
        <f t="shared" si="86"/>
        <v>유림로지스</v>
      </c>
      <c r="S902" s="1080" t="s">
        <v>2764</v>
      </c>
      <c r="T902" s="1080" t="str">
        <f t="shared" si="83"/>
        <v>N</v>
      </c>
      <c r="U902" s="1080">
        <v>0</v>
      </c>
      <c r="V902" s="1080">
        <v>0</v>
      </c>
      <c r="W902" s="1080">
        <v>0</v>
      </c>
      <c r="X902" s="1080" t="s">
        <v>2747</v>
      </c>
      <c r="Y902" s="1080" t="s">
        <v>2772</v>
      </c>
      <c r="Z902" s="1078">
        <f t="shared" si="84"/>
        <v>0.02</v>
      </c>
      <c r="AA902" s="1080" t="s">
        <v>2737</v>
      </c>
      <c r="AB902" s="1061" t="s">
        <v>2772</v>
      </c>
      <c r="AC902" s="1082"/>
      <c r="AD902" s="1061" t="s">
        <v>2773</v>
      </c>
      <c r="AF902" s="1061" t="s">
        <v>2731</v>
      </c>
      <c r="AI902" s="1061" t="s">
        <v>3083</v>
      </c>
      <c r="AK902" s="1061" t="s">
        <v>587</v>
      </c>
      <c r="AL902" s="736">
        <f t="shared" si="101"/>
        <v>0</v>
      </c>
    </row>
    <row r="903" spans="1:90" s="1061" customFormat="1" ht="15" customHeight="1">
      <c r="A903" s="417">
        <v>27</v>
      </c>
      <c r="B903" s="417" t="s">
        <v>207</v>
      </c>
      <c r="C903" s="2" t="s">
        <v>202</v>
      </c>
      <c r="D903" s="2" t="s">
        <v>2775</v>
      </c>
      <c r="E903" s="3">
        <v>3470</v>
      </c>
      <c r="F903" s="4" t="s">
        <v>2758</v>
      </c>
      <c r="G903" s="4">
        <f t="shared" si="78"/>
        <v>0.67</v>
      </c>
      <c r="H903" s="4">
        <f t="shared" si="79"/>
        <v>0.59</v>
      </c>
      <c r="I903" s="4">
        <f t="shared" si="99"/>
        <v>0.5</v>
      </c>
      <c r="J903" s="4">
        <f t="shared" si="100"/>
        <v>0.42</v>
      </c>
      <c r="K903" s="4">
        <f t="shared" si="82"/>
        <v>0.36</v>
      </c>
      <c r="L903" s="441">
        <v>0.05</v>
      </c>
      <c r="M903" s="2" t="s">
        <v>1654</v>
      </c>
      <c r="N903" s="443">
        <v>0.05</v>
      </c>
      <c r="O903" s="296">
        <v>6.0000000000000001E-3</v>
      </c>
      <c r="P903" s="296">
        <v>2.5000000000000001E-2</v>
      </c>
      <c r="Q903" s="444"/>
      <c r="R903" s="633" t="str">
        <f t="shared" si="86"/>
        <v>유림로지스</v>
      </c>
      <c r="S903" s="633" t="s">
        <v>2764</v>
      </c>
      <c r="T903" s="633" t="str">
        <f t="shared" si="83"/>
        <v>N</v>
      </c>
      <c r="U903" s="633">
        <v>0</v>
      </c>
      <c r="V903" s="633">
        <v>0</v>
      </c>
      <c r="W903" s="633">
        <v>0</v>
      </c>
      <c r="X903" s="633" t="s">
        <v>2747</v>
      </c>
      <c r="Y903" s="633" t="s">
        <v>2772</v>
      </c>
      <c r="Z903" s="296">
        <f t="shared" si="84"/>
        <v>0.02</v>
      </c>
      <c r="AA903" s="633" t="s">
        <v>2776</v>
      </c>
      <c r="AB903" s="1" t="s">
        <v>2772</v>
      </c>
      <c r="AC903" s="736"/>
      <c r="AD903" s="1" t="s">
        <v>2773</v>
      </c>
      <c r="AE903" s="1"/>
      <c r="AF903" s="1" t="s">
        <v>2731</v>
      </c>
      <c r="AG903" s="1"/>
      <c r="AH903" s="1"/>
      <c r="AI903" s="1" t="s">
        <v>3081</v>
      </c>
      <c r="AJ903" s="1091"/>
      <c r="AK903" s="1" t="s">
        <v>612</v>
      </c>
      <c r="AL903" s="736">
        <f t="shared" si="101"/>
        <v>0</v>
      </c>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c r="BP903" s="1"/>
      <c r="BQ903" s="1"/>
      <c r="BR903" s="1"/>
      <c r="BS903" s="1"/>
      <c r="BT903" s="1"/>
      <c r="BU903" s="1"/>
      <c r="BV903" s="1"/>
      <c r="BW903" s="1"/>
      <c r="BX903" s="1"/>
      <c r="BY903" s="1"/>
      <c r="BZ903" s="1"/>
      <c r="CA903" s="1"/>
      <c r="CB903" s="1"/>
      <c r="CC903" s="1"/>
      <c r="CD903" s="1"/>
      <c r="CE903" s="1"/>
      <c r="CF903" s="1"/>
      <c r="CG903" s="1"/>
      <c r="CH903" s="1"/>
      <c r="CI903" s="1"/>
      <c r="CJ903" s="1"/>
      <c r="CK903" s="1"/>
      <c r="CL903" s="1"/>
    </row>
    <row r="904" spans="1:90" s="1061" customFormat="1" ht="15" customHeight="1">
      <c r="A904" s="417">
        <v>28</v>
      </c>
      <c r="B904" s="1123" t="s">
        <v>207</v>
      </c>
      <c r="C904" s="973" t="s">
        <v>202</v>
      </c>
      <c r="D904" s="973" t="s">
        <v>2777</v>
      </c>
      <c r="E904" s="974">
        <v>1598</v>
      </c>
      <c r="F904" s="975" t="s">
        <v>2745</v>
      </c>
      <c r="G904" s="975">
        <f t="shared" si="78"/>
        <v>0.73</v>
      </c>
      <c r="H904" s="975">
        <f t="shared" si="79"/>
        <v>0.65</v>
      </c>
      <c r="I904" s="975">
        <f t="shared" si="99"/>
        <v>0.56000000000000005</v>
      </c>
      <c r="J904" s="975">
        <f t="shared" si="100"/>
        <v>0.48</v>
      </c>
      <c r="K904" s="975">
        <f t="shared" si="82"/>
        <v>0.42</v>
      </c>
      <c r="L904" s="1076">
        <v>0.05</v>
      </c>
      <c r="M904" s="973" t="s">
        <v>1655</v>
      </c>
      <c r="N904" s="1077">
        <v>0.05</v>
      </c>
      <c r="O904" s="1078">
        <v>6.0000000000000001E-3</v>
      </c>
      <c r="P904" s="1078">
        <v>2.5000000000000001E-2</v>
      </c>
      <c r="Q904" s="1079"/>
      <c r="R904" s="1080" t="str">
        <f t="shared" si="86"/>
        <v>유림로지스</v>
      </c>
      <c r="S904" s="1080" t="s">
        <v>2764</v>
      </c>
      <c r="T904" s="1080" t="str">
        <f t="shared" si="83"/>
        <v>N</v>
      </c>
      <c r="U904" s="1080">
        <v>0</v>
      </c>
      <c r="V904" s="1080">
        <v>0</v>
      </c>
      <c r="W904" s="1080">
        <v>0</v>
      </c>
      <c r="X904" s="1080" t="s">
        <v>2747</v>
      </c>
      <c r="Y904" s="1080" t="s">
        <v>2772</v>
      </c>
      <c r="Z904" s="1078">
        <f t="shared" si="84"/>
        <v>0.02</v>
      </c>
      <c r="AA904" s="1080" t="s">
        <v>2768</v>
      </c>
      <c r="AB904" s="1061" t="s">
        <v>2772</v>
      </c>
      <c r="AC904" s="1082"/>
      <c r="AD904" s="1061" t="s">
        <v>2773</v>
      </c>
      <c r="AF904" s="1061" t="s">
        <v>2731</v>
      </c>
      <c r="AI904" s="1061" t="s">
        <v>3081</v>
      </c>
      <c r="AK904" s="1061" t="s">
        <v>587</v>
      </c>
      <c r="AL904" s="736">
        <f t="shared" si="101"/>
        <v>0</v>
      </c>
    </row>
    <row r="905" spans="1:90" s="1061" customFormat="1" ht="15" customHeight="1">
      <c r="A905" s="417">
        <v>29</v>
      </c>
      <c r="B905" s="417" t="s">
        <v>207</v>
      </c>
      <c r="C905" s="2" t="s">
        <v>202</v>
      </c>
      <c r="D905" s="2" t="s">
        <v>2778</v>
      </c>
      <c r="E905" s="3">
        <v>2497</v>
      </c>
      <c r="F905" s="4" t="s">
        <v>2758</v>
      </c>
      <c r="G905" s="4">
        <f t="shared" si="78"/>
        <v>0.7</v>
      </c>
      <c r="H905" s="4">
        <f t="shared" si="79"/>
        <v>0.62</v>
      </c>
      <c r="I905" s="4">
        <f t="shared" si="99"/>
        <v>0.53</v>
      </c>
      <c r="J905" s="4">
        <f t="shared" si="100"/>
        <v>0.45</v>
      </c>
      <c r="K905" s="4">
        <f t="shared" si="82"/>
        <v>0.39</v>
      </c>
      <c r="L905" s="441">
        <v>0.05</v>
      </c>
      <c r="M905" s="2" t="s">
        <v>324</v>
      </c>
      <c r="N905" s="443">
        <v>0.05</v>
      </c>
      <c r="O905" s="296">
        <v>6.0000000000000001E-3</v>
      </c>
      <c r="P905" s="296">
        <v>0.02</v>
      </c>
      <c r="Q905" s="444"/>
      <c r="R905" s="633" t="str">
        <f t="shared" si="86"/>
        <v>유림로지스</v>
      </c>
      <c r="S905" s="633" t="s">
        <v>2746</v>
      </c>
      <c r="T905" s="633" t="str">
        <f t="shared" si="83"/>
        <v>Y</v>
      </c>
      <c r="U905" s="633">
        <v>0</v>
      </c>
      <c r="V905" s="633">
        <v>0</v>
      </c>
      <c r="W905" s="633">
        <v>0</v>
      </c>
      <c r="X905" s="633" t="s">
        <v>2779</v>
      </c>
      <c r="Y905" s="633" t="s">
        <v>2731</v>
      </c>
      <c r="Z905" s="296">
        <f t="shared" si="84"/>
        <v>1.4999999999999999E-2</v>
      </c>
      <c r="AA905" s="633" t="s">
        <v>2737</v>
      </c>
      <c r="AB905" s="1" t="s">
        <v>2731</v>
      </c>
      <c r="AC905" s="736"/>
      <c r="AD905" s="1" t="s">
        <v>2780</v>
      </c>
      <c r="AE905" s="1"/>
      <c r="AF905" s="1" t="s">
        <v>2731</v>
      </c>
      <c r="AG905" s="1"/>
      <c r="AH905" s="1"/>
      <c r="AI905" s="1" t="s">
        <v>3085</v>
      </c>
      <c r="AJ905" s="1091"/>
      <c r="AK905" s="1" t="s">
        <v>612</v>
      </c>
      <c r="AL905" s="736">
        <f t="shared" si="101"/>
        <v>79000</v>
      </c>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c r="BP905" s="1"/>
      <c r="BQ905" s="1"/>
      <c r="BR905" s="1"/>
      <c r="BS905" s="1"/>
      <c r="BT905" s="1"/>
      <c r="BU905" s="1"/>
      <c r="BV905" s="1"/>
      <c r="BW905" s="1"/>
      <c r="BX905" s="1"/>
      <c r="BY905" s="1"/>
      <c r="BZ905" s="1"/>
      <c r="CA905" s="1"/>
      <c r="CB905" s="1"/>
      <c r="CC905" s="1"/>
      <c r="CD905" s="1"/>
      <c r="CE905" s="1"/>
      <c r="CF905" s="1"/>
      <c r="CG905" s="1"/>
      <c r="CH905" s="1"/>
      <c r="CI905" s="1"/>
      <c r="CJ905" s="1"/>
      <c r="CK905" s="1"/>
      <c r="CL905" s="1"/>
    </row>
    <row r="906" spans="1:90" s="1061" customFormat="1" ht="15" customHeight="1">
      <c r="A906" s="417">
        <v>30</v>
      </c>
      <c r="B906" s="417" t="s">
        <v>207</v>
      </c>
      <c r="C906" s="2" t="s">
        <v>202</v>
      </c>
      <c r="D906" s="2" t="s">
        <v>2781</v>
      </c>
      <c r="E906" s="3">
        <v>3342</v>
      </c>
      <c r="F906" s="4" t="s">
        <v>2758</v>
      </c>
      <c r="G906" s="4">
        <f t="shared" si="78"/>
        <v>0.7</v>
      </c>
      <c r="H906" s="4">
        <f t="shared" si="79"/>
        <v>0.62</v>
      </c>
      <c r="I906" s="4">
        <f t="shared" si="99"/>
        <v>0.53</v>
      </c>
      <c r="J906" s="4">
        <f t="shared" si="100"/>
        <v>0.45</v>
      </c>
      <c r="K906" s="4">
        <f t="shared" si="82"/>
        <v>0.39</v>
      </c>
      <c r="L906" s="441">
        <v>0.05</v>
      </c>
      <c r="M906" s="2" t="s">
        <v>324</v>
      </c>
      <c r="N906" s="443">
        <v>0.05</v>
      </c>
      <c r="O906" s="296">
        <v>6.0000000000000001E-3</v>
      </c>
      <c r="P906" s="296">
        <v>0.02</v>
      </c>
      <c r="Q906" s="444"/>
      <c r="R906" s="633" t="str">
        <f t="shared" si="86"/>
        <v>유림로지스</v>
      </c>
      <c r="S906" s="633" t="s">
        <v>2746</v>
      </c>
      <c r="T906" s="633" t="str">
        <f t="shared" si="83"/>
        <v>Y</v>
      </c>
      <c r="U906" s="633">
        <v>0</v>
      </c>
      <c r="V906" s="633">
        <v>0</v>
      </c>
      <c r="W906" s="633">
        <v>0</v>
      </c>
      <c r="X906" s="633" t="s">
        <v>2779</v>
      </c>
      <c r="Y906" s="633" t="s">
        <v>2731</v>
      </c>
      <c r="Z906" s="296">
        <f t="shared" si="84"/>
        <v>1.4999999999999999E-2</v>
      </c>
      <c r="AA906" s="633" t="s">
        <v>2737</v>
      </c>
      <c r="AB906" s="1" t="s">
        <v>2731</v>
      </c>
      <c r="AC906" s="736"/>
      <c r="AD906" s="1" t="s">
        <v>2780</v>
      </c>
      <c r="AE906" s="1"/>
      <c r="AF906" s="1" t="s">
        <v>2731</v>
      </c>
      <c r="AG906" s="1"/>
      <c r="AH906" s="1"/>
      <c r="AI906" s="1" t="s">
        <v>3086</v>
      </c>
      <c r="AJ906" s="1091"/>
      <c r="AK906" s="1" t="s">
        <v>612</v>
      </c>
      <c r="AL906" s="736">
        <f t="shared" si="101"/>
        <v>79000</v>
      </c>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c r="BP906" s="1"/>
      <c r="BQ906" s="1"/>
      <c r="BR906" s="1"/>
      <c r="BS906" s="1"/>
      <c r="BT906" s="1"/>
      <c r="BU906" s="1"/>
      <c r="BV906" s="1"/>
      <c r="BW906" s="1"/>
      <c r="BX906" s="1"/>
      <c r="BY906" s="1"/>
      <c r="BZ906" s="1"/>
      <c r="CA906" s="1"/>
      <c r="CB906" s="1"/>
      <c r="CC906" s="1"/>
      <c r="CD906" s="1"/>
      <c r="CE906" s="1"/>
      <c r="CF906" s="1"/>
      <c r="CG906" s="1"/>
      <c r="CH906" s="1"/>
      <c r="CI906" s="1"/>
      <c r="CJ906" s="1"/>
      <c r="CK906" s="1"/>
      <c r="CL906" s="1"/>
    </row>
    <row r="907" spans="1:90" ht="15" customHeight="1">
      <c r="A907" s="417">
        <v>31</v>
      </c>
      <c r="B907" s="417" t="s">
        <v>207</v>
      </c>
      <c r="C907" s="2" t="s">
        <v>202</v>
      </c>
      <c r="D907" s="2" t="s">
        <v>2782</v>
      </c>
      <c r="E907" s="3">
        <v>2199</v>
      </c>
      <c r="F907" s="4" t="s">
        <v>2758</v>
      </c>
      <c r="G907" s="4">
        <f t="shared" si="78"/>
        <v>0.7</v>
      </c>
      <c r="H907" s="4">
        <f t="shared" si="79"/>
        <v>0.62</v>
      </c>
      <c r="I907" s="4">
        <f t="shared" si="99"/>
        <v>0.53</v>
      </c>
      <c r="J907" s="4">
        <f t="shared" si="100"/>
        <v>0.45</v>
      </c>
      <c r="K907" s="4">
        <f t="shared" si="82"/>
        <v>0.39</v>
      </c>
      <c r="L907" s="441">
        <v>0</v>
      </c>
      <c r="M907" s="2" t="s">
        <v>324</v>
      </c>
      <c r="N907" s="443">
        <v>0.05</v>
      </c>
      <c r="O907" s="296">
        <v>6.0000000000000001E-3</v>
      </c>
      <c r="P907" s="296">
        <v>0.02</v>
      </c>
      <c r="Q907" s="444"/>
      <c r="R907" s="633" t="str">
        <f t="shared" si="86"/>
        <v>유림로지스</v>
      </c>
      <c r="S907" s="633" t="s">
        <v>2746</v>
      </c>
      <c r="T907" s="633" t="str">
        <f t="shared" si="83"/>
        <v>Y</v>
      </c>
      <c r="U907" s="633">
        <v>0</v>
      </c>
      <c r="V907" s="633">
        <v>0</v>
      </c>
      <c r="W907" s="633">
        <v>0</v>
      </c>
      <c r="X907" s="633" t="s">
        <v>2779</v>
      </c>
      <c r="Y907" s="633" t="s">
        <v>2731</v>
      </c>
      <c r="Z907" s="296">
        <f t="shared" si="84"/>
        <v>1.4999999999999999E-2</v>
      </c>
      <c r="AA907" s="633" t="s">
        <v>2783</v>
      </c>
      <c r="AB907" s="1" t="s">
        <v>2731</v>
      </c>
      <c r="AC907" s="736"/>
      <c r="AD907" s="1" t="s">
        <v>2780</v>
      </c>
      <c r="AF907" s="1" t="s">
        <v>2731</v>
      </c>
      <c r="AI907" s="1" t="s">
        <v>3087</v>
      </c>
      <c r="AJ907" s="1091"/>
      <c r="AK907" s="1" t="s">
        <v>2953</v>
      </c>
      <c r="AL907" s="736">
        <f t="shared" si="101"/>
        <v>79000</v>
      </c>
    </row>
    <row r="908" spans="1:90" ht="15" customHeight="1">
      <c r="A908" s="417">
        <v>32</v>
      </c>
      <c r="B908" s="417" t="s">
        <v>207</v>
      </c>
      <c r="C908" s="2" t="s">
        <v>202</v>
      </c>
      <c r="D908" s="2" t="s">
        <v>2784</v>
      </c>
      <c r="E908" s="3">
        <v>2497</v>
      </c>
      <c r="F908" s="4" t="s">
        <v>2758</v>
      </c>
      <c r="G908" s="4">
        <f t="shared" si="78"/>
        <v>0.7</v>
      </c>
      <c r="H908" s="4">
        <f t="shared" si="79"/>
        <v>0.62</v>
      </c>
      <c r="I908" s="4">
        <f t="shared" si="99"/>
        <v>0.53</v>
      </c>
      <c r="J908" s="4">
        <f t="shared" si="100"/>
        <v>0.45</v>
      </c>
      <c r="K908" s="4">
        <f t="shared" si="82"/>
        <v>0.39</v>
      </c>
      <c r="L908" s="441">
        <v>0</v>
      </c>
      <c r="M908" s="2" t="s">
        <v>1519</v>
      </c>
      <c r="N908" s="443">
        <v>0.05</v>
      </c>
      <c r="O908" s="296">
        <v>6.0000000000000001E-3</v>
      </c>
      <c r="P908" s="296">
        <v>0.02</v>
      </c>
      <c r="Q908" s="444"/>
      <c r="R908" s="633" t="str">
        <f>IF(OR(S908="서산",S908="광주",S908="화성"),"선보","유림로지스")</f>
        <v>유림로지스</v>
      </c>
      <c r="S908" s="633" t="s">
        <v>2746</v>
      </c>
      <c r="T908" s="633" t="str">
        <f t="shared" si="83"/>
        <v>Y</v>
      </c>
      <c r="U908" s="633">
        <v>0</v>
      </c>
      <c r="V908" s="633">
        <v>0</v>
      </c>
      <c r="W908" s="633">
        <v>0</v>
      </c>
      <c r="X908" s="633" t="s">
        <v>2779</v>
      </c>
      <c r="Y908" s="633" t="s">
        <v>2731</v>
      </c>
      <c r="Z908" s="296">
        <f t="shared" si="84"/>
        <v>1.4999999999999999E-2</v>
      </c>
      <c r="AA908" s="633" t="s">
        <v>2737</v>
      </c>
      <c r="AB908" s="1" t="s">
        <v>2731</v>
      </c>
      <c r="AC908" s="736"/>
      <c r="AD908" s="1" t="s">
        <v>2780</v>
      </c>
      <c r="AF908" s="1" t="s">
        <v>2731</v>
      </c>
      <c r="AI908" s="1" t="s">
        <v>3088</v>
      </c>
      <c r="AJ908" s="1091"/>
      <c r="AK908" s="1" t="s">
        <v>612</v>
      </c>
      <c r="AL908" s="736">
        <f t="shared" si="101"/>
        <v>79000</v>
      </c>
    </row>
    <row r="909" spans="1:90" ht="15" customHeight="1">
      <c r="A909" s="417">
        <v>33</v>
      </c>
      <c r="B909" s="1123" t="s">
        <v>207</v>
      </c>
      <c r="C909" s="973" t="s">
        <v>202</v>
      </c>
      <c r="D909" s="973" t="s">
        <v>2785</v>
      </c>
      <c r="E909" s="974">
        <v>2497</v>
      </c>
      <c r="F909" s="975" t="s">
        <v>2758</v>
      </c>
      <c r="G909" s="975">
        <f t="shared" ref="G909:G940" si="102">+INDEX($BD$4:$CK$8,MATCH($G$3,$BC$4:$BC$8,0),MATCH(M909,$BD$3:$CK$3,0))</f>
        <v>0.74</v>
      </c>
      <c r="H909" s="975">
        <f t="shared" ref="H909:H940" si="103">+INDEX($BD$4:$CK$8,MATCH($H$3,$BC$4:$BC$8,0),MATCH(M909,$BD$3:$CK$3,0))</f>
        <v>0.66</v>
      </c>
      <c r="I909" s="975">
        <f t="shared" si="99"/>
        <v>0.56999999999999995</v>
      </c>
      <c r="J909" s="975">
        <f t="shared" si="100"/>
        <v>0.49</v>
      </c>
      <c r="K909" s="975">
        <f t="shared" ref="K909:K940" si="104">+INDEX($BD$4:$CK$8,MATCH($K$3,$BC$4:$BC$8,0),MATCH(M909,$BD$3:$CK$3,0))</f>
        <v>0.43</v>
      </c>
      <c r="L909" s="1076">
        <v>0.05</v>
      </c>
      <c r="M909" s="973" t="s">
        <v>320</v>
      </c>
      <c r="N909" s="1077">
        <v>0.05</v>
      </c>
      <c r="O909" s="1078">
        <v>6.0000000000000001E-3</v>
      </c>
      <c r="P909" s="1078">
        <v>0.02</v>
      </c>
      <c r="Q909" s="1079"/>
      <c r="R909" s="1080" t="str">
        <f t="shared" si="86"/>
        <v>유림로지스</v>
      </c>
      <c r="S909" s="1080" t="s">
        <v>2746</v>
      </c>
      <c r="T909" s="1080" t="str">
        <f t="shared" ref="T909:T923" si="105">+IF(LEFT(D909,1)="G","Y","N")</f>
        <v>Y</v>
      </c>
      <c r="U909" s="1080">
        <v>0</v>
      </c>
      <c r="V909" s="1080">
        <v>0</v>
      </c>
      <c r="W909" s="1080">
        <v>0</v>
      </c>
      <c r="X909" s="1080" t="s">
        <v>2779</v>
      </c>
      <c r="Y909" s="1080" t="s">
        <v>2772</v>
      </c>
      <c r="Z909" s="1078">
        <f t="shared" ref="Z909:Z940" si="106">IF(AD909="",0%,VLOOKUP(AD909,$D$1072:$E$1094,2,0))</f>
        <v>0.02</v>
      </c>
      <c r="AA909" s="1080" t="s">
        <v>2737</v>
      </c>
      <c r="AB909" s="1061" t="s">
        <v>2772</v>
      </c>
      <c r="AC909" s="1082"/>
      <c r="AD909" s="1061" t="s">
        <v>2786</v>
      </c>
      <c r="AE909" s="1061"/>
      <c r="AF909" s="1061" t="s">
        <v>2731</v>
      </c>
      <c r="AG909" s="1061"/>
      <c r="AH909" s="1061"/>
      <c r="AI909" s="1061" t="s">
        <v>3247</v>
      </c>
      <c r="AJ909" s="1061"/>
      <c r="AK909" s="1061" t="s">
        <v>2954</v>
      </c>
      <c r="AL909" s="736">
        <f t="shared" si="101"/>
        <v>80000</v>
      </c>
      <c r="AM909" s="1061"/>
      <c r="AN909" s="1061"/>
      <c r="AO909" s="1061"/>
      <c r="AP909" s="1061"/>
      <c r="AQ909" s="1061"/>
      <c r="AR909" s="1061"/>
      <c r="AS909" s="1061"/>
      <c r="AT909" s="1061"/>
      <c r="AU909" s="1061"/>
      <c r="AV909" s="1061"/>
      <c r="AW909" s="1061"/>
      <c r="AX909" s="1061"/>
      <c r="AY909" s="1061"/>
      <c r="AZ909" s="1061"/>
      <c r="BA909" s="1061"/>
      <c r="BB909" s="1061"/>
      <c r="BC909" s="1061"/>
      <c r="BD909" s="1061"/>
      <c r="BE909" s="1061"/>
      <c r="BF909" s="1061"/>
      <c r="BG909" s="1061"/>
      <c r="BH909" s="1061"/>
      <c r="BI909" s="1061"/>
      <c r="BJ909" s="1061"/>
      <c r="BK909" s="1061"/>
      <c r="BL909" s="1061"/>
      <c r="BM909" s="1061"/>
      <c r="BN909" s="1061"/>
      <c r="BO909" s="1061"/>
      <c r="BP909" s="1061"/>
      <c r="BQ909" s="1061"/>
      <c r="BR909" s="1061"/>
      <c r="BS909" s="1061"/>
      <c r="BT909" s="1061"/>
      <c r="BU909" s="1061"/>
      <c r="BV909" s="1061"/>
      <c r="BW909" s="1061"/>
      <c r="BX909" s="1061"/>
      <c r="BY909" s="1061"/>
      <c r="BZ909" s="1061"/>
      <c r="CA909" s="1061"/>
      <c r="CB909" s="1061"/>
      <c r="CC909" s="1061"/>
      <c r="CD909" s="1061"/>
      <c r="CE909" s="1061"/>
      <c r="CF909" s="1061"/>
      <c r="CG909" s="1061"/>
      <c r="CH909" s="1061"/>
      <c r="CI909" s="1061"/>
      <c r="CJ909" s="1061"/>
      <c r="CK909" s="1061"/>
      <c r="CL909" s="1061"/>
    </row>
    <row r="910" spans="1:90" ht="15" customHeight="1">
      <c r="A910" s="417">
        <v>34</v>
      </c>
      <c r="B910" s="1123" t="s">
        <v>207</v>
      </c>
      <c r="C910" s="973" t="s">
        <v>202</v>
      </c>
      <c r="D910" s="973" t="s">
        <v>2787</v>
      </c>
      <c r="E910" s="974">
        <v>3470</v>
      </c>
      <c r="F910" s="975" t="s">
        <v>2758</v>
      </c>
      <c r="G910" s="975">
        <f t="shared" si="102"/>
        <v>0.72</v>
      </c>
      <c r="H910" s="975">
        <f t="shared" si="103"/>
        <v>0.64</v>
      </c>
      <c r="I910" s="975">
        <f t="shared" si="99"/>
        <v>0.55000000000000004</v>
      </c>
      <c r="J910" s="975">
        <f t="shared" si="100"/>
        <v>0.47</v>
      </c>
      <c r="K910" s="975">
        <f t="shared" si="104"/>
        <v>0.41</v>
      </c>
      <c r="L910" s="1076">
        <v>0.05</v>
      </c>
      <c r="M910" s="973" t="s">
        <v>2630</v>
      </c>
      <c r="N910" s="1077">
        <v>0.05</v>
      </c>
      <c r="O910" s="1078">
        <v>6.0000000000000001E-3</v>
      </c>
      <c r="P910" s="1078">
        <v>0.02</v>
      </c>
      <c r="Q910" s="1079"/>
      <c r="R910" s="1080" t="str">
        <f t="shared" si="86"/>
        <v>유림로지스</v>
      </c>
      <c r="S910" s="1080" t="s">
        <v>2746</v>
      </c>
      <c r="T910" s="1080" t="str">
        <f t="shared" si="105"/>
        <v>Y</v>
      </c>
      <c r="U910" s="1080">
        <v>0</v>
      </c>
      <c r="V910" s="1080">
        <v>0</v>
      </c>
      <c r="W910" s="1080">
        <v>0</v>
      </c>
      <c r="X910" s="1080" t="s">
        <v>2779</v>
      </c>
      <c r="Y910" s="1080" t="s">
        <v>2772</v>
      </c>
      <c r="Z910" s="1078">
        <f t="shared" si="106"/>
        <v>0.02</v>
      </c>
      <c r="AA910" s="1080" t="s">
        <v>2737</v>
      </c>
      <c r="AB910" s="1061" t="s">
        <v>2772</v>
      </c>
      <c r="AC910" s="1082"/>
      <c r="AD910" s="1061" t="s">
        <v>2786</v>
      </c>
      <c r="AE910" s="1061"/>
      <c r="AF910" s="1061" t="s">
        <v>2731</v>
      </c>
      <c r="AG910" s="1061"/>
      <c r="AH910" s="1061"/>
      <c r="AI910" s="1061" t="s">
        <v>3247</v>
      </c>
      <c r="AJ910" s="1061"/>
      <c r="AK910" s="1061" t="s">
        <v>587</v>
      </c>
      <c r="AL910" s="736">
        <f t="shared" si="101"/>
        <v>80000</v>
      </c>
      <c r="AM910" s="1061"/>
      <c r="AN910" s="1061"/>
      <c r="AO910" s="1061"/>
      <c r="AP910" s="1061"/>
      <c r="AQ910" s="1061"/>
      <c r="AR910" s="1061"/>
      <c r="AS910" s="1061"/>
      <c r="AT910" s="1061"/>
      <c r="AU910" s="1061"/>
      <c r="AV910" s="1061"/>
      <c r="AW910" s="1061"/>
      <c r="AX910" s="1061"/>
      <c r="AY910" s="1061"/>
      <c r="AZ910" s="1061"/>
      <c r="BA910" s="1061"/>
      <c r="BB910" s="1061"/>
      <c r="BC910" s="1061"/>
      <c r="BD910" s="1061"/>
      <c r="BE910" s="1061"/>
      <c r="BF910" s="1061"/>
      <c r="BG910" s="1061"/>
      <c r="BH910" s="1061"/>
      <c r="BI910" s="1061"/>
      <c r="BJ910" s="1061"/>
      <c r="BK910" s="1061"/>
      <c r="BL910" s="1061"/>
      <c r="BM910" s="1061"/>
      <c r="BN910" s="1061"/>
      <c r="BO910" s="1061"/>
      <c r="BP910" s="1061"/>
      <c r="BQ910" s="1061"/>
      <c r="BR910" s="1061"/>
      <c r="BS910" s="1061"/>
      <c r="BT910" s="1061"/>
      <c r="BU910" s="1061"/>
      <c r="BV910" s="1061"/>
      <c r="BW910" s="1061"/>
      <c r="BX910" s="1061"/>
      <c r="BY910" s="1061"/>
      <c r="BZ910" s="1061"/>
      <c r="CA910" s="1061"/>
      <c r="CB910" s="1061"/>
      <c r="CC910" s="1061"/>
      <c r="CD910" s="1061"/>
      <c r="CE910" s="1061"/>
      <c r="CF910" s="1061"/>
      <c r="CG910" s="1061"/>
      <c r="CH910" s="1061"/>
      <c r="CI910" s="1061"/>
      <c r="CJ910" s="1061"/>
      <c r="CK910" s="1061"/>
      <c r="CL910" s="1061"/>
    </row>
    <row r="911" spans="1:90" ht="15" customHeight="1">
      <c r="A911" s="417">
        <v>35</v>
      </c>
      <c r="B911" s="417" t="s">
        <v>207</v>
      </c>
      <c r="C911" s="2" t="s">
        <v>202</v>
      </c>
      <c r="D911" s="2" t="s">
        <v>2788</v>
      </c>
      <c r="E911" s="3">
        <v>0</v>
      </c>
      <c r="F911" s="4" t="s">
        <v>2749</v>
      </c>
      <c r="G911" s="4" t="e">
        <f t="shared" si="102"/>
        <v>#N/A</v>
      </c>
      <c r="H911" s="4" t="e">
        <f t="shared" si="103"/>
        <v>#N/A</v>
      </c>
      <c r="I911" s="4" t="e">
        <f t="shared" si="99"/>
        <v>#N/A</v>
      </c>
      <c r="J911" s="4" t="e">
        <f t="shared" si="100"/>
        <v>#N/A</v>
      </c>
      <c r="K911" s="4" t="e">
        <f t="shared" si="104"/>
        <v>#N/A</v>
      </c>
      <c r="L911" s="441">
        <v>0.05</v>
      </c>
      <c r="M911" s="2"/>
      <c r="N911" s="443">
        <v>0.05</v>
      </c>
      <c r="O911" s="296">
        <v>6.0000000000000001E-3</v>
      </c>
      <c r="P911" s="296">
        <v>0.02</v>
      </c>
      <c r="Q911" s="444"/>
      <c r="R911" s="633" t="str">
        <f>IF(OR(S911="서산",S911="광주",S911="화성"),"선보","유림로지스")</f>
        <v>유림로지스</v>
      </c>
      <c r="S911" s="633" t="s">
        <v>2746</v>
      </c>
      <c r="T911" s="633" t="str">
        <f t="shared" si="105"/>
        <v>Y</v>
      </c>
      <c r="U911" s="633">
        <v>0</v>
      </c>
      <c r="V911" s="633">
        <v>0</v>
      </c>
      <c r="W911" s="633">
        <v>0</v>
      </c>
      <c r="X911" s="633" t="s">
        <v>2779</v>
      </c>
      <c r="Y911" s="633" t="s">
        <v>2731</v>
      </c>
      <c r="Z911" s="296">
        <f t="shared" si="106"/>
        <v>1.4999999999999999E-2</v>
      </c>
      <c r="AA911" s="633" t="s">
        <v>2749</v>
      </c>
      <c r="AB911" s="1" t="s">
        <v>2731</v>
      </c>
      <c r="AC911" s="736"/>
      <c r="AD911" s="1" t="s">
        <v>2789</v>
      </c>
      <c r="AF911" s="1" t="s">
        <v>2731</v>
      </c>
      <c r="AI911" s="1" t="s">
        <v>3248</v>
      </c>
      <c r="AJ911" s="1091"/>
      <c r="AK911" s="1" t="s">
        <v>2941</v>
      </c>
      <c r="AL911" s="736">
        <f t="shared" si="101"/>
        <v>82000</v>
      </c>
    </row>
    <row r="912" spans="1:90" ht="15" customHeight="1">
      <c r="A912" s="417">
        <v>36</v>
      </c>
      <c r="B912" s="417" t="s">
        <v>207</v>
      </c>
      <c r="C912" s="2" t="s">
        <v>202</v>
      </c>
      <c r="D912" s="2" t="s">
        <v>2790</v>
      </c>
      <c r="E912" s="3">
        <v>3470</v>
      </c>
      <c r="F912" s="4" t="s">
        <v>2758</v>
      </c>
      <c r="G912" s="4">
        <f t="shared" si="102"/>
        <v>0.69</v>
      </c>
      <c r="H912" s="4">
        <f t="shared" si="103"/>
        <v>0.61</v>
      </c>
      <c r="I912" s="4">
        <f t="shared" si="99"/>
        <v>0.52</v>
      </c>
      <c r="J912" s="4">
        <f t="shared" si="100"/>
        <v>0.44</v>
      </c>
      <c r="K912" s="4">
        <f t="shared" si="104"/>
        <v>0.38</v>
      </c>
      <c r="L912" s="441">
        <v>0.05</v>
      </c>
      <c r="M912" s="2" t="s">
        <v>660</v>
      </c>
      <c r="N912" s="443">
        <v>0.05</v>
      </c>
      <c r="O912" s="296">
        <v>6.0000000000000001E-3</v>
      </c>
      <c r="P912" s="296">
        <v>0</v>
      </c>
      <c r="Q912" s="444"/>
      <c r="R912" s="633" t="str">
        <f>IF(OR(S912="서산",S912="광주",S912="화성"),"선보","유림로지스")</f>
        <v>유림로지스</v>
      </c>
      <c r="S912" s="633" t="s">
        <v>2746</v>
      </c>
      <c r="T912" s="633" t="str">
        <f t="shared" si="105"/>
        <v>Y</v>
      </c>
      <c r="U912" s="633">
        <v>0</v>
      </c>
      <c r="V912" s="633">
        <v>0</v>
      </c>
      <c r="W912" s="633">
        <v>0</v>
      </c>
      <c r="X912" s="633" t="s">
        <v>2791</v>
      </c>
      <c r="Y912" s="633" t="s">
        <v>2772</v>
      </c>
      <c r="Z912" s="296">
        <f t="shared" si="106"/>
        <v>0.02</v>
      </c>
      <c r="AA912" s="633" t="s">
        <v>2737</v>
      </c>
      <c r="AB912" s="1" t="s">
        <v>2731</v>
      </c>
      <c r="AC912" s="736"/>
      <c r="AD912" s="1" t="s">
        <v>2792</v>
      </c>
      <c r="AF912" s="1" t="s">
        <v>2731</v>
      </c>
      <c r="AI912" s="1" t="s">
        <v>3087</v>
      </c>
      <c r="AJ912" s="1091"/>
      <c r="AK912" s="1" t="s">
        <v>612</v>
      </c>
      <c r="AL912" s="736">
        <f t="shared" si="101"/>
        <v>88000</v>
      </c>
    </row>
    <row r="913" spans="1:90" ht="15" customHeight="1">
      <c r="A913" s="417">
        <v>37</v>
      </c>
      <c r="B913" s="417" t="s">
        <v>207</v>
      </c>
      <c r="C913" s="2" t="s">
        <v>202</v>
      </c>
      <c r="D913" s="2" t="s">
        <v>2793</v>
      </c>
      <c r="E913" s="3">
        <v>3470</v>
      </c>
      <c r="F913" s="4" t="s">
        <v>2758</v>
      </c>
      <c r="G913" s="4">
        <f t="shared" si="102"/>
        <v>0.69</v>
      </c>
      <c r="H913" s="4">
        <f t="shared" si="103"/>
        <v>0.61</v>
      </c>
      <c r="I913" s="4">
        <f t="shared" si="99"/>
        <v>0.52</v>
      </c>
      <c r="J913" s="4">
        <f t="shared" si="100"/>
        <v>0.44</v>
      </c>
      <c r="K913" s="4">
        <f t="shared" si="104"/>
        <v>0.38</v>
      </c>
      <c r="L913" s="441">
        <v>0.05</v>
      </c>
      <c r="M913" s="2" t="s">
        <v>660</v>
      </c>
      <c r="N913" s="443">
        <v>0.05</v>
      </c>
      <c r="O913" s="296">
        <v>6.0000000000000001E-3</v>
      </c>
      <c r="P913" s="296">
        <v>0</v>
      </c>
      <c r="Q913" s="444"/>
      <c r="R913" s="633" t="str">
        <f>IF(OR(S913="서산",S913="광주",S913="화성"),"선보","유림로지스")</f>
        <v>유림로지스</v>
      </c>
      <c r="S913" s="633" t="s">
        <v>2746</v>
      </c>
      <c r="T913" s="633" t="str">
        <f t="shared" si="105"/>
        <v>Y</v>
      </c>
      <c r="U913" s="633">
        <v>0</v>
      </c>
      <c r="V913" s="633">
        <v>0</v>
      </c>
      <c r="W913" s="633">
        <v>0</v>
      </c>
      <c r="X913" s="633" t="s">
        <v>2791</v>
      </c>
      <c r="Y913" s="633" t="s">
        <v>2772</v>
      </c>
      <c r="Z913" s="296">
        <f t="shared" si="106"/>
        <v>0.02</v>
      </c>
      <c r="AA913" s="633" t="s">
        <v>2737</v>
      </c>
      <c r="AB913" s="1" t="s">
        <v>2731</v>
      </c>
      <c r="AC913" s="736"/>
      <c r="AD913" s="1" t="s">
        <v>2792</v>
      </c>
      <c r="AF913" s="1" t="s">
        <v>2731</v>
      </c>
      <c r="AI913" s="1" t="s">
        <v>3087</v>
      </c>
      <c r="AJ913" s="1091"/>
      <c r="AK913" s="1" t="s">
        <v>2943</v>
      </c>
      <c r="AL913" s="736">
        <f t="shared" si="101"/>
        <v>88000</v>
      </c>
    </row>
    <row r="914" spans="1:90" ht="15" customHeight="1">
      <c r="A914" s="417">
        <v>38</v>
      </c>
      <c r="B914" s="417" t="s">
        <v>207</v>
      </c>
      <c r="C914" s="2" t="s">
        <v>202</v>
      </c>
      <c r="D914" s="2" t="s">
        <v>2794</v>
      </c>
      <c r="E914" s="3">
        <v>3470</v>
      </c>
      <c r="F914" s="4" t="s">
        <v>2758</v>
      </c>
      <c r="G914" s="4">
        <f t="shared" si="102"/>
        <v>0.57999999999999996</v>
      </c>
      <c r="H914" s="4">
        <f t="shared" si="103"/>
        <v>0.5</v>
      </c>
      <c r="I914" s="4">
        <f t="shared" si="99"/>
        <v>0.41</v>
      </c>
      <c r="J914" s="4">
        <f t="shared" si="100"/>
        <v>0.33</v>
      </c>
      <c r="K914" s="4">
        <f t="shared" si="104"/>
        <v>0.27</v>
      </c>
      <c r="L914" s="441">
        <v>0.05</v>
      </c>
      <c r="M914" s="2" t="s">
        <v>1256</v>
      </c>
      <c r="N914" s="443">
        <v>0.05</v>
      </c>
      <c r="O914" s="296">
        <v>6.0000000000000001E-3</v>
      </c>
      <c r="P914" s="296">
        <v>0</v>
      </c>
      <c r="Q914" s="444"/>
      <c r="R914" s="633" t="str">
        <f>IF(OR(S914="서산",S914="광주",S914="화성"),"선보","유림로지스")</f>
        <v>유림로지스</v>
      </c>
      <c r="S914" s="633" t="s">
        <v>2746</v>
      </c>
      <c r="T914" s="633" t="str">
        <f t="shared" si="105"/>
        <v>Y</v>
      </c>
      <c r="U914" s="633">
        <v>0</v>
      </c>
      <c r="V914" s="633">
        <v>0</v>
      </c>
      <c r="W914" s="633">
        <v>0</v>
      </c>
      <c r="X914" s="633" t="s">
        <v>2791</v>
      </c>
      <c r="Y914" s="633" t="s">
        <v>2731</v>
      </c>
      <c r="Z914" s="296">
        <f t="shared" si="106"/>
        <v>0.02</v>
      </c>
      <c r="AA914" s="633" t="s">
        <v>2737</v>
      </c>
      <c r="AB914" s="1" t="s">
        <v>2731</v>
      </c>
      <c r="AC914" s="736"/>
      <c r="AD914" s="1" t="s">
        <v>2792</v>
      </c>
      <c r="AF914" s="1" t="s">
        <v>2731</v>
      </c>
      <c r="AI914" s="1" t="s">
        <v>3089</v>
      </c>
      <c r="AJ914" s="1091"/>
      <c r="AK914" s="1" t="s">
        <v>2941</v>
      </c>
      <c r="AL914" s="736">
        <f t="shared" si="101"/>
        <v>88000</v>
      </c>
    </row>
    <row r="915" spans="1:90" ht="15" customHeight="1">
      <c r="A915" s="417">
        <v>39</v>
      </c>
      <c r="B915" s="1123" t="s">
        <v>207</v>
      </c>
      <c r="C915" s="973" t="s">
        <v>202</v>
      </c>
      <c r="D915" s="973" t="s">
        <v>2795</v>
      </c>
      <c r="E915" s="974">
        <v>2497</v>
      </c>
      <c r="F915" s="975" t="s">
        <v>2796</v>
      </c>
      <c r="G915" s="975">
        <f t="shared" si="102"/>
        <v>0.74</v>
      </c>
      <c r="H915" s="975">
        <f t="shared" si="103"/>
        <v>0.66</v>
      </c>
      <c r="I915" s="975">
        <f t="shared" si="99"/>
        <v>0.56999999999999995</v>
      </c>
      <c r="J915" s="975">
        <f t="shared" si="100"/>
        <v>0.49</v>
      </c>
      <c r="K915" s="975">
        <f t="shared" si="104"/>
        <v>0.43</v>
      </c>
      <c r="L915" s="1076">
        <v>0.05</v>
      </c>
      <c r="M915" s="973" t="s">
        <v>320</v>
      </c>
      <c r="N915" s="1077">
        <v>0.05</v>
      </c>
      <c r="O915" s="1078">
        <v>6.0000000000000001E-3</v>
      </c>
      <c r="P915" s="1078">
        <v>0.02</v>
      </c>
      <c r="Q915" s="1079"/>
      <c r="R915" s="1080" t="str">
        <f t="shared" si="86"/>
        <v>유림로지스</v>
      </c>
      <c r="S915" s="1080" t="s">
        <v>2746</v>
      </c>
      <c r="T915" s="1080" t="str">
        <f t="shared" si="105"/>
        <v>Y</v>
      </c>
      <c r="U915" s="1080">
        <v>0</v>
      </c>
      <c r="V915" s="1080">
        <v>0</v>
      </c>
      <c r="W915" s="1080">
        <v>0</v>
      </c>
      <c r="X915" s="1080" t="s">
        <v>2779</v>
      </c>
      <c r="Y915" s="1080" t="s">
        <v>2772</v>
      </c>
      <c r="Z915" s="1078">
        <f t="shared" si="106"/>
        <v>0.02</v>
      </c>
      <c r="AA915" s="1080" t="s">
        <v>2737</v>
      </c>
      <c r="AB915" s="1061" t="s">
        <v>2772</v>
      </c>
      <c r="AC915" s="1082"/>
      <c r="AD915" s="1061" t="s">
        <v>2797</v>
      </c>
      <c r="AE915" s="1061"/>
      <c r="AF915" s="1061" t="s">
        <v>2731</v>
      </c>
      <c r="AG915" s="1061"/>
      <c r="AH915" s="1061"/>
      <c r="AI915" s="1061" t="s">
        <v>3249</v>
      </c>
      <c r="AJ915" s="1061"/>
      <c r="AK915" s="1061" t="s">
        <v>2944</v>
      </c>
      <c r="AL915" s="736">
        <f t="shared" si="101"/>
        <v>80000</v>
      </c>
      <c r="AM915" s="1061"/>
      <c r="AN915" s="1061"/>
      <c r="AO915" s="1061"/>
      <c r="AP915" s="1061"/>
      <c r="AQ915" s="1061"/>
      <c r="AR915" s="1061"/>
      <c r="AS915" s="1061"/>
      <c r="AT915" s="1061"/>
      <c r="AU915" s="1061"/>
      <c r="AV915" s="1061"/>
      <c r="AW915" s="1061"/>
      <c r="AX915" s="1061"/>
      <c r="AY915" s="1061"/>
      <c r="AZ915" s="1061"/>
      <c r="BA915" s="1061"/>
      <c r="BB915" s="1061"/>
      <c r="BC915" s="1061"/>
      <c r="BD915" s="1061"/>
      <c r="BE915" s="1061"/>
      <c r="BF915" s="1061"/>
      <c r="BG915" s="1061"/>
      <c r="BH915" s="1061"/>
      <c r="BI915" s="1061"/>
      <c r="BJ915" s="1061"/>
      <c r="BK915" s="1061"/>
      <c r="BL915" s="1061"/>
      <c r="BM915" s="1061"/>
      <c r="BN915" s="1061"/>
      <c r="BO915" s="1061"/>
      <c r="BP915" s="1061"/>
      <c r="BQ915" s="1061"/>
      <c r="BR915" s="1061"/>
      <c r="BS915" s="1061"/>
      <c r="BT915" s="1061"/>
      <c r="BU915" s="1061"/>
      <c r="BV915" s="1061"/>
      <c r="BW915" s="1061"/>
      <c r="BX915" s="1061"/>
      <c r="BY915" s="1061"/>
      <c r="BZ915" s="1061"/>
      <c r="CA915" s="1061"/>
      <c r="CB915" s="1061"/>
      <c r="CC915" s="1061"/>
      <c r="CD915" s="1061"/>
      <c r="CE915" s="1061"/>
      <c r="CF915" s="1061"/>
      <c r="CG915" s="1061"/>
      <c r="CH915" s="1061"/>
      <c r="CI915" s="1061"/>
      <c r="CJ915" s="1061"/>
      <c r="CK915" s="1061"/>
      <c r="CL915" s="1061"/>
    </row>
    <row r="916" spans="1:90" ht="15" customHeight="1">
      <c r="A916" s="417">
        <v>40</v>
      </c>
      <c r="B916" s="1123" t="s">
        <v>207</v>
      </c>
      <c r="C916" s="973" t="s">
        <v>202</v>
      </c>
      <c r="D916" s="973" t="s">
        <v>2798</v>
      </c>
      <c r="E916" s="974">
        <v>3470</v>
      </c>
      <c r="F916" s="975" t="s">
        <v>2796</v>
      </c>
      <c r="G916" s="975">
        <f t="shared" si="102"/>
        <v>0.74</v>
      </c>
      <c r="H916" s="975">
        <f t="shared" si="103"/>
        <v>0.66</v>
      </c>
      <c r="I916" s="975">
        <f t="shared" si="99"/>
        <v>0.56999999999999995</v>
      </c>
      <c r="J916" s="975">
        <f t="shared" si="100"/>
        <v>0.49</v>
      </c>
      <c r="K916" s="975">
        <f t="shared" si="104"/>
        <v>0.43</v>
      </c>
      <c r="L916" s="1076">
        <v>0.05</v>
      </c>
      <c r="M916" s="973" t="s">
        <v>320</v>
      </c>
      <c r="N916" s="1077">
        <v>0.05</v>
      </c>
      <c r="O916" s="1078">
        <v>6.0000000000000001E-3</v>
      </c>
      <c r="P916" s="1078">
        <v>0.02</v>
      </c>
      <c r="Q916" s="1079"/>
      <c r="R916" s="1080" t="str">
        <f t="shared" si="86"/>
        <v>유림로지스</v>
      </c>
      <c r="S916" s="1080" t="s">
        <v>2746</v>
      </c>
      <c r="T916" s="1080" t="str">
        <f t="shared" si="105"/>
        <v>Y</v>
      </c>
      <c r="U916" s="1080">
        <v>0</v>
      </c>
      <c r="V916" s="1080">
        <v>0</v>
      </c>
      <c r="W916" s="1080">
        <v>0</v>
      </c>
      <c r="X916" s="1080" t="s">
        <v>2779</v>
      </c>
      <c r="Y916" s="1080" t="s">
        <v>2772</v>
      </c>
      <c r="Z916" s="1078">
        <f t="shared" si="106"/>
        <v>0.02</v>
      </c>
      <c r="AA916" s="1080" t="s">
        <v>2737</v>
      </c>
      <c r="AB916" s="1061" t="s">
        <v>2772</v>
      </c>
      <c r="AC916" s="1082"/>
      <c r="AD916" s="1061" t="s">
        <v>2797</v>
      </c>
      <c r="AE916" s="1061"/>
      <c r="AF916" s="1061" t="s">
        <v>2731</v>
      </c>
      <c r="AG916" s="1061"/>
      <c r="AH916" s="1061"/>
      <c r="AI916" s="1061" t="s">
        <v>145</v>
      </c>
      <c r="AJ916" s="1061"/>
      <c r="AK916" s="1061" t="s">
        <v>587</v>
      </c>
      <c r="AL916" s="736">
        <f t="shared" si="101"/>
        <v>80000</v>
      </c>
      <c r="AM916" s="1061"/>
      <c r="AN916" s="1061"/>
      <c r="AO916" s="1061"/>
      <c r="AP916" s="1061"/>
      <c r="AQ916" s="1061"/>
      <c r="AR916" s="1061"/>
      <c r="AS916" s="1061"/>
      <c r="AT916" s="1061"/>
      <c r="AU916" s="1061"/>
      <c r="AV916" s="1061"/>
      <c r="AW916" s="1061"/>
      <c r="AX916" s="1061"/>
      <c r="AY916" s="1061"/>
      <c r="AZ916" s="1061"/>
      <c r="BA916" s="1061"/>
      <c r="BB916" s="1061"/>
      <c r="BC916" s="1061"/>
      <c r="BD916" s="1061"/>
      <c r="BE916" s="1061"/>
      <c r="BF916" s="1061"/>
      <c r="BG916" s="1061"/>
      <c r="BH916" s="1061"/>
      <c r="BI916" s="1061"/>
      <c r="BJ916" s="1061"/>
      <c r="BK916" s="1061"/>
      <c r="BL916" s="1061"/>
      <c r="BM916" s="1061"/>
      <c r="BN916" s="1061"/>
      <c r="BO916" s="1061"/>
      <c r="BP916" s="1061"/>
      <c r="BQ916" s="1061"/>
      <c r="BR916" s="1061"/>
      <c r="BS916" s="1061"/>
      <c r="BT916" s="1061"/>
      <c r="BU916" s="1061"/>
      <c r="BV916" s="1061"/>
      <c r="BW916" s="1061"/>
      <c r="BX916" s="1061"/>
      <c r="BY916" s="1061"/>
      <c r="BZ916" s="1061"/>
      <c r="CA916" s="1061"/>
      <c r="CB916" s="1061"/>
      <c r="CC916" s="1061"/>
      <c r="CD916" s="1061"/>
      <c r="CE916" s="1061"/>
      <c r="CF916" s="1061"/>
      <c r="CG916" s="1061"/>
      <c r="CH916" s="1061"/>
      <c r="CI916" s="1061"/>
      <c r="CJ916" s="1061"/>
      <c r="CK916" s="1061"/>
      <c r="CL916" s="1061"/>
    </row>
    <row r="917" spans="1:90" ht="15" customHeight="1">
      <c r="A917" s="417">
        <v>41</v>
      </c>
      <c r="B917" s="417" t="s">
        <v>207</v>
      </c>
      <c r="C917" s="2" t="s">
        <v>202</v>
      </c>
      <c r="D917" s="2" t="s">
        <v>2799</v>
      </c>
      <c r="E917" s="3">
        <v>2151</v>
      </c>
      <c r="F917" s="4" t="s">
        <v>2796</v>
      </c>
      <c r="G917" s="4">
        <f t="shared" si="102"/>
        <v>0.74</v>
      </c>
      <c r="H917" s="4">
        <f t="shared" si="103"/>
        <v>0.66</v>
      </c>
      <c r="I917" s="4">
        <f t="shared" si="99"/>
        <v>0.56999999999999995</v>
      </c>
      <c r="J917" s="4">
        <f t="shared" si="100"/>
        <v>0.49</v>
      </c>
      <c r="K917" s="4">
        <f t="shared" si="104"/>
        <v>0.43</v>
      </c>
      <c r="L917" s="441">
        <v>0.05</v>
      </c>
      <c r="M917" s="2" t="s">
        <v>320</v>
      </c>
      <c r="N917" s="443">
        <v>0.05</v>
      </c>
      <c r="O917" s="296">
        <v>6.0000000000000001E-3</v>
      </c>
      <c r="P917" s="296">
        <v>0.02</v>
      </c>
      <c r="Q917" s="444"/>
      <c r="R917" s="633" t="str">
        <f t="shared" si="86"/>
        <v>유림로지스</v>
      </c>
      <c r="S917" s="633" t="s">
        <v>2746</v>
      </c>
      <c r="T917" s="633" t="str">
        <f t="shared" si="105"/>
        <v>Y</v>
      </c>
      <c r="U917" s="633">
        <v>0</v>
      </c>
      <c r="V917" s="633">
        <v>0</v>
      </c>
      <c r="W917" s="633">
        <v>0</v>
      </c>
      <c r="X917" s="633" t="s">
        <v>2779</v>
      </c>
      <c r="Y917" s="633" t="s">
        <v>2772</v>
      </c>
      <c r="Z917" s="296">
        <f t="shared" si="106"/>
        <v>0.02</v>
      </c>
      <c r="AA917" s="633" t="s">
        <v>2783</v>
      </c>
      <c r="AB917" s="1" t="s">
        <v>2772</v>
      </c>
      <c r="AC917" s="736"/>
      <c r="AD917" s="1" t="s">
        <v>2797</v>
      </c>
      <c r="AF917" s="1" t="s">
        <v>2731</v>
      </c>
      <c r="AI917" s="1" t="s">
        <v>145</v>
      </c>
      <c r="AJ917" s="1091"/>
      <c r="AK917" s="1" t="s">
        <v>2950</v>
      </c>
      <c r="AL917" s="736">
        <f t="shared" si="101"/>
        <v>80000</v>
      </c>
    </row>
    <row r="918" spans="1:90" ht="15" customHeight="1">
      <c r="A918" s="417">
        <v>42</v>
      </c>
      <c r="B918" s="1123" t="s">
        <v>207</v>
      </c>
      <c r="C918" s="973" t="s">
        <v>202</v>
      </c>
      <c r="D918" s="973" t="s">
        <v>2800</v>
      </c>
      <c r="E918" s="974">
        <v>2497</v>
      </c>
      <c r="F918" s="975" t="s">
        <v>2796</v>
      </c>
      <c r="G918" s="975">
        <f t="shared" si="102"/>
        <v>0.75</v>
      </c>
      <c r="H918" s="975">
        <f t="shared" si="103"/>
        <v>0.67</v>
      </c>
      <c r="I918" s="975">
        <f t="shared" si="99"/>
        <v>0.57999999999999996</v>
      </c>
      <c r="J918" s="975">
        <f t="shared" si="100"/>
        <v>0.5</v>
      </c>
      <c r="K918" s="975">
        <f t="shared" si="104"/>
        <v>0.44</v>
      </c>
      <c r="L918" s="1076">
        <v>0.05</v>
      </c>
      <c r="M918" s="973" t="s">
        <v>1558</v>
      </c>
      <c r="N918" s="1077">
        <v>0.05</v>
      </c>
      <c r="O918" s="1078">
        <v>6.0000000000000001E-3</v>
      </c>
      <c r="P918" s="1078">
        <v>0.02</v>
      </c>
      <c r="Q918" s="1079"/>
      <c r="R918" s="1080" t="str">
        <f t="shared" si="86"/>
        <v>유림로지스</v>
      </c>
      <c r="S918" s="1080" t="s">
        <v>2746</v>
      </c>
      <c r="T918" s="1080" t="str">
        <f t="shared" si="105"/>
        <v>Y</v>
      </c>
      <c r="U918" s="1080">
        <v>0</v>
      </c>
      <c r="V918" s="1080">
        <v>0</v>
      </c>
      <c r="W918" s="1080">
        <v>0</v>
      </c>
      <c r="X918" s="1080" t="s">
        <v>2779</v>
      </c>
      <c r="Y918" s="1080" t="s">
        <v>2772</v>
      </c>
      <c r="Z918" s="1078">
        <f t="shared" si="106"/>
        <v>0.02</v>
      </c>
      <c r="AA918" s="1080" t="s">
        <v>2737</v>
      </c>
      <c r="AB918" s="1061" t="s">
        <v>2772</v>
      </c>
      <c r="AC918" s="1082" t="s">
        <v>1718</v>
      </c>
      <c r="AD918" s="1061" t="s">
        <v>2801</v>
      </c>
      <c r="AE918" s="1061"/>
      <c r="AF918" s="1061" t="s">
        <v>2731</v>
      </c>
      <c r="AG918" s="1061"/>
      <c r="AH918" s="1061"/>
      <c r="AI918" s="1061" t="s">
        <v>3246</v>
      </c>
      <c r="AJ918" s="1061"/>
      <c r="AK918" s="1061" t="s">
        <v>2955</v>
      </c>
      <c r="AL918" s="736">
        <f t="shared" si="101"/>
        <v>82000</v>
      </c>
      <c r="AM918" s="1061"/>
      <c r="AN918" s="1061"/>
      <c r="AO918" s="1061"/>
      <c r="AP918" s="1061"/>
      <c r="AQ918" s="1061"/>
      <c r="AR918" s="1061"/>
      <c r="AS918" s="1061"/>
      <c r="AT918" s="1061"/>
      <c r="AU918" s="1061"/>
      <c r="AV918" s="1061"/>
      <c r="AW918" s="1061"/>
      <c r="AX918" s="1061"/>
      <c r="AY918" s="1061"/>
      <c r="AZ918" s="1061"/>
      <c r="BA918" s="1061"/>
      <c r="BB918" s="1061"/>
      <c r="BC918" s="1061"/>
      <c r="BD918" s="1061"/>
      <c r="BE918" s="1061"/>
      <c r="BF918" s="1061"/>
      <c r="BG918" s="1061"/>
      <c r="BH918" s="1061"/>
      <c r="BI918" s="1061"/>
      <c r="BJ918" s="1061"/>
      <c r="BK918" s="1061"/>
      <c r="BL918" s="1061"/>
      <c r="BM918" s="1061"/>
      <c r="BN918" s="1061"/>
      <c r="BO918" s="1061"/>
      <c r="BP918" s="1061"/>
      <c r="BQ918" s="1061"/>
      <c r="BR918" s="1061"/>
      <c r="BS918" s="1061"/>
      <c r="BT918" s="1061"/>
      <c r="BU918" s="1061"/>
      <c r="BV918" s="1061"/>
      <c r="BW918" s="1061"/>
      <c r="BX918" s="1061"/>
      <c r="BY918" s="1061"/>
      <c r="BZ918" s="1061"/>
      <c r="CA918" s="1061"/>
      <c r="CB918" s="1061"/>
      <c r="CC918" s="1061"/>
      <c r="CD918" s="1061"/>
      <c r="CE918" s="1061"/>
      <c r="CF918" s="1061"/>
      <c r="CG918" s="1061"/>
      <c r="CH918" s="1061"/>
      <c r="CI918" s="1061"/>
      <c r="CJ918" s="1061"/>
      <c r="CK918" s="1061"/>
      <c r="CL918" s="1061"/>
    </row>
    <row r="919" spans="1:90" s="1061" customFormat="1" ht="15" customHeight="1">
      <c r="A919" s="417">
        <v>43</v>
      </c>
      <c r="B919" s="1123" t="s">
        <v>207</v>
      </c>
      <c r="C919" s="973" t="s">
        <v>202</v>
      </c>
      <c r="D919" s="973" t="s">
        <v>2802</v>
      </c>
      <c r="E919" s="974">
        <v>2497</v>
      </c>
      <c r="F919" s="975" t="s">
        <v>2796</v>
      </c>
      <c r="G919" s="975">
        <f t="shared" si="102"/>
        <v>0.75</v>
      </c>
      <c r="H919" s="975">
        <f t="shared" si="103"/>
        <v>0.67</v>
      </c>
      <c r="I919" s="975">
        <f t="shared" si="99"/>
        <v>0.57999999999999996</v>
      </c>
      <c r="J919" s="975">
        <f t="shared" si="100"/>
        <v>0.5</v>
      </c>
      <c r="K919" s="975">
        <f t="shared" si="104"/>
        <v>0.44</v>
      </c>
      <c r="L919" s="1076">
        <v>0.05</v>
      </c>
      <c r="M919" s="973" t="s">
        <v>1558</v>
      </c>
      <c r="N919" s="1077">
        <v>0.05</v>
      </c>
      <c r="O919" s="1078">
        <v>6.0000000000000001E-3</v>
      </c>
      <c r="P919" s="1078">
        <v>0.02</v>
      </c>
      <c r="Q919" s="1079"/>
      <c r="R919" s="1080" t="str">
        <f>IF(OR(S919="서산",S919="광주",S919="화성"),"선보","유림로지스")</f>
        <v>유림로지스</v>
      </c>
      <c r="S919" s="1080" t="s">
        <v>2746</v>
      </c>
      <c r="T919" s="1080" t="str">
        <f t="shared" si="105"/>
        <v>Y</v>
      </c>
      <c r="U919" s="1080">
        <v>0</v>
      </c>
      <c r="V919" s="1080">
        <v>0</v>
      </c>
      <c r="W919" s="1080">
        <v>0</v>
      </c>
      <c r="X919" s="1080" t="s">
        <v>2779</v>
      </c>
      <c r="Y919" s="1080" t="s">
        <v>2772</v>
      </c>
      <c r="Z919" s="1078">
        <f t="shared" si="106"/>
        <v>0.02</v>
      </c>
      <c r="AA919" s="1080" t="s">
        <v>2737</v>
      </c>
      <c r="AB919" s="1061" t="s">
        <v>2772</v>
      </c>
      <c r="AC919" s="1082" t="s">
        <v>1718</v>
      </c>
      <c r="AD919" s="1061" t="s">
        <v>2801</v>
      </c>
      <c r="AF919" s="1061" t="s">
        <v>2731</v>
      </c>
      <c r="AI919" s="1061" t="s">
        <v>3246</v>
      </c>
      <c r="AK919" s="1061" t="s">
        <v>587</v>
      </c>
      <c r="AL919" s="736">
        <f t="shared" si="101"/>
        <v>82000</v>
      </c>
    </row>
    <row r="920" spans="1:90" ht="15" customHeight="1">
      <c r="A920" s="417">
        <v>44</v>
      </c>
      <c r="B920" s="1123" t="s">
        <v>207</v>
      </c>
      <c r="C920" s="973" t="s">
        <v>202</v>
      </c>
      <c r="D920" s="973" t="s">
        <v>2803</v>
      </c>
      <c r="E920" s="974">
        <v>2497</v>
      </c>
      <c r="F920" s="975" t="s">
        <v>2804</v>
      </c>
      <c r="G920" s="975">
        <f t="shared" si="102"/>
        <v>0.75</v>
      </c>
      <c r="H920" s="975">
        <f t="shared" si="103"/>
        <v>0.67</v>
      </c>
      <c r="I920" s="975">
        <f t="shared" si="99"/>
        <v>0.57999999999999996</v>
      </c>
      <c r="J920" s="975">
        <f t="shared" si="100"/>
        <v>0.5</v>
      </c>
      <c r="K920" s="975">
        <f t="shared" si="104"/>
        <v>0.44</v>
      </c>
      <c r="L920" s="1076">
        <v>0.05</v>
      </c>
      <c r="M920" s="973" t="s">
        <v>1558</v>
      </c>
      <c r="N920" s="1077">
        <v>0.05</v>
      </c>
      <c r="O920" s="1078">
        <v>6.0000000000000001E-3</v>
      </c>
      <c r="P920" s="1078">
        <v>0.02</v>
      </c>
      <c r="Q920" s="1079"/>
      <c r="R920" s="1080" t="str">
        <f t="shared" si="86"/>
        <v>유림로지스</v>
      </c>
      <c r="S920" s="1080" t="s">
        <v>2746</v>
      </c>
      <c r="T920" s="1080" t="str">
        <f t="shared" si="105"/>
        <v>Y</v>
      </c>
      <c r="U920" s="1080">
        <v>0</v>
      </c>
      <c r="V920" s="1080">
        <v>0</v>
      </c>
      <c r="W920" s="1080">
        <v>0</v>
      </c>
      <c r="X920" s="1080" t="s">
        <v>2779</v>
      </c>
      <c r="Y920" s="1080" t="s">
        <v>2772</v>
      </c>
      <c r="Z920" s="1078">
        <f t="shared" si="106"/>
        <v>0.02</v>
      </c>
      <c r="AA920" s="1080" t="s">
        <v>2737</v>
      </c>
      <c r="AB920" s="1061" t="s">
        <v>2772</v>
      </c>
      <c r="AC920" s="1082" t="s">
        <v>1718</v>
      </c>
      <c r="AD920" s="1061" t="s">
        <v>2801</v>
      </c>
      <c r="AE920" s="1061"/>
      <c r="AF920" s="1061" t="s">
        <v>2731</v>
      </c>
      <c r="AG920" s="1061"/>
      <c r="AH920" s="1061"/>
      <c r="AI920" s="1061" t="s">
        <v>3246</v>
      </c>
      <c r="AJ920" s="1061"/>
      <c r="AK920" s="1061" t="s">
        <v>2956</v>
      </c>
      <c r="AL920" s="736">
        <f t="shared" si="101"/>
        <v>82000</v>
      </c>
      <c r="AM920" s="1061"/>
      <c r="AN920" s="1061"/>
      <c r="AO920" s="1061"/>
      <c r="AP920" s="1061"/>
      <c r="AQ920" s="1061"/>
      <c r="AR920" s="1061"/>
      <c r="AS920" s="1061"/>
      <c r="AT920" s="1061"/>
      <c r="AU920" s="1061"/>
      <c r="AV920" s="1061"/>
      <c r="AW920" s="1061"/>
      <c r="AX920" s="1061"/>
      <c r="AY920" s="1061"/>
      <c r="AZ920" s="1061"/>
      <c r="BA920" s="1061"/>
      <c r="BB920" s="1061"/>
      <c r="BC920" s="1061"/>
      <c r="BD920" s="1061"/>
      <c r="BE920" s="1061"/>
      <c r="BF920" s="1061"/>
      <c r="BG920" s="1061"/>
      <c r="BH920" s="1061"/>
      <c r="BI920" s="1061"/>
      <c r="BJ920" s="1061"/>
      <c r="BK920" s="1061"/>
      <c r="BL920" s="1061"/>
      <c r="BM920" s="1061"/>
      <c r="BN920" s="1061"/>
      <c r="BO920" s="1061"/>
      <c r="BP920" s="1061"/>
      <c r="BQ920" s="1061"/>
      <c r="BR920" s="1061"/>
      <c r="BS920" s="1061"/>
      <c r="BT920" s="1061"/>
      <c r="BU920" s="1061"/>
      <c r="BV920" s="1061"/>
      <c r="BW920" s="1061"/>
      <c r="BX920" s="1061"/>
      <c r="BY920" s="1061"/>
      <c r="BZ920" s="1061"/>
      <c r="CA920" s="1061"/>
      <c r="CB920" s="1061"/>
      <c r="CC920" s="1061"/>
      <c r="CD920" s="1061"/>
      <c r="CE920" s="1061"/>
      <c r="CF920" s="1061"/>
      <c r="CG920" s="1061"/>
      <c r="CH920" s="1061"/>
      <c r="CI920" s="1061"/>
      <c r="CJ920" s="1061"/>
      <c r="CK920" s="1061"/>
      <c r="CL920" s="1061"/>
    </row>
    <row r="921" spans="1:90" s="1061" customFormat="1" ht="15" customHeight="1">
      <c r="A921" s="417">
        <v>45</v>
      </c>
      <c r="B921" s="1123" t="s">
        <v>207</v>
      </c>
      <c r="C921" s="973" t="s">
        <v>202</v>
      </c>
      <c r="D921" s="973" t="s">
        <v>2805</v>
      </c>
      <c r="E921" s="974">
        <v>3470</v>
      </c>
      <c r="F921" s="975" t="s">
        <v>2796</v>
      </c>
      <c r="G921" s="975">
        <f t="shared" si="102"/>
        <v>0.73</v>
      </c>
      <c r="H921" s="975">
        <f t="shared" si="103"/>
        <v>0.65</v>
      </c>
      <c r="I921" s="975">
        <f t="shared" si="99"/>
        <v>0.56000000000000005</v>
      </c>
      <c r="J921" s="975">
        <f t="shared" si="100"/>
        <v>0.48</v>
      </c>
      <c r="K921" s="975">
        <f t="shared" si="104"/>
        <v>0.42</v>
      </c>
      <c r="L921" s="1076">
        <v>0.05</v>
      </c>
      <c r="M921" s="973" t="s">
        <v>321</v>
      </c>
      <c r="N921" s="1077">
        <v>0.05</v>
      </c>
      <c r="O921" s="1078">
        <v>6.0000000000000001E-3</v>
      </c>
      <c r="P921" s="1078">
        <v>0.02</v>
      </c>
      <c r="Q921" s="1079"/>
      <c r="R921" s="1080" t="str">
        <f t="shared" si="86"/>
        <v>유림로지스</v>
      </c>
      <c r="S921" s="1080" t="s">
        <v>2746</v>
      </c>
      <c r="T921" s="1080" t="str">
        <f t="shared" si="105"/>
        <v>Y</v>
      </c>
      <c r="U921" s="1080">
        <v>0</v>
      </c>
      <c r="V921" s="1080">
        <v>0</v>
      </c>
      <c r="W921" s="1080">
        <v>0</v>
      </c>
      <c r="X921" s="1080" t="s">
        <v>2779</v>
      </c>
      <c r="Y921" s="1080" t="s">
        <v>2772</v>
      </c>
      <c r="Z921" s="1078">
        <f t="shared" si="106"/>
        <v>0.02</v>
      </c>
      <c r="AA921" s="1080" t="s">
        <v>2737</v>
      </c>
      <c r="AB921" s="1061" t="s">
        <v>2772</v>
      </c>
      <c r="AC921" s="1082" t="s">
        <v>1718</v>
      </c>
      <c r="AD921" s="1061" t="s">
        <v>2801</v>
      </c>
      <c r="AF921" s="1061" t="s">
        <v>2731</v>
      </c>
      <c r="AI921" s="1061" t="s">
        <v>3246</v>
      </c>
      <c r="AK921" s="1061" t="s">
        <v>2944</v>
      </c>
      <c r="AL921" s="736">
        <f t="shared" si="101"/>
        <v>82000</v>
      </c>
    </row>
    <row r="922" spans="1:90" s="1061" customFormat="1" ht="15" customHeight="1">
      <c r="A922" s="417">
        <v>46</v>
      </c>
      <c r="B922" s="1123" t="s">
        <v>207</v>
      </c>
      <c r="C922" s="973" t="s">
        <v>202</v>
      </c>
      <c r="D922" s="973" t="s">
        <v>2806</v>
      </c>
      <c r="E922" s="974">
        <v>3470</v>
      </c>
      <c r="F922" s="975" t="s">
        <v>2796</v>
      </c>
      <c r="G922" s="975">
        <f t="shared" si="102"/>
        <v>0.73</v>
      </c>
      <c r="H922" s="975">
        <f t="shared" si="103"/>
        <v>0.65</v>
      </c>
      <c r="I922" s="975">
        <f t="shared" si="99"/>
        <v>0.56000000000000005</v>
      </c>
      <c r="J922" s="975">
        <f t="shared" si="100"/>
        <v>0.48</v>
      </c>
      <c r="K922" s="975">
        <f t="shared" si="104"/>
        <v>0.42</v>
      </c>
      <c r="L922" s="1076">
        <v>0.05</v>
      </c>
      <c r="M922" s="973" t="s">
        <v>321</v>
      </c>
      <c r="N922" s="1077">
        <v>0.05</v>
      </c>
      <c r="O922" s="1078">
        <v>6.0000000000000001E-3</v>
      </c>
      <c r="P922" s="1078">
        <v>0.02</v>
      </c>
      <c r="Q922" s="1079"/>
      <c r="R922" s="1080" t="str">
        <f>IF(OR(S922="서산",S922="광주",S922="화성"),"선보","유림로지스")</f>
        <v>유림로지스</v>
      </c>
      <c r="S922" s="1080" t="s">
        <v>2746</v>
      </c>
      <c r="T922" s="1080" t="str">
        <f t="shared" si="105"/>
        <v>Y</v>
      </c>
      <c r="U922" s="1080">
        <v>0</v>
      </c>
      <c r="V922" s="1080">
        <v>0</v>
      </c>
      <c r="W922" s="1080">
        <v>0</v>
      </c>
      <c r="X922" s="1080" t="s">
        <v>2779</v>
      </c>
      <c r="Y922" s="1080" t="s">
        <v>2772</v>
      </c>
      <c r="Z922" s="1078">
        <f t="shared" si="106"/>
        <v>0.02</v>
      </c>
      <c r="AA922" s="1080" t="s">
        <v>2737</v>
      </c>
      <c r="AB922" s="1061" t="s">
        <v>2772</v>
      </c>
      <c r="AC922" s="1082" t="s">
        <v>1718</v>
      </c>
      <c r="AD922" s="1061" t="s">
        <v>2801</v>
      </c>
      <c r="AF922" s="1061" t="s">
        <v>2731</v>
      </c>
      <c r="AI922" s="1061" t="s">
        <v>3246</v>
      </c>
      <c r="AK922" s="1061" t="s">
        <v>587</v>
      </c>
      <c r="AL922" s="736">
        <f t="shared" si="101"/>
        <v>82000</v>
      </c>
    </row>
    <row r="923" spans="1:90" s="1061" customFormat="1" ht="15" customHeight="1">
      <c r="A923" s="417">
        <v>47</v>
      </c>
      <c r="B923" s="1123" t="s">
        <v>207</v>
      </c>
      <c r="C923" s="973" t="s">
        <v>202</v>
      </c>
      <c r="D923" s="973" t="s">
        <v>2807</v>
      </c>
      <c r="E923" s="974">
        <v>3470</v>
      </c>
      <c r="F923" s="975" t="s">
        <v>2804</v>
      </c>
      <c r="G923" s="975">
        <f t="shared" si="102"/>
        <v>0.73</v>
      </c>
      <c r="H923" s="975">
        <f t="shared" si="103"/>
        <v>0.65</v>
      </c>
      <c r="I923" s="975">
        <f t="shared" si="99"/>
        <v>0.56000000000000005</v>
      </c>
      <c r="J923" s="975">
        <f t="shared" si="100"/>
        <v>0.48</v>
      </c>
      <c r="K923" s="975">
        <f t="shared" si="104"/>
        <v>0.42</v>
      </c>
      <c r="L923" s="1076">
        <v>0.05</v>
      </c>
      <c r="M923" s="973" t="s">
        <v>321</v>
      </c>
      <c r="N923" s="1077">
        <v>0.05</v>
      </c>
      <c r="O923" s="1078">
        <v>6.0000000000000001E-3</v>
      </c>
      <c r="P923" s="1078">
        <v>0.02</v>
      </c>
      <c r="Q923" s="1079"/>
      <c r="R923" s="1080" t="str">
        <f t="shared" si="86"/>
        <v>유림로지스</v>
      </c>
      <c r="S923" s="1080" t="s">
        <v>2746</v>
      </c>
      <c r="T923" s="1080" t="str">
        <f t="shared" si="105"/>
        <v>Y</v>
      </c>
      <c r="U923" s="1080">
        <v>0</v>
      </c>
      <c r="V923" s="1080">
        <v>0</v>
      </c>
      <c r="W923" s="1080">
        <v>0</v>
      </c>
      <c r="X923" s="1080" t="s">
        <v>2779</v>
      </c>
      <c r="Y923" s="1080" t="s">
        <v>2772</v>
      </c>
      <c r="Z923" s="1078">
        <f t="shared" si="106"/>
        <v>0.02</v>
      </c>
      <c r="AA923" s="1080" t="s">
        <v>2737</v>
      </c>
      <c r="AB923" s="1061" t="s">
        <v>2772</v>
      </c>
      <c r="AC923" s="1082" t="s">
        <v>1718</v>
      </c>
      <c r="AD923" s="1061" t="s">
        <v>2801</v>
      </c>
      <c r="AF923" s="1061" t="s">
        <v>2731</v>
      </c>
      <c r="AI923" s="1061" t="s">
        <v>3246</v>
      </c>
      <c r="AK923" s="1061" t="s">
        <v>2957</v>
      </c>
      <c r="AL923" s="736">
        <f t="shared" si="101"/>
        <v>82000</v>
      </c>
    </row>
    <row r="924" spans="1:90" s="1061" customFormat="1" ht="15" customHeight="1">
      <c r="A924" s="417">
        <v>48</v>
      </c>
      <c r="B924" s="1123" t="s">
        <v>207</v>
      </c>
      <c r="C924" s="973" t="s">
        <v>202</v>
      </c>
      <c r="D924" s="973" t="s">
        <v>2808</v>
      </c>
      <c r="E924" s="974">
        <v>2497</v>
      </c>
      <c r="F924" s="975" t="s">
        <v>2796</v>
      </c>
      <c r="G924" s="975">
        <f t="shared" si="102"/>
        <v>0.73</v>
      </c>
      <c r="H924" s="975">
        <f t="shared" si="103"/>
        <v>0.65</v>
      </c>
      <c r="I924" s="975">
        <f t="shared" si="99"/>
        <v>0.56000000000000005</v>
      </c>
      <c r="J924" s="975">
        <f t="shared" si="100"/>
        <v>0.48</v>
      </c>
      <c r="K924" s="975">
        <f t="shared" si="104"/>
        <v>0.42</v>
      </c>
      <c r="L924" s="1076">
        <v>0.05</v>
      </c>
      <c r="M924" s="973" t="s">
        <v>2492</v>
      </c>
      <c r="N924" s="1077">
        <v>0.05</v>
      </c>
      <c r="O924" s="1078">
        <v>6.0000000000000001E-3</v>
      </c>
      <c r="P924" s="1078">
        <v>0.02</v>
      </c>
      <c r="Q924" s="1079"/>
      <c r="R924" s="1080" t="str">
        <f>IF(OR(S924="서산",S924="광주",S924="화성"),"선보","유림로지스")</f>
        <v>유림로지스</v>
      </c>
      <c r="S924" s="1080" t="s">
        <v>2746</v>
      </c>
      <c r="T924" s="1080" t="str">
        <f>+IF(LEFT(D924,1)="G","Y","N")</f>
        <v>Y</v>
      </c>
      <c r="U924" s="1080">
        <v>0</v>
      </c>
      <c r="V924" s="1080">
        <v>0</v>
      </c>
      <c r="W924" s="1080">
        <v>0</v>
      </c>
      <c r="X924" s="1080" t="s">
        <v>2779</v>
      </c>
      <c r="Y924" s="1080" t="s">
        <v>2772</v>
      </c>
      <c r="Z924" s="1078">
        <f t="shared" si="106"/>
        <v>0.02</v>
      </c>
      <c r="AA924" s="1080" t="s">
        <v>2737</v>
      </c>
      <c r="AB924" s="1061" t="s">
        <v>2772</v>
      </c>
      <c r="AC924" s="1082" t="s">
        <v>2493</v>
      </c>
      <c r="AD924" s="1061" t="s">
        <v>2801</v>
      </c>
      <c r="AI924" s="1061" t="s">
        <v>3246</v>
      </c>
      <c r="AK924" s="1061" t="s">
        <v>587</v>
      </c>
      <c r="AL924" s="736">
        <f t="shared" si="101"/>
        <v>82000</v>
      </c>
    </row>
    <row r="925" spans="1:90" s="1061" customFormat="1" ht="15" customHeight="1">
      <c r="A925" s="417">
        <v>49</v>
      </c>
      <c r="B925" s="1123" t="s">
        <v>207</v>
      </c>
      <c r="C925" s="973" t="s">
        <v>202</v>
      </c>
      <c r="D925" s="973" t="s">
        <v>2809</v>
      </c>
      <c r="E925" s="974">
        <v>3470</v>
      </c>
      <c r="F925" s="975" t="s">
        <v>2796</v>
      </c>
      <c r="G925" s="975">
        <f t="shared" si="102"/>
        <v>0.71</v>
      </c>
      <c r="H925" s="975">
        <f t="shared" si="103"/>
        <v>0.63</v>
      </c>
      <c r="I925" s="975">
        <f t="shared" si="99"/>
        <v>0.54</v>
      </c>
      <c r="J925" s="975">
        <f t="shared" si="100"/>
        <v>0.46</v>
      </c>
      <c r="K925" s="975">
        <f t="shared" si="104"/>
        <v>0.4</v>
      </c>
      <c r="L925" s="1076">
        <v>0.05</v>
      </c>
      <c r="M925" s="973" t="s">
        <v>2494</v>
      </c>
      <c r="N925" s="1077">
        <v>0.05</v>
      </c>
      <c r="O925" s="1078">
        <v>6.0000000000000001E-3</v>
      </c>
      <c r="P925" s="1078">
        <v>0.02</v>
      </c>
      <c r="Q925" s="1079"/>
      <c r="R925" s="1080" t="str">
        <f>IF(OR(S925="서산",S925="광주",S925="화성"),"선보","유림로지스")</f>
        <v>유림로지스</v>
      </c>
      <c r="S925" s="1080" t="s">
        <v>2746</v>
      </c>
      <c r="T925" s="1080" t="str">
        <f>+IF(LEFT(D925,1)="G","Y","N")</f>
        <v>Y</v>
      </c>
      <c r="U925" s="1080">
        <v>0</v>
      </c>
      <c r="V925" s="1080">
        <v>0</v>
      </c>
      <c r="W925" s="1080">
        <v>0</v>
      </c>
      <c r="X925" s="1080" t="s">
        <v>2779</v>
      </c>
      <c r="Y925" s="1080" t="s">
        <v>2772</v>
      </c>
      <c r="Z925" s="1078">
        <f t="shared" si="106"/>
        <v>0.02</v>
      </c>
      <c r="AA925" s="1080" t="s">
        <v>2737</v>
      </c>
      <c r="AB925" s="1061" t="s">
        <v>2772</v>
      </c>
      <c r="AC925" s="1082" t="s">
        <v>2493</v>
      </c>
      <c r="AD925" s="1061" t="s">
        <v>2801</v>
      </c>
      <c r="AI925" s="1061" t="s">
        <v>3246</v>
      </c>
      <c r="AK925" s="1061" t="s">
        <v>587</v>
      </c>
      <c r="AL925" s="736">
        <f t="shared" ref="AL925:AL956" si="107">VLOOKUP(AD925,$D$1072:$F$1094,3,0)</f>
        <v>82000</v>
      </c>
    </row>
    <row r="926" spans="1:90" s="1061" customFormat="1" ht="15" customHeight="1">
      <c r="A926" s="417">
        <v>50</v>
      </c>
      <c r="B926" s="1123" t="s">
        <v>207</v>
      </c>
      <c r="C926" s="973" t="s">
        <v>202</v>
      </c>
      <c r="D926" s="973" t="s">
        <v>2810</v>
      </c>
      <c r="E926" s="974">
        <v>3470</v>
      </c>
      <c r="F926" s="975" t="s">
        <v>2796</v>
      </c>
      <c r="G926" s="975">
        <f t="shared" si="102"/>
        <v>0.71</v>
      </c>
      <c r="H926" s="975">
        <f t="shared" si="103"/>
        <v>0.63</v>
      </c>
      <c r="I926" s="975">
        <f t="shared" si="99"/>
        <v>0.54</v>
      </c>
      <c r="J926" s="975">
        <f t="shared" si="100"/>
        <v>0.46</v>
      </c>
      <c r="K926" s="975">
        <f t="shared" si="104"/>
        <v>0.4</v>
      </c>
      <c r="L926" s="1076">
        <v>0.05</v>
      </c>
      <c r="M926" s="973" t="s">
        <v>2494</v>
      </c>
      <c r="N926" s="1077">
        <v>0.05</v>
      </c>
      <c r="O926" s="1078">
        <v>6.0000000000000001E-3</v>
      </c>
      <c r="P926" s="1078">
        <v>0.02</v>
      </c>
      <c r="Q926" s="1079"/>
      <c r="R926" s="1080" t="str">
        <f>IF(OR(S926="서산",S926="광주",S926="화성"),"선보","유림로지스")</f>
        <v>유림로지스</v>
      </c>
      <c r="S926" s="1080" t="s">
        <v>2746</v>
      </c>
      <c r="T926" s="1080" t="str">
        <f>+IF(LEFT(D926,1)="G","Y","N")</f>
        <v>Y</v>
      </c>
      <c r="U926" s="1080">
        <v>0</v>
      </c>
      <c r="V926" s="1080">
        <v>0</v>
      </c>
      <c r="W926" s="1080">
        <v>0</v>
      </c>
      <c r="X926" s="1080" t="s">
        <v>2779</v>
      </c>
      <c r="Y926" s="1080" t="s">
        <v>2772</v>
      </c>
      <c r="Z926" s="1078">
        <f t="shared" si="106"/>
        <v>0.02</v>
      </c>
      <c r="AA926" s="1080" t="s">
        <v>2737</v>
      </c>
      <c r="AB926" s="1061" t="s">
        <v>2772</v>
      </c>
      <c r="AC926" s="1082" t="s">
        <v>2493</v>
      </c>
      <c r="AD926" s="1061" t="s">
        <v>2801</v>
      </c>
      <c r="AI926" s="1061" t="s">
        <v>3246</v>
      </c>
      <c r="AK926" s="1061" t="s">
        <v>2958</v>
      </c>
      <c r="AL926" s="736">
        <f t="shared" si="107"/>
        <v>82000</v>
      </c>
    </row>
    <row r="927" spans="1:90" s="1061" customFormat="1" ht="15" customHeight="1">
      <c r="A927" s="417">
        <v>51</v>
      </c>
      <c r="B927" s="417" t="s">
        <v>207</v>
      </c>
      <c r="C927" s="2" t="s">
        <v>202</v>
      </c>
      <c r="D927" s="2" t="s">
        <v>2811</v>
      </c>
      <c r="E927" s="3">
        <v>0</v>
      </c>
      <c r="F927" s="4" t="s">
        <v>2749</v>
      </c>
      <c r="G927" s="4" t="e">
        <f t="shared" si="102"/>
        <v>#N/A</v>
      </c>
      <c r="H927" s="4" t="e">
        <f t="shared" si="103"/>
        <v>#N/A</v>
      </c>
      <c r="I927" s="4">
        <f>+IF(운용리스_단일!$AS$40=20000,40%,37%)</f>
        <v>0.4</v>
      </c>
      <c r="J927" s="4">
        <f>IF(운용리스_단일!$AS$40=20000,33%,30%)</f>
        <v>0.33</v>
      </c>
      <c r="K927" s="4" t="e">
        <f t="shared" si="104"/>
        <v>#N/A</v>
      </c>
      <c r="L927" s="441">
        <f>+IF(AND(계산_운용리스_단일!$C$4="전기",계산_운용리스_단일!$D$4="국산",계산_운용리스_단일!$C$17=20000),5%,3%)</f>
        <v>0.03</v>
      </c>
      <c r="M927" s="2"/>
      <c r="N927" s="443">
        <v>0.05</v>
      </c>
      <c r="O927" s="296">
        <v>6.0000000000000001E-3</v>
      </c>
      <c r="P927" s="296">
        <v>0.02</v>
      </c>
      <c r="Q927" s="444"/>
      <c r="R927" s="633" t="str">
        <f t="shared" si="86"/>
        <v>유림로지스</v>
      </c>
      <c r="S927" s="633" t="s">
        <v>2746</v>
      </c>
      <c r="T927" s="633" t="s">
        <v>1241</v>
      </c>
      <c r="U927" s="633">
        <v>0</v>
      </c>
      <c r="V927" s="633">
        <v>0</v>
      </c>
      <c r="W927" s="633">
        <v>0</v>
      </c>
      <c r="X927" s="633" t="s">
        <v>2779</v>
      </c>
      <c r="Y927" s="633" t="s">
        <v>2731</v>
      </c>
      <c r="Z927" s="296">
        <f t="shared" si="106"/>
        <v>1.4999999999999999E-2</v>
      </c>
      <c r="AA927" s="633" t="s">
        <v>2749</v>
      </c>
      <c r="AB927" s="1" t="s">
        <v>2731</v>
      </c>
      <c r="AC927" s="736"/>
      <c r="AD927" s="1" t="s">
        <v>2812</v>
      </c>
      <c r="AE927" s="1"/>
      <c r="AF927" s="1" t="s">
        <v>2731</v>
      </c>
      <c r="AG927" s="1"/>
      <c r="AH927" s="1"/>
      <c r="AI927" s="1" t="s">
        <v>158</v>
      </c>
      <c r="AJ927" s="1091"/>
      <c r="AK927" s="1" t="s">
        <v>612</v>
      </c>
      <c r="AL927" s="736">
        <f t="shared" si="107"/>
        <v>81000</v>
      </c>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c r="BP927" s="1"/>
      <c r="BQ927" s="1"/>
      <c r="BR927" s="1"/>
      <c r="BS927" s="1"/>
      <c r="BT927" s="1"/>
      <c r="BU927" s="1"/>
      <c r="BV927" s="1"/>
      <c r="BW927" s="1"/>
      <c r="BX927" s="1"/>
      <c r="BY927" s="1"/>
      <c r="BZ927" s="1"/>
      <c r="CA927" s="1"/>
      <c r="CB927" s="1"/>
      <c r="CC927" s="1"/>
      <c r="CD927" s="1"/>
      <c r="CE927" s="1"/>
      <c r="CF927" s="1"/>
      <c r="CG927" s="1"/>
      <c r="CH927" s="1"/>
      <c r="CI927" s="1"/>
      <c r="CJ927" s="1"/>
      <c r="CK927" s="1"/>
      <c r="CL927" s="1"/>
    </row>
    <row r="928" spans="1:90" s="1061" customFormat="1" ht="15" customHeight="1">
      <c r="A928" s="417">
        <v>52</v>
      </c>
      <c r="B928" s="417" t="s">
        <v>207</v>
      </c>
      <c r="C928" s="2" t="s">
        <v>202</v>
      </c>
      <c r="D928" s="2" t="s">
        <v>2813</v>
      </c>
      <c r="E928" s="3">
        <v>0</v>
      </c>
      <c r="F928" s="4" t="s">
        <v>2749</v>
      </c>
      <c r="G928" s="4" t="e">
        <f t="shared" si="102"/>
        <v>#N/A</v>
      </c>
      <c r="H928" s="4" t="e">
        <f t="shared" si="103"/>
        <v>#N/A</v>
      </c>
      <c r="I928" s="4">
        <f>+IF(운용리스_단일!$AS$40=20000,40%,37%)</f>
        <v>0.4</v>
      </c>
      <c r="J928" s="4">
        <f>IF(운용리스_단일!$AS$40=20000,33%,30%)</f>
        <v>0.33</v>
      </c>
      <c r="K928" s="4" t="e">
        <f t="shared" si="104"/>
        <v>#N/A</v>
      </c>
      <c r="L928" s="441">
        <f>+IF(AND(계산_운용리스_단일!$C$4="전기",계산_운용리스_단일!$D$4="국산",계산_운용리스_단일!$C$17=20000),5%,3%)</f>
        <v>0.03</v>
      </c>
      <c r="M928" s="2"/>
      <c r="N928" s="443">
        <v>0.05</v>
      </c>
      <c r="O928" s="296">
        <v>6.0000000000000001E-3</v>
      </c>
      <c r="P928" s="296">
        <v>0.02</v>
      </c>
      <c r="Q928" s="444"/>
      <c r="R928" s="633" t="str">
        <f>IF(OR(S928="서산",S928="광주",S928="화성"),"선보","유림로지스")</f>
        <v>유림로지스</v>
      </c>
      <c r="S928" s="633" t="s">
        <v>2746</v>
      </c>
      <c r="T928" s="633" t="s">
        <v>596</v>
      </c>
      <c r="U928" s="633">
        <v>0</v>
      </c>
      <c r="V928" s="633">
        <v>0</v>
      </c>
      <c r="W928" s="633">
        <v>0</v>
      </c>
      <c r="X928" s="633" t="s">
        <v>2814</v>
      </c>
      <c r="Y928" s="633" t="s">
        <v>2731</v>
      </c>
      <c r="Z928" s="296">
        <f t="shared" si="106"/>
        <v>1.4999999999999999E-2</v>
      </c>
      <c r="AA928" s="633" t="s">
        <v>2749</v>
      </c>
      <c r="AB928" s="1" t="s">
        <v>2731</v>
      </c>
      <c r="AC928" s="736"/>
      <c r="AD928" s="1" t="s">
        <v>2812</v>
      </c>
      <c r="AE928" s="1"/>
      <c r="AF928" s="1" t="s">
        <v>2731</v>
      </c>
      <c r="AG928" s="1"/>
      <c r="AH928" s="1"/>
      <c r="AI928" s="1" t="s">
        <v>158</v>
      </c>
      <c r="AJ928" s="1091"/>
      <c r="AK928" s="1" t="s">
        <v>612</v>
      </c>
      <c r="AL928" s="736">
        <f t="shared" si="107"/>
        <v>81000</v>
      </c>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c r="BP928" s="1"/>
      <c r="BQ928" s="1"/>
      <c r="BR928" s="1"/>
      <c r="BS928" s="1"/>
      <c r="BT928" s="1"/>
      <c r="BU928" s="1"/>
      <c r="BV928" s="1"/>
      <c r="BW928" s="1"/>
      <c r="BX928" s="1"/>
      <c r="BY928" s="1"/>
      <c r="BZ928" s="1"/>
      <c r="CA928" s="1"/>
      <c r="CB928" s="1"/>
      <c r="CC928" s="1"/>
      <c r="CD928" s="1"/>
      <c r="CE928" s="1"/>
      <c r="CF928" s="1"/>
      <c r="CG928" s="1"/>
      <c r="CH928" s="1"/>
      <c r="CI928" s="1"/>
      <c r="CJ928" s="1"/>
      <c r="CK928" s="1"/>
      <c r="CL928" s="1"/>
    </row>
    <row r="929" spans="1:90" s="1061" customFormat="1" ht="15" customHeight="1">
      <c r="A929" s="417">
        <v>53</v>
      </c>
      <c r="B929" s="417" t="s">
        <v>207</v>
      </c>
      <c r="C929" s="2" t="s">
        <v>202</v>
      </c>
      <c r="D929" s="2" t="s">
        <v>2815</v>
      </c>
      <c r="E929" s="3">
        <v>0</v>
      </c>
      <c r="F929" s="4" t="s">
        <v>2749</v>
      </c>
      <c r="G929" s="4" t="e">
        <f t="shared" si="102"/>
        <v>#N/A</v>
      </c>
      <c r="H929" s="4" t="e">
        <f t="shared" si="103"/>
        <v>#N/A</v>
      </c>
      <c r="I929" s="4">
        <f>+IF(운용리스_단일!$AS$40=20000,40%,37%)</f>
        <v>0.4</v>
      </c>
      <c r="J929" s="4">
        <f>IF(운용리스_단일!$AS$40=20000,33%,30%)</f>
        <v>0.33</v>
      </c>
      <c r="K929" s="4" t="e">
        <f t="shared" si="104"/>
        <v>#N/A</v>
      </c>
      <c r="L929" s="441">
        <f>+IF(AND(계산_운용리스_단일!$C$4="전기",계산_운용리스_단일!$D$4="국산",계산_운용리스_단일!$C$17=20000),5%,3%)</f>
        <v>0.03</v>
      </c>
      <c r="M929" s="2"/>
      <c r="N929" s="443">
        <v>0.05</v>
      </c>
      <c r="O929" s="296">
        <v>6.0000000000000001E-3</v>
      </c>
      <c r="P929" s="296">
        <v>0.02</v>
      </c>
      <c r="Q929" s="444"/>
      <c r="R929" s="633" t="str">
        <f>IF(OR(S929="서산",S929="광주",S929="화성"),"선보","유림로지스")</f>
        <v>유림로지스</v>
      </c>
      <c r="S929" s="633" t="s">
        <v>2746</v>
      </c>
      <c r="T929" s="633" t="s">
        <v>596</v>
      </c>
      <c r="U929" s="633">
        <v>0</v>
      </c>
      <c r="V929" s="633">
        <v>0</v>
      </c>
      <c r="W929" s="633">
        <v>0</v>
      </c>
      <c r="X929" s="633" t="s">
        <v>2816</v>
      </c>
      <c r="Y929" s="633" t="s">
        <v>2731</v>
      </c>
      <c r="Z929" s="296">
        <f t="shared" si="106"/>
        <v>1.4999999999999999E-2</v>
      </c>
      <c r="AA929" s="633" t="s">
        <v>2749</v>
      </c>
      <c r="AB929" s="1" t="s">
        <v>2731</v>
      </c>
      <c r="AC929" s="736"/>
      <c r="AD929" s="1" t="s">
        <v>2812</v>
      </c>
      <c r="AE929" s="1"/>
      <c r="AF929" s="1" t="s">
        <v>2731</v>
      </c>
      <c r="AG929" s="1"/>
      <c r="AH929" s="1"/>
      <c r="AI929" s="1" t="s">
        <v>158</v>
      </c>
      <c r="AJ929" s="1091"/>
      <c r="AK929" s="1" t="s">
        <v>612</v>
      </c>
      <c r="AL929" s="736">
        <f t="shared" si="107"/>
        <v>81000</v>
      </c>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c r="BP929" s="1"/>
      <c r="BQ929" s="1"/>
      <c r="BR929" s="1"/>
      <c r="BS929" s="1"/>
      <c r="BT929" s="1"/>
      <c r="BU929" s="1"/>
      <c r="BV929" s="1"/>
      <c r="BW929" s="1"/>
      <c r="BX929" s="1"/>
      <c r="BY929" s="1"/>
      <c r="BZ929" s="1"/>
      <c r="CA929" s="1"/>
      <c r="CB929" s="1"/>
      <c r="CC929" s="1"/>
      <c r="CD929" s="1"/>
      <c r="CE929" s="1"/>
      <c r="CF929" s="1"/>
      <c r="CG929" s="1"/>
      <c r="CH929" s="1"/>
      <c r="CI929" s="1"/>
      <c r="CJ929" s="1"/>
      <c r="CK929" s="1"/>
      <c r="CL929" s="1"/>
    </row>
    <row r="930" spans="1:90" s="1061" customFormat="1" ht="15" customHeight="1">
      <c r="A930" s="417">
        <v>54</v>
      </c>
      <c r="B930" s="417" t="s">
        <v>207</v>
      </c>
      <c r="C930" s="2" t="s">
        <v>202</v>
      </c>
      <c r="D930" s="2" t="s">
        <v>2817</v>
      </c>
      <c r="E930" s="3">
        <v>0</v>
      </c>
      <c r="F930" s="4" t="s">
        <v>2749</v>
      </c>
      <c r="G930" s="4" t="e">
        <f t="shared" si="102"/>
        <v>#N/A</v>
      </c>
      <c r="H930" s="4" t="e">
        <f t="shared" si="103"/>
        <v>#N/A</v>
      </c>
      <c r="I930" s="4">
        <f>+IF(운용리스_단일!$AS$40=20000,40%,37%)</f>
        <v>0.4</v>
      </c>
      <c r="J930" s="4">
        <f>IF(운용리스_단일!$AS$40=20000,33%,30%)</f>
        <v>0.33</v>
      </c>
      <c r="K930" s="4" t="e">
        <f t="shared" si="104"/>
        <v>#N/A</v>
      </c>
      <c r="L930" s="441">
        <f>+IF(AND(계산_운용리스_단일!$C$4="전기",계산_운용리스_단일!$D$4="국산",계산_운용리스_단일!$C$17=20000),5%,3%)</f>
        <v>0.03</v>
      </c>
      <c r="M930" s="2"/>
      <c r="N930" s="443">
        <v>0.05</v>
      </c>
      <c r="O930" s="296">
        <v>6.0000000000000001E-3</v>
      </c>
      <c r="P930" s="296">
        <v>0.02</v>
      </c>
      <c r="Q930" s="444"/>
      <c r="R930" s="633" t="str">
        <f>IF(OR(S930="서산",S930="광주",S930="화성"),"선보","유림로지스")</f>
        <v>유림로지스</v>
      </c>
      <c r="S930" s="633" t="s">
        <v>2746</v>
      </c>
      <c r="T930" s="633" t="s">
        <v>596</v>
      </c>
      <c r="U930" s="633">
        <v>0</v>
      </c>
      <c r="V930" s="633">
        <v>0</v>
      </c>
      <c r="W930" s="633">
        <v>0</v>
      </c>
      <c r="X930" s="633" t="s">
        <v>2818</v>
      </c>
      <c r="Y930" s="633" t="s">
        <v>2731</v>
      </c>
      <c r="Z930" s="296">
        <f t="shared" si="106"/>
        <v>1.4999999999999999E-2</v>
      </c>
      <c r="AA930" s="633" t="s">
        <v>2749</v>
      </c>
      <c r="AB930" s="1" t="s">
        <v>2731</v>
      </c>
      <c r="AC930" s="736"/>
      <c r="AD930" s="1" t="s">
        <v>2812</v>
      </c>
      <c r="AE930" s="1"/>
      <c r="AF930" s="1" t="s">
        <v>2731</v>
      </c>
      <c r="AG930" s="1"/>
      <c r="AH930" s="1"/>
      <c r="AI930" s="1" t="s">
        <v>158</v>
      </c>
      <c r="AJ930" s="1091"/>
      <c r="AK930" s="1" t="s">
        <v>612</v>
      </c>
      <c r="AL930" s="736">
        <f t="shared" si="107"/>
        <v>81000</v>
      </c>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c r="BP930" s="1"/>
      <c r="BQ930" s="1"/>
      <c r="BR930" s="1"/>
      <c r="BS930" s="1"/>
      <c r="BT930" s="1"/>
      <c r="BU930" s="1"/>
      <c r="BV930" s="1"/>
      <c r="BW930" s="1"/>
      <c r="BX930" s="1"/>
      <c r="BY930" s="1"/>
      <c r="BZ930" s="1"/>
      <c r="CA930" s="1"/>
      <c r="CB930" s="1"/>
      <c r="CC930" s="1"/>
      <c r="CD930" s="1"/>
      <c r="CE930" s="1"/>
      <c r="CF930" s="1"/>
      <c r="CG930" s="1"/>
      <c r="CH930" s="1"/>
      <c r="CI930" s="1"/>
      <c r="CJ930" s="1"/>
      <c r="CK930" s="1"/>
      <c r="CL930" s="1"/>
    </row>
    <row r="931" spans="1:90" ht="15" customHeight="1">
      <c r="A931" s="417">
        <v>55</v>
      </c>
      <c r="B931" s="417" t="s">
        <v>207</v>
      </c>
      <c r="C931" s="2" t="s">
        <v>202</v>
      </c>
      <c r="D931" s="2" t="s">
        <v>2819</v>
      </c>
      <c r="E931" s="3">
        <v>0</v>
      </c>
      <c r="F931" s="4" t="s">
        <v>2749</v>
      </c>
      <c r="G931" s="4" t="e">
        <f t="shared" si="102"/>
        <v>#N/A</v>
      </c>
      <c r="H931" s="4" t="e">
        <f t="shared" si="103"/>
        <v>#N/A</v>
      </c>
      <c r="I931" s="4">
        <v>0</v>
      </c>
      <c r="J931" s="4">
        <v>0</v>
      </c>
      <c r="K931" s="4" t="e">
        <f t="shared" si="104"/>
        <v>#N/A</v>
      </c>
      <c r="L931" s="441">
        <f>+IF(AND(계산_운용리스_단일!$C$4="전기",계산_운용리스_단일!$D$4="국산",계산_운용리스_단일!$C$17=20000),5%,3%)</f>
        <v>0.03</v>
      </c>
      <c r="M931" s="2"/>
      <c r="N931" s="443">
        <v>0.05</v>
      </c>
      <c r="O931" s="296">
        <v>6.0000000000000001E-3</v>
      </c>
      <c r="P931" s="296">
        <v>0</v>
      </c>
      <c r="Q931" s="444"/>
      <c r="R931" s="633" t="str">
        <f>IF(OR(S931="서산",S931="광주",S931="화성"),"선보","유림로지스")</f>
        <v>유림로지스</v>
      </c>
      <c r="S931" s="633" t="s">
        <v>2746</v>
      </c>
      <c r="T931" s="633" t="s">
        <v>476</v>
      </c>
      <c r="U931" s="633">
        <v>0</v>
      </c>
      <c r="V931" s="633">
        <v>0</v>
      </c>
      <c r="W931" s="633">
        <v>0</v>
      </c>
      <c r="X931" s="633" t="s">
        <v>2779</v>
      </c>
      <c r="Y931" s="633" t="s">
        <v>2731</v>
      </c>
      <c r="Z931" s="296">
        <f t="shared" si="106"/>
        <v>0.02</v>
      </c>
      <c r="AA931" s="633" t="s">
        <v>2749</v>
      </c>
      <c r="AB931" s="1" t="s">
        <v>2731</v>
      </c>
      <c r="AC931" s="736"/>
      <c r="AD931" s="1" t="s">
        <v>2797</v>
      </c>
      <c r="AF931" s="1" t="s">
        <v>2731</v>
      </c>
      <c r="AI931" s="1" t="s">
        <v>158</v>
      </c>
      <c r="AJ931" s="1091"/>
      <c r="AK931" s="1" t="s">
        <v>2959</v>
      </c>
      <c r="AL931" s="736">
        <f t="shared" si="107"/>
        <v>80000</v>
      </c>
    </row>
    <row r="932" spans="1:90" ht="15" customHeight="1">
      <c r="A932" s="417">
        <v>56</v>
      </c>
      <c r="B932" s="417" t="s">
        <v>207</v>
      </c>
      <c r="C932" s="2" t="s">
        <v>202</v>
      </c>
      <c r="D932" s="2" t="s">
        <v>2820</v>
      </c>
      <c r="E932" s="3">
        <v>1598</v>
      </c>
      <c r="F932" s="4" t="s">
        <v>2796</v>
      </c>
      <c r="G932" s="4">
        <f t="shared" si="102"/>
        <v>0.67</v>
      </c>
      <c r="H932" s="4">
        <f t="shared" si="103"/>
        <v>0.59</v>
      </c>
      <c r="I932" s="4">
        <f t="shared" ref="I932:I955" si="108">+INDEX($BD$4:$CK$8,MATCH($I$3,$BC$4:$BC$8,0),MATCH(M932,$BD$3:$CK$3,0))</f>
        <v>0.5</v>
      </c>
      <c r="J932" s="4">
        <f t="shared" ref="J932:J955" si="109">+INDEX($BD$4:$CK$8,MATCH($J$3,$BC$4:$BC$8,0),MATCH(M932,$BD$3:$CK$3,0))</f>
        <v>0.42</v>
      </c>
      <c r="K932" s="4">
        <f t="shared" si="104"/>
        <v>0.36</v>
      </c>
      <c r="L932" s="441">
        <v>0.05</v>
      </c>
      <c r="M932" s="2" t="s">
        <v>326</v>
      </c>
      <c r="N932" s="443">
        <v>0.05</v>
      </c>
      <c r="O932" s="296">
        <v>6.0000000000000001E-3</v>
      </c>
      <c r="P932" s="296">
        <v>0</v>
      </c>
      <c r="Q932" s="444"/>
      <c r="R932" s="633" t="str">
        <f t="shared" si="86"/>
        <v>유림로지스</v>
      </c>
      <c r="S932" s="633" t="s">
        <v>2746</v>
      </c>
      <c r="T932" s="633" t="str">
        <f t="shared" ref="T932:T964" si="110">+IF(LEFT(D932,1)="G","Y","N")</f>
        <v>N</v>
      </c>
      <c r="U932" s="633">
        <v>0</v>
      </c>
      <c r="V932" s="633">
        <v>0</v>
      </c>
      <c r="W932" s="633">
        <v>0</v>
      </c>
      <c r="X932" s="633" t="s">
        <v>2747</v>
      </c>
      <c r="Y932" s="633" t="s">
        <v>2731</v>
      </c>
      <c r="Z932" s="296">
        <f t="shared" si="106"/>
        <v>2.5000000000000001E-2</v>
      </c>
      <c r="AA932" s="633" t="s">
        <v>2737</v>
      </c>
      <c r="AB932" s="1" t="s">
        <v>2731</v>
      </c>
      <c r="AC932" s="736"/>
      <c r="AD932" s="1" t="s">
        <v>2821</v>
      </c>
      <c r="AF932" s="1" t="s">
        <v>2731</v>
      </c>
      <c r="AI932" s="1" t="s">
        <v>3083</v>
      </c>
      <c r="AJ932" s="1091"/>
      <c r="AK932" s="1" t="s">
        <v>2949</v>
      </c>
      <c r="AL932" s="736">
        <f t="shared" si="107"/>
        <v>75000</v>
      </c>
    </row>
    <row r="933" spans="1:90" s="1061" customFormat="1" ht="15" customHeight="1">
      <c r="A933" s="417">
        <v>57</v>
      </c>
      <c r="B933" s="417" t="s">
        <v>207</v>
      </c>
      <c r="C933" s="2" t="s">
        <v>202</v>
      </c>
      <c r="D933" s="2" t="s">
        <v>2822</v>
      </c>
      <c r="E933" s="3">
        <v>1598</v>
      </c>
      <c r="F933" s="4" t="s">
        <v>2796</v>
      </c>
      <c r="G933" s="4">
        <f t="shared" si="102"/>
        <v>0.7</v>
      </c>
      <c r="H933" s="4">
        <f t="shared" si="103"/>
        <v>0.62</v>
      </c>
      <c r="I933" s="4">
        <f t="shared" si="108"/>
        <v>0.53</v>
      </c>
      <c r="J933" s="4">
        <f t="shared" si="109"/>
        <v>0.45</v>
      </c>
      <c r="K933" s="4">
        <f t="shared" si="104"/>
        <v>0.39</v>
      </c>
      <c r="L933" s="441">
        <v>0.05</v>
      </c>
      <c r="M933" s="2" t="s">
        <v>324</v>
      </c>
      <c r="N933" s="443">
        <v>0.05</v>
      </c>
      <c r="O933" s="296">
        <v>6.0000000000000001E-3</v>
      </c>
      <c r="P933" s="296">
        <v>2.5000000000000001E-2</v>
      </c>
      <c r="Q933" s="444"/>
      <c r="R933" s="633" t="str">
        <f t="shared" si="86"/>
        <v>유림로지스</v>
      </c>
      <c r="S933" s="633" t="s">
        <v>2746</v>
      </c>
      <c r="T933" s="633" t="str">
        <f t="shared" si="110"/>
        <v>N</v>
      </c>
      <c r="U933" s="633">
        <v>0</v>
      </c>
      <c r="V933" s="633">
        <v>0</v>
      </c>
      <c r="W933" s="633">
        <v>0</v>
      </c>
      <c r="X933" s="633" t="s">
        <v>2747</v>
      </c>
      <c r="Y933" s="633" t="s">
        <v>2731</v>
      </c>
      <c r="Z933" s="296">
        <f t="shared" si="106"/>
        <v>2.5000000000000001E-2</v>
      </c>
      <c r="AA933" s="633" t="s">
        <v>2737</v>
      </c>
      <c r="AB933" s="1" t="s">
        <v>2731</v>
      </c>
      <c r="AC933" s="736"/>
      <c r="AD933" s="1" t="s">
        <v>2823</v>
      </c>
      <c r="AE933" s="1"/>
      <c r="AF933" s="1" t="s">
        <v>2731</v>
      </c>
      <c r="AG933" s="1"/>
      <c r="AH933" s="1"/>
      <c r="AI933" s="1" t="s">
        <v>3081</v>
      </c>
      <c r="AJ933" s="1091"/>
      <c r="AK933" s="1" t="s">
        <v>612</v>
      </c>
      <c r="AL933" s="736">
        <f t="shared" si="107"/>
        <v>77000</v>
      </c>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c r="BP933" s="1"/>
      <c r="BQ933" s="1"/>
      <c r="BR933" s="1"/>
      <c r="BS933" s="1"/>
      <c r="BT933" s="1"/>
      <c r="BU933" s="1"/>
      <c r="BV933" s="1"/>
      <c r="BW933" s="1"/>
      <c r="BX933" s="1"/>
      <c r="BY933" s="1"/>
      <c r="BZ933" s="1"/>
      <c r="CA933" s="1"/>
      <c r="CB933" s="1"/>
      <c r="CC933" s="1"/>
      <c r="CD933" s="1"/>
      <c r="CE933" s="1"/>
      <c r="CF933" s="1"/>
      <c r="CG933" s="1"/>
      <c r="CH933" s="1"/>
      <c r="CI933" s="1"/>
      <c r="CJ933" s="1"/>
      <c r="CK933" s="1"/>
      <c r="CL933" s="1"/>
    </row>
    <row r="934" spans="1:90" s="1061" customFormat="1" ht="15" customHeight="1">
      <c r="A934" s="417">
        <v>58</v>
      </c>
      <c r="B934" s="417" t="s">
        <v>207</v>
      </c>
      <c r="C934" s="2" t="s">
        <v>202</v>
      </c>
      <c r="D934" s="2" t="s">
        <v>2824</v>
      </c>
      <c r="E934" s="3">
        <v>1598</v>
      </c>
      <c r="F934" s="4" t="s">
        <v>2796</v>
      </c>
      <c r="G934" s="4">
        <f t="shared" si="102"/>
        <v>0.7</v>
      </c>
      <c r="H934" s="4">
        <f t="shared" si="103"/>
        <v>0.62</v>
      </c>
      <c r="I934" s="4">
        <f t="shared" si="108"/>
        <v>0.53</v>
      </c>
      <c r="J934" s="4">
        <f t="shared" si="109"/>
        <v>0.45</v>
      </c>
      <c r="K934" s="4">
        <f t="shared" si="104"/>
        <v>0.39</v>
      </c>
      <c r="L934" s="441">
        <v>0.05</v>
      </c>
      <c r="M934" s="2" t="s">
        <v>324</v>
      </c>
      <c r="N934" s="443">
        <v>0.05</v>
      </c>
      <c r="O934" s="296">
        <v>6.0000000000000001E-3</v>
      </c>
      <c r="P934" s="296">
        <v>2.5000000000000001E-2</v>
      </c>
      <c r="Q934" s="444"/>
      <c r="R934" s="633" t="str">
        <f t="shared" si="86"/>
        <v>유림로지스</v>
      </c>
      <c r="S934" s="633" t="s">
        <v>2746</v>
      </c>
      <c r="T934" s="633" t="str">
        <f t="shared" si="110"/>
        <v>N</v>
      </c>
      <c r="U934" s="633">
        <v>0</v>
      </c>
      <c r="V934" s="633">
        <v>0</v>
      </c>
      <c r="W934" s="633">
        <v>0</v>
      </c>
      <c r="X934" s="633" t="s">
        <v>2747</v>
      </c>
      <c r="Y934" s="633" t="s">
        <v>2731</v>
      </c>
      <c r="Z934" s="296">
        <f t="shared" si="106"/>
        <v>2.5000000000000001E-2</v>
      </c>
      <c r="AA934" s="633" t="s">
        <v>2737</v>
      </c>
      <c r="AB934" s="1" t="s">
        <v>2731</v>
      </c>
      <c r="AC934" s="736"/>
      <c r="AD934" s="1" t="s">
        <v>2823</v>
      </c>
      <c r="AE934" s="1"/>
      <c r="AF934" s="1" t="s">
        <v>2731</v>
      </c>
      <c r="AG934" s="1"/>
      <c r="AH934" s="1"/>
      <c r="AI934" s="1" t="s">
        <v>3081</v>
      </c>
      <c r="AJ934" s="1091"/>
      <c r="AK934" s="1" t="s">
        <v>612</v>
      </c>
      <c r="AL934" s="736">
        <f t="shared" si="107"/>
        <v>77000</v>
      </c>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c r="BP934" s="1"/>
      <c r="BQ934" s="1"/>
      <c r="BR934" s="1"/>
      <c r="BS934" s="1"/>
      <c r="BT934" s="1"/>
      <c r="BU934" s="1"/>
      <c r="BV934" s="1"/>
      <c r="BW934" s="1"/>
      <c r="BX934" s="1"/>
      <c r="BY934" s="1"/>
      <c r="BZ934" s="1"/>
      <c r="CA934" s="1"/>
      <c r="CB934" s="1"/>
      <c r="CC934" s="1"/>
      <c r="CD934" s="1"/>
      <c r="CE934" s="1"/>
      <c r="CF934" s="1"/>
      <c r="CG934" s="1"/>
      <c r="CH934" s="1"/>
      <c r="CI934" s="1"/>
      <c r="CJ934" s="1"/>
      <c r="CK934" s="1"/>
      <c r="CL934" s="1"/>
    </row>
    <row r="935" spans="1:90" ht="15" customHeight="1">
      <c r="A935" s="417">
        <v>59</v>
      </c>
      <c r="B935" s="417" t="s">
        <v>207</v>
      </c>
      <c r="C935" s="2" t="s">
        <v>202</v>
      </c>
      <c r="D935" s="2" t="s">
        <v>2825</v>
      </c>
      <c r="E935" s="3">
        <v>1580</v>
      </c>
      <c r="F935" s="4" t="s">
        <v>2826</v>
      </c>
      <c r="G935" s="4">
        <f t="shared" si="102"/>
        <v>0.68</v>
      </c>
      <c r="H935" s="4">
        <f t="shared" si="103"/>
        <v>0.6</v>
      </c>
      <c r="I935" s="4">
        <f t="shared" si="108"/>
        <v>0.51</v>
      </c>
      <c r="J935" s="4">
        <f t="shared" si="109"/>
        <v>0.43</v>
      </c>
      <c r="K935" s="4">
        <f t="shared" si="104"/>
        <v>0.37</v>
      </c>
      <c r="L935" s="441">
        <v>0.05</v>
      </c>
      <c r="M935" s="2" t="s">
        <v>325</v>
      </c>
      <c r="N935" s="443">
        <v>0.05</v>
      </c>
      <c r="O935" s="296">
        <v>6.0000000000000001E-3</v>
      </c>
      <c r="P935" s="296">
        <v>2.5000000000000001E-2</v>
      </c>
      <c r="Q935" s="444"/>
      <c r="R935" s="633" t="str">
        <f t="shared" si="86"/>
        <v>유림로지스</v>
      </c>
      <c r="S935" s="633" t="s">
        <v>2746</v>
      </c>
      <c r="T935" s="633" t="str">
        <f t="shared" si="110"/>
        <v>N</v>
      </c>
      <c r="U935" s="633">
        <v>0</v>
      </c>
      <c r="V935" s="633">
        <v>0</v>
      </c>
      <c r="W935" s="633">
        <v>0</v>
      </c>
      <c r="X935" s="633" t="s">
        <v>2747</v>
      </c>
      <c r="Y935" s="633" t="s">
        <v>2731</v>
      </c>
      <c r="Z935" s="296">
        <f t="shared" si="106"/>
        <v>2.5000000000000001E-2</v>
      </c>
      <c r="AA935" s="633" t="s">
        <v>2768</v>
      </c>
      <c r="AB935" s="1" t="s">
        <v>2731</v>
      </c>
      <c r="AC935" s="736"/>
      <c r="AD935" s="1" t="s">
        <v>2823</v>
      </c>
      <c r="AF935" s="1" t="s">
        <v>2731</v>
      </c>
      <c r="AI935" s="1" t="s">
        <v>3084</v>
      </c>
      <c r="AJ935" s="1091"/>
      <c r="AK935" s="1" t="s">
        <v>2949</v>
      </c>
      <c r="AL935" s="736">
        <f t="shared" si="107"/>
        <v>77000</v>
      </c>
    </row>
    <row r="936" spans="1:90" ht="15" customHeight="1">
      <c r="A936" s="417">
        <v>60</v>
      </c>
      <c r="B936" s="417" t="s">
        <v>207</v>
      </c>
      <c r="C936" s="2" t="s">
        <v>202</v>
      </c>
      <c r="D936" s="2" t="s">
        <v>2827</v>
      </c>
      <c r="E936" s="3">
        <v>1999</v>
      </c>
      <c r="F936" s="4" t="s">
        <v>2796</v>
      </c>
      <c r="G936" s="4">
        <f t="shared" si="102"/>
        <v>0.7</v>
      </c>
      <c r="H936" s="4">
        <f t="shared" si="103"/>
        <v>0.62</v>
      </c>
      <c r="I936" s="4">
        <f t="shared" si="108"/>
        <v>0.53</v>
      </c>
      <c r="J936" s="4">
        <f t="shared" si="109"/>
        <v>0.45</v>
      </c>
      <c r="K936" s="4">
        <f t="shared" si="104"/>
        <v>0.39</v>
      </c>
      <c r="L936" s="441">
        <v>0.05</v>
      </c>
      <c r="M936" s="2" t="s">
        <v>324</v>
      </c>
      <c r="N936" s="443">
        <v>0.05</v>
      </c>
      <c r="O936" s="296">
        <v>6.0000000000000001E-3</v>
      </c>
      <c r="P936" s="296">
        <v>2.5000000000000001E-2</v>
      </c>
      <c r="Q936" s="444"/>
      <c r="R936" s="633" t="str">
        <f t="shared" si="86"/>
        <v>유림로지스</v>
      </c>
      <c r="S936" s="633" t="s">
        <v>2746</v>
      </c>
      <c r="T936" s="633" t="str">
        <f t="shared" si="110"/>
        <v>N</v>
      </c>
      <c r="U936" s="633">
        <v>0</v>
      </c>
      <c r="V936" s="633">
        <v>0</v>
      </c>
      <c r="W936" s="633">
        <v>0</v>
      </c>
      <c r="X936" s="633" t="s">
        <v>2747</v>
      </c>
      <c r="Y936" s="633" t="s">
        <v>2731</v>
      </c>
      <c r="Z936" s="296">
        <f t="shared" si="106"/>
        <v>2.5000000000000001E-2</v>
      </c>
      <c r="AA936" s="633" t="s">
        <v>2737</v>
      </c>
      <c r="AB936" s="1" t="s">
        <v>2731</v>
      </c>
      <c r="AC936" s="736"/>
      <c r="AD936" s="1" t="s">
        <v>2823</v>
      </c>
      <c r="AF936" s="1" t="s">
        <v>2731</v>
      </c>
      <c r="AI936" s="1" t="s">
        <v>3091</v>
      </c>
      <c r="AJ936" s="1091"/>
      <c r="AK936" s="1" t="s">
        <v>2742</v>
      </c>
      <c r="AL936" s="736">
        <f t="shared" si="107"/>
        <v>77000</v>
      </c>
    </row>
    <row r="937" spans="1:90" ht="15" customHeight="1">
      <c r="A937" s="417">
        <v>61</v>
      </c>
      <c r="B937" s="417" t="s">
        <v>207</v>
      </c>
      <c r="C937" s="2" t="s">
        <v>202</v>
      </c>
      <c r="D937" s="2" t="s">
        <v>2828</v>
      </c>
      <c r="E937" s="3">
        <v>0</v>
      </c>
      <c r="F937" s="4" t="s">
        <v>2749</v>
      </c>
      <c r="G937" s="4" t="e">
        <f t="shared" si="102"/>
        <v>#N/A</v>
      </c>
      <c r="H937" s="4" t="e">
        <f t="shared" si="103"/>
        <v>#N/A</v>
      </c>
      <c r="I937" s="4" t="e">
        <f t="shared" si="108"/>
        <v>#N/A</v>
      </c>
      <c r="J937" s="4" t="e">
        <f t="shared" si="109"/>
        <v>#N/A</v>
      </c>
      <c r="K937" s="4" t="e">
        <f t="shared" si="104"/>
        <v>#N/A</v>
      </c>
      <c r="L937" s="441">
        <v>0</v>
      </c>
      <c r="M937" s="2"/>
      <c r="N937" s="443">
        <v>0.05</v>
      </c>
      <c r="O937" s="296">
        <v>6.0000000000000001E-3</v>
      </c>
      <c r="P937" s="296">
        <v>0</v>
      </c>
      <c r="Q937" s="444"/>
      <c r="R937" s="633" t="str">
        <f t="shared" si="86"/>
        <v>유림로지스</v>
      </c>
      <c r="S937" s="633" t="s">
        <v>2746</v>
      </c>
      <c r="T937" s="633" t="str">
        <f t="shared" si="110"/>
        <v>N</v>
      </c>
      <c r="U937" s="633">
        <v>0</v>
      </c>
      <c r="V937" s="633">
        <v>0</v>
      </c>
      <c r="W937" s="633">
        <v>0</v>
      </c>
      <c r="X937" s="633" t="s">
        <v>2747</v>
      </c>
      <c r="Y937" s="633" t="s">
        <v>2731</v>
      </c>
      <c r="Z937" s="296">
        <f t="shared" si="106"/>
        <v>2.5000000000000001E-2</v>
      </c>
      <c r="AA937" s="633" t="s">
        <v>2749</v>
      </c>
      <c r="AB937" s="1" t="s">
        <v>2731</v>
      </c>
      <c r="AC937" s="736"/>
      <c r="AD937" s="1" t="s">
        <v>2823</v>
      </c>
      <c r="AF937" s="1" t="s">
        <v>2731</v>
      </c>
      <c r="AI937" s="1" t="s">
        <v>158</v>
      </c>
      <c r="AJ937" s="1091"/>
      <c r="AK937" s="1" t="s">
        <v>612</v>
      </c>
      <c r="AL937" s="736">
        <f t="shared" si="107"/>
        <v>77000</v>
      </c>
    </row>
    <row r="938" spans="1:90" ht="15" customHeight="1">
      <c r="A938" s="417">
        <v>62</v>
      </c>
      <c r="B938" s="417" t="s">
        <v>207</v>
      </c>
      <c r="C938" s="2" t="s">
        <v>202</v>
      </c>
      <c r="D938" s="2" t="s">
        <v>2829</v>
      </c>
      <c r="E938" s="3">
        <v>0</v>
      </c>
      <c r="F938" s="4" t="s">
        <v>2749</v>
      </c>
      <c r="G938" s="4" t="e">
        <f t="shared" si="102"/>
        <v>#N/A</v>
      </c>
      <c r="H938" s="4" t="e">
        <f t="shared" si="103"/>
        <v>#N/A</v>
      </c>
      <c r="I938" s="4" t="e">
        <f t="shared" si="108"/>
        <v>#N/A</v>
      </c>
      <c r="J938" s="4" t="e">
        <f t="shared" si="109"/>
        <v>#N/A</v>
      </c>
      <c r="K938" s="4" t="e">
        <f t="shared" si="104"/>
        <v>#N/A</v>
      </c>
      <c r="L938" s="441">
        <v>0</v>
      </c>
      <c r="M938" s="2"/>
      <c r="N938" s="443">
        <v>0.05</v>
      </c>
      <c r="O938" s="296">
        <v>6.0000000000000001E-3</v>
      </c>
      <c r="P938" s="296">
        <v>0</v>
      </c>
      <c r="Q938" s="444"/>
      <c r="R938" s="633" t="str">
        <f t="shared" si="86"/>
        <v>유림로지스</v>
      </c>
      <c r="S938" s="633" t="s">
        <v>2746</v>
      </c>
      <c r="T938" s="633" t="str">
        <f t="shared" si="110"/>
        <v>N</v>
      </c>
      <c r="U938" s="633">
        <v>0</v>
      </c>
      <c r="V938" s="633">
        <v>0</v>
      </c>
      <c r="W938" s="633">
        <v>0</v>
      </c>
      <c r="X938" s="633" t="s">
        <v>2747</v>
      </c>
      <c r="Y938" s="633" t="s">
        <v>2731</v>
      </c>
      <c r="Z938" s="296">
        <f t="shared" si="106"/>
        <v>0.02</v>
      </c>
      <c r="AA938" s="633" t="s">
        <v>2749</v>
      </c>
      <c r="AB938" s="1" t="s">
        <v>2731</v>
      </c>
      <c r="AC938" s="736"/>
      <c r="AD938" s="1" t="s">
        <v>2830</v>
      </c>
      <c r="AF938" s="1" t="s">
        <v>2731</v>
      </c>
      <c r="AI938" s="1" t="s">
        <v>3250</v>
      </c>
      <c r="AJ938" s="1091"/>
      <c r="AK938" s="1" t="s">
        <v>2960</v>
      </c>
      <c r="AL938" s="736">
        <f t="shared" si="107"/>
        <v>80000</v>
      </c>
    </row>
    <row r="939" spans="1:90" ht="15" customHeight="1">
      <c r="A939" s="417">
        <v>63</v>
      </c>
      <c r="B939" s="1123" t="s">
        <v>207</v>
      </c>
      <c r="C939" s="973" t="s">
        <v>202</v>
      </c>
      <c r="D939" s="973" t="s">
        <v>2831</v>
      </c>
      <c r="E939" s="974">
        <v>1598</v>
      </c>
      <c r="F939" s="975" t="s">
        <v>2796</v>
      </c>
      <c r="G939" s="975">
        <f t="shared" si="102"/>
        <v>0.73</v>
      </c>
      <c r="H939" s="975">
        <f t="shared" si="103"/>
        <v>0.65</v>
      </c>
      <c r="I939" s="975">
        <f t="shared" si="108"/>
        <v>0.56000000000000005</v>
      </c>
      <c r="J939" s="975">
        <f t="shared" si="109"/>
        <v>0.48</v>
      </c>
      <c r="K939" s="975">
        <f t="shared" si="104"/>
        <v>0.42</v>
      </c>
      <c r="L939" s="1076">
        <v>0.05</v>
      </c>
      <c r="M939" s="973" t="s">
        <v>321</v>
      </c>
      <c r="N939" s="1077">
        <v>0.05</v>
      </c>
      <c r="O939" s="1078">
        <v>6.0000000000000001E-3</v>
      </c>
      <c r="P939" s="1078">
        <v>2.5000000000000001E-2</v>
      </c>
      <c r="Q939" s="1079"/>
      <c r="R939" s="1080" t="str">
        <f t="shared" si="86"/>
        <v>유림로지스</v>
      </c>
      <c r="S939" s="1080" t="s">
        <v>2746</v>
      </c>
      <c r="T939" s="1080" t="str">
        <f t="shared" si="110"/>
        <v>N</v>
      </c>
      <c r="U939" s="1080">
        <v>0</v>
      </c>
      <c r="V939" s="1080">
        <v>0</v>
      </c>
      <c r="W939" s="1080">
        <v>0</v>
      </c>
      <c r="X939" s="1080" t="s">
        <v>2747</v>
      </c>
      <c r="Y939" s="1080" t="s">
        <v>2731</v>
      </c>
      <c r="Z939" s="1078">
        <f t="shared" si="106"/>
        <v>0.02</v>
      </c>
      <c r="AA939" s="1080" t="s">
        <v>2737</v>
      </c>
      <c r="AB939" s="1061" t="s">
        <v>2731</v>
      </c>
      <c r="AC939" s="1082"/>
      <c r="AD939" s="1061" t="s">
        <v>2832</v>
      </c>
      <c r="AE939" s="1061"/>
      <c r="AF939" s="1061" t="s">
        <v>2731</v>
      </c>
      <c r="AG939" s="1061"/>
      <c r="AH939" s="1061"/>
      <c r="AI939" s="1061" t="s">
        <v>3256</v>
      </c>
      <c r="AJ939" s="1061"/>
      <c r="AK939" s="1061" t="s">
        <v>587</v>
      </c>
      <c r="AL939" s="736">
        <f t="shared" si="107"/>
        <v>78000</v>
      </c>
      <c r="AM939" s="1061"/>
      <c r="AN939" s="1061"/>
      <c r="AO939" s="1061"/>
      <c r="AP939" s="1061"/>
      <c r="AQ939" s="1061"/>
      <c r="AR939" s="1061"/>
      <c r="AS939" s="1061"/>
      <c r="AT939" s="1061"/>
      <c r="AU939" s="1061"/>
      <c r="AV939" s="1061"/>
      <c r="AW939" s="1061"/>
      <c r="AX939" s="1061"/>
      <c r="AY939" s="1061"/>
      <c r="AZ939" s="1061"/>
      <c r="BA939" s="1061"/>
      <c r="BB939" s="1061"/>
      <c r="BC939" s="1061"/>
      <c r="BD939" s="1061"/>
      <c r="BE939" s="1061"/>
      <c r="BF939" s="1061"/>
      <c r="BG939" s="1061"/>
      <c r="BH939" s="1061"/>
      <c r="BI939" s="1061"/>
      <c r="BJ939" s="1061"/>
      <c r="BK939" s="1061"/>
      <c r="BL939" s="1061"/>
      <c r="BM939" s="1061"/>
      <c r="BN939" s="1061"/>
      <c r="BO939" s="1061"/>
      <c r="BP939" s="1061"/>
      <c r="BQ939" s="1061"/>
      <c r="BR939" s="1061"/>
      <c r="BS939" s="1061"/>
      <c r="BT939" s="1061"/>
      <c r="BU939" s="1061"/>
      <c r="BV939" s="1061"/>
      <c r="BW939" s="1061"/>
      <c r="BX939" s="1061"/>
      <c r="BY939" s="1061"/>
      <c r="BZ939" s="1061"/>
      <c r="CA939" s="1061"/>
      <c r="CB939" s="1061"/>
      <c r="CC939" s="1061"/>
      <c r="CD939" s="1061"/>
      <c r="CE939" s="1061"/>
      <c r="CF939" s="1061"/>
      <c r="CG939" s="1061"/>
      <c r="CH939" s="1061"/>
      <c r="CI939" s="1061"/>
      <c r="CJ939" s="1061"/>
      <c r="CK939" s="1061"/>
      <c r="CL939" s="1061"/>
    </row>
    <row r="940" spans="1:90" ht="15" customHeight="1">
      <c r="A940" s="417">
        <v>64</v>
      </c>
      <c r="B940" s="417" t="s">
        <v>207</v>
      </c>
      <c r="C940" s="2" t="s">
        <v>202</v>
      </c>
      <c r="D940" s="2" t="s">
        <v>2833</v>
      </c>
      <c r="E940" s="3">
        <v>1998</v>
      </c>
      <c r="F940" s="4" t="s">
        <v>2796</v>
      </c>
      <c r="G940" s="4">
        <f t="shared" si="102"/>
        <v>0.74</v>
      </c>
      <c r="H940" s="4">
        <f t="shared" si="103"/>
        <v>0.66</v>
      </c>
      <c r="I940" s="4">
        <f t="shared" si="108"/>
        <v>0.56999999999999995</v>
      </c>
      <c r="J940" s="4">
        <f t="shared" si="109"/>
        <v>0.49</v>
      </c>
      <c r="K940" s="4">
        <f t="shared" si="104"/>
        <v>0.43</v>
      </c>
      <c r="L940" s="441">
        <v>0.05</v>
      </c>
      <c r="M940" s="2" t="s">
        <v>320</v>
      </c>
      <c r="N940" s="443">
        <v>0.05</v>
      </c>
      <c r="O940" s="296">
        <v>6.0000000000000001E-3</v>
      </c>
      <c r="P940" s="296">
        <v>2.5000000000000001E-2</v>
      </c>
      <c r="Q940" s="444"/>
      <c r="R940" s="633" t="str">
        <f t="shared" si="86"/>
        <v>유림로지스</v>
      </c>
      <c r="S940" s="633" t="s">
        <v>2746</v>
      </c>
      <c r="T940" s="633" t="str">
        <f t="shared" si="110"/>
        <v>N</v>
      </c>
      <c r="U940" s="633">
        <v>0</v>
      </c>
      <c r="V940" s="633">
        <v>0</v>
      </c>
      <c r="W940" s="633">
        <v>0</v>
      </c>
      <c r="X940" s="633" t="s">
        <v>2747</v>
      </c>
      <c r="Y940" s="633" t="s">
        <v>2731</v>
      </c>
      <c r="Z940" s="296">
        <f t="shared" si="106"/>
        <v>0.02</v>
      </c>
      <c r="AA940" s="633" t="s">
        <v>2783</v>
      </c>
      <c r="AB940" s="1" t="s">
        <v>2731</v>
      </c>
      <c r="AC940" s="736"/>
      <c r="AD940" s="1" t="s">
        <v>2832</v>
      </c>
      <c r="AF940" s="1" t="s">
        <v>2731</v>
      </c>
      <c r="AI940" s="1" t="s">
        <v>3257</v>
      </c>
      <c r="AJ940" s="1091"/>
      <c r="AK940" s="1" t="s">
        <v>612</v>
      </c>
      <c r="AL940" s="736">
        <f t="shared" si="107"/>
        <v>78000</v>
      </c>
    </row>
    <row r="941" spans="1:90" ht="15" customHeight="1">
      <c r="A941" s="417">
        <v>65</v>
      </c>
      <c r="B941" s="1123" t="s">
        <v>207</v>
      </c>
      <c r="C941" s="973" t="s">
        <v>202</v>
      </c>
      <c r="D941" s="973" t="s">
        <v>2834</v>
      </c>
      <c r="E941" s="974">
        <v>1598</v>
      </c>
      <c r="F941" s="975" t="s">
        <v>2826</v>
      </c>
      <c r="G941" s="975">
        <f t="shared" ref="G941:G964" si="111">+INDEX($BD$4:$CK$8,MATCH($G$3,$BC$4:$BC$8,0),MATCH(M941,$BD$3:$CK$3,0))</f>
        <v>0.7</v>
      </c>
      <c r="H941" s="975">
        <f t="shared" ref="H941:H964" si="112">+INDEX($BD$4:$CK$8,MATCH($H$3,$BC$4:$BC$8,0),MATCH(M941,$BD$3:$CK$3,0))</f>
        <v>0.62</v>
      </c>
      <c r="I941" s="975">
        <f t="shared" si="108"/>
        <v>0.53</v>
      </c>
      <c r="J941" s="975">
        <f t="shared" si="109"/>
        <v>0.45</v>
      </c>
      <c r="K941" s="975">
        <f t="shared" ref="K941:K964" si="113">+INDEX($BD$4:$CK$8,MATCH($K$3,$BC$4:$BC$8,0),MATCH(M941,$BD$3:$CK$3,0))</f>
        <v>0.39</v>
      </c>
      <c r="L941" s="1076">
        <v>0.05</v>
      </c>
      <c r="M941" s="973" t="s">
        <v>324</v>
      </c>
      <c r="N941" s="1077">
        <v>0.05</v>
      </c>
      <c r="O941" s="1078">
        <v>6.0000000000000001E-3</v>
      </c>
      <c r="P941" s="1078">
        <v>2.5000000000000001E-2</v>
      </c>
      <c r="Q941" s="1079"/>
      <c r="R941" s="1080" t="str">
        <f t="shared" si="86"/>
        <v>유림로지스</v>
      </c>
      <c r="S941" s="1080" t="s">
        <v>2746</v>
      </c>
      <c r="T941" s="1080" t="str">
        <f t="shared" si="110"/>
        <v>N</v>
      </c>
      <c r="U941" s="1080">
        <v>0</v>
      </c>
      <c r="V941" s="1080">
        <v>0</v>
      </c>
      <c r="W941" s="1080">
        <v>0</v>
      </c>
      <c r="X941" s="1080" t="s">
        <v>2747</v>
      </c>
      <c r="Y941" s="1080" t="s">
        <v>2731</v>
      </c>
      <c r="Z941" s="1078">
        <f t="shared" ref="Z941:Z965" si="114">IF(AD941="",0%,VLOOKUP(AD941,$D$1072:$E$1094,2,0))</f>
        <v>0.02</v>
      </c>
      <c r="AA941" s="1080" t="s">
        <v>2768</v>
      </c>
      <c r="AB941" s="1061" t="s">
        <v>2731</v>
      </c>
      <c r="AC941" s="1082"/>
      <c r="AD941" s="1061" t="s">
        <v>2832</v>
      </c>
      <c r="AE941" s="1061"/>
      <c r="AF941" s="1061" t="s">
        <v>2731</v>
      </c>
      <c r="AG941" s="1061"/>
      <c r="AH941" s="1061"/>
      <c r="AI941" s="1061" t="s">
        <v>152</v>
      </c>
      <c r="AJ941" s="1061"/>
      <c r="AK941" s="1061" t="s">
        <v>587</v>
      </c>
      <c r="AL941" s="736">
        <f t="shared" si="107"/>
        <v>78000</v>
      </c>
      <c r="AM941" s="1061"/>
      <c r="AN941" s="1061"/>
      <c r="AO941" s="1061"/>
      <c r="AP941" s="1061"/>
      <c r="AQ941" s="1061"/>
      <c r="AR941" s="1061"/>
      <c r="AS941" s="1061"/>
      <c r="AT941" s="1061"/>
      <c r="AU941" s="1061"/>
      <c r="AV941" s="1061"/>
      <c r="AW941" s="1061"/>
      <c r="AX941" s="1061"/>
      <c r="AY941" s="1061"/>
      <c r="AZ941" s="1061"/>
      <c r="BA941" s="1061"/>
      <c r="BB941" s="1061"/>
      <c r="BC941" s="1061"/>
      <c r="BD941" s="1061"/>
      <c r="BE941" s="1061"/>
      <c r="BF941" s="1061"/>
      <c r="BG941" s="1061"/>
      <c r="BH941" s="1061"/>
      <c r="BI941" s="1061"/>
      <c r="BJ941" s="1061"/>
      <c r="BK941" s="1061"/>
      <c r="BL941" s="1061"/>
      <c r="BM941" s="1061"/>
      <c r="BN941" s="1061"/>
      <c r="BO941" s="1061"/>
      <c r="BP941" s="1061"/>
      <c r="BQ941" s="1061"/>
      <c r="BR941" s="1061"/>
      <c r="BS941" s="1061"/>
      <c r="BT941" s="1061"/>
      <c r="BU941" s="1061"/>
      <c r="BV941" s="1061"/>
      <c r="BW941" s="1061"/>
      <c r="BX941" s="1061"/>
      <c r="BY941" s="1061"/>
      <c r="BZ941" s="1061"/>
      <c r="CA941" s="1061"/>
      <c r="CB941" s="1061"/>
      <c r="CC941" s="1061"/>
      <c r="CD941" s="1061"/>
      <c r="CE941" s="1061"/>
      <c r="CF941" s="1061"/>
      <c r="CG941" s="1061"/>
      <c r="CH941" s="1061"/>
      <c r="CI941" s="1061"/>
      <c r="CJ941" s="1061"/>
      <c r="CK941" s="1061"/>
      <c r="CL941" s="1061"/>
    </row>
    <row r="942" spans="1:90" ht="15" customHeight="1">
      <c r="A942" s="417">
        <v>66</v>
      </c>
      <c r="B942" s="1123" t="s">
        <v>207</v>
      </c>
      <c r="C942" s="973" t="s">
        <v>202</v>
      </c>
      <c r="D942" s="973" t="s">
        <v>2835</v>
      </c>
      <c r="E942" s="974">
        <v>2497</v>
      </c>
      <c r="F942" s="975" t="s">
        <v>2796</v>
      </c>
      <c r="G942" s="975">
        <f t="shared" si="111"/>
        <v>0.73</v>
      </c>
      <c r="H942" s="975">
        <f t="shared" si="112"/>
        <v>0.65</v>
      </c>
      <c r="I942" s="975">
        <f t="shared" si="108"/>
        <v>0.56000000000000005</v>
      </c>
      <c r="J942" s="975">
        <f t="shared" si="109"/>
        <v>0.48</v>
      </c>
      <c r="K942" s="975">
        <f t="shared" si="113"/>
        <v>0.42</v>
      </c>
      <c r="L942" s="1076">
        <v>0.05</v>
      </c>
      <c r="M942" s="973" t="s">
        <v>709</v>
      </c>
      <c r="N942" s="1077">
        <v>0.05</v>
      </c>
      <c r="O942" s="1078">
        <v>6.0000000000000001E-3</v>
      </c>
      <c r="P942" s="1078">
        <v>1.4999999999999999E-2</v>
      </c>
      <c r="Q942" s="1079"/>
      <c r="R942" s="1080" t="str">
        <f t="shared" ref="R942:R947" si="115">IF(OR(S942="서산",S942="광주",S942="화성"),"선보","유림로지스")</f>
        <v>유림로지스</v>
      </c>
      <c r="S942" s="1080" t="s">
        <v>2746</v>
      </c>
      <c r="T942" s="1080" t="str">
        <f t="shared" ref="T942:T947" si="116">+IF(LEFT(D942,1)="G","Y","N")</f>
        <v>N</v>
      </c>
      <c r="U942" s="1080">
        <v>0.02</v>
      </c>
      <c r="V942" s="1080">
        <v>0.03</v>
      </c>
      <c r="W942" s="1080">
        <v>0.01</v>
      </c>
      <c r="X942" s="1080" t="s">
        <v>2747</v>
      </c>
      <c r="Y942" s="1080" t="s">
        <v>2772</v>
      </c>
      <c r="Z942" s="1078">
        <f t="shared" si="114"/>
        <v>0.02</v>
      </c>
      <c r="AA942" s="1080" t="s">
        <v>2737</v>
      </c>
      <c r="AB942" s="1061" t="s">
        <v>2772</v>
      </c>
      <c r="AC942" s="1082"/>
      <c r="AD942" s="1061" t="s">
        <v>2836</v>
      </c>
      <c r="AE942" s="1061"/>
      <c r="AF942" s="1061" t="s">
        <v>2772</v>
      </c>
      <c r="AG942" s="1061"/>
      <c r="AH942" s="1061"/>
      <c r="AI942" s="1061" t="s">
        <v>3257</v>
      </c>
      <c r="AJ942" s="1061"/>
      <c r="AK942" s="1061" t="s">
        <v>587</v>
      </c>
      <c r="AL942" s="736">
        <f t="shared" si="107"/>
        <v>80000</v>
      </c>
      <c r="AM942" s="1061"/>
      <c r="AN942" s="1061"/>
      <c r="AO942" s="1061"/>
      <c r="AP942" s="1061"/>
      <c r="AQ942" s="1061"/>
      <c r="AR942" s="1061"/>
      <c r="AS942" s="1061"/>
      <c r="AT942" s="1061"/>
      <c r="AU942" s="1061"/>
      <c r="AV942" s="1061"/>
      <c r="AW942" s="1061"/>
      <c r="AX942" s="1061"/>
      <c r="AY942" s="1061"/>
      <c r="AZ942" s="1061"/>
      <c r="BA942" s="1061"/>
      <c r="BB942" s="1061"/>
      <c r="BC942" s="1061"/>
      <c r="BD942" s="1061"/>
      <c r="BE942" s="1061"/>
      <c r="BF942" s="1061"/>
      <c r="BG942" s="1061"/>
      <c r="BH942" s="1061"/>
      <c r="BI942" s="1061"/>
      <c r="BJ942" s="1061"/>
      <c r="BK942" s="1061"/>
      <c r="BL942" s="1061"/>
      <c r="BM942" s="1061"/>
      <c r="BN942" s="1061"/>
      <c r="BO942" s="1061"/>
      <c r="BP942" s="1061"/>
      <c r="BQ942" s="1061"/>
      <c r="BR942" s="1061"/>
      <c r="BS942" s="1061"/>
      <c r="BT942" s="1061"/>
      <c r="BU942" s="1061"/>
      <c r="BV942" s="1061"/>
      <c r="BW942" s="1061"/>
      <c r="BX942" s="1061"/>
      <c r="BY942" s="1061"/>
      <c r="BZ942" s="1061"/>
      <c r="CA942" s="1061"/>
      <c r="CB942" s="1061"/>
      <c r="CC942" s="1061"/>
      <c r="CD942" s="1061"/>
      <c r="CE942" s="1061"/>
      <c r="CF942" s="1061"/>
      <c r="CG942" s="1061"/>
      <c r="CH942" s="1061"/>
      <c r="CI942" s="1061"/>
      <c r="CJ942" s="1061"/>
      <c r="CK942" s="1061"/>
      <c r="CL942" s="1061"/>
    </row>
    <row r="943" spans="1:90" ht="15" customHeight="1">
      <c r="A943" s="417">
        <v>67</v>
      </c>
      <c r="B943" s="1123" t="s">
        <v>207</v>
      </c>
      <c r="C943" s="973" t="s">
        <v>202</v>
      </c>
      <c r="D943" s="973" t="s">
        <v>2837</v>
      </c>
      <c r="E943" s="974">
        <v>2497</v>
      </c>
      <c r="F943" s="975" t="s">
        <v>2796</v>
      </c>
      <c r="G943" s="975">
        <f t="shared" si="111"/>
        <v>0.73</v>
      </c>
      <c r="H943" s="975">
        <f t="shared" si="112"/>
        <v>0.65</v>
      </c>
      <c r="I943" s="975">
        <f t="shared" si="108"/>
        <v>0.56000000000000005</v>
      </c>
      <c r="J943" s="975">
        <f t="shared" si="109"/>
        <v>0.48</v>
      </c>
      <c r="K943" s="975">
        <f t="shared" si="113"/>
        <v>0.42</v>
      </c>
      <c r="L943" s="1076">
        <v>0.05</v>
      </c>
      <c r="M943" s="973" t="s">
        <v>709</v>
      </c>
      <c r="N943" s="1077">
        <v>0.05</v>
      </c>
      <c r="O943" s="1078">
        <v>6.0000000000000001E-3</v>
      </c>
      <c r="P943" s="1078">
        <v>1.4999999999999999E-2</v>
      </c>
      <c r="Q943" s="1079"/>
      <c r="R943" s="1080" t="str">
        <f t="shared" si="115"/>
        <v>유림로지스</v>
      </c>
      <c r="S943" s="1080" t="s">
        <v>2746</v>
      </c>
      <c r="T943" s="1080" t="str">
        <f t="shared" si="116"/>
        <v>N</v>
      </c>
      <c r="U943" s="1080">
        <v>0.02</v>
      </c>
      <c r="V943" s="1080">
        <v>0.03</v>
      </c>
      <c r="W943" s="1080">
        <v>0.01</v>
      </c>
      <c r="X943" s="1080" t="s">
        <v>2747</v>
      </c>
      <c r="Y943" s="1080" t="s">
        <v>2772</v>
      </c>
      <c r="Z943" s="1078">
        <f t="shared" si="114"/>
        <v>0.02</v>
      </c>
      <c r="AA943" s="1080" t="s">
        <v>2737</v>
      </c>
      <c r="AB943" s="1061" t="s">
        <v>2772</v>
      </c>
      <c r="AC943" s="1082"/>
      <c r="AD943" s="1061" t="s">
        <v>2836</v>
      </c>
      <c r="AE943" s="1061"/>
      <c r="AF943" s="1061" t="s">
        <v>2772</v>
      </c>
      <c r="AG943" s="1061"/>
      <c r="AH943" s="1061"/>
      <c r="AI943" s="1061" t="s">
        <v>3258</v>
      </c>
      <c r="AJ943" s="1061"/>
      <c r="AK943" s="1061" t="s">
        <v>2961</v>
      </c>
      <c r="AL943" s="736">
        <f t="shared" si="107"/>
        <v>80000</v>
      </c>
      <c r="AM943" s="1061"/>
      <c r="AN943" s="1061"/>
      <c r="AO943" s="1061"/>
      <c r="AP943" s="1061"/>
      <c r="AQ943" s="1061"/>
      <c r="AR943" s="1061"/>
      <c r="AS943" s="1061"/>
      <c r="AT943" s="1061"/>
      <c r="AU943" s="1061"/>
      <c r="AV943" s="1061"/>
      <c r="AW943" s="1061"/>
      <c r="AX943" s="1061"/>
      <c r="AY943" s="1061"/>
      <c r="AZ943" s="1061"/>
      <c r="BA943" s="1061"/>
      <c r="BB943" s="1061"/>
      <c r="BC943" s="1061"/>
      <c r="BD943" s="1061"/>
      <c r="BE943" s="1061"/>
      <c r="BF943" s="1061"/>
      <c r="BG943" s="1061"/>
      <c r="BH943" s="1061"/>
      <c r="BI943" s="1061"/>
      <c r="BJ943" s="1061"/>
      <c r="BK943" s="1061"/>
      <c r="BL943" s="1061"/>
      <c r="BM943" s="1061"/>
      <c r="BN943" s="1061"/>
      <c r="BO943" s="1061"/>
      <c r="BP943" s="1061"/>
      <c r="BQ943" s="1061"/>
      <c r="BR943" s="1061"/>
      <c r="BS943" s="1061"/>
      <c r="BT943" s="1061"/>
      <c r="BU943" s="1061"/>
      <c r="BV943" s="1061"/>
      <c r="BW943" s="1061"/>
      <c r="BX943" s="1061"/>
      <c r="BY943" s="1061"/>
      <c r="BZ943" s="1061"/>
      <c r="CA943" s="1061"/>
      <c r="CB943" s="1061"/>
      <c r="CC943" s="1061"/>
      <c r="CD943" s="1061"/>
      <c r="CE943" s="1061"/>
      <c r="CF943" s="1061"/>
      <c r="CG943" s="1061"/>
      <c r="CH943" s="1061"/>
      <c r="CI943" s="1061"/>
      <c r="CJ943" s="1061"/>
      <c r="CK943" s="1061"/>
      <c r="CL943" s="1061"/>
    </row>
    <row r="944" spans="1:90" ht="15" customHeight="1">
      <c r="A944" s="417">
        <v>68</v>
      </c>
      <c r="B944" s="1123" t="s">
        <v>207</v>
      </c>
      <c r="C944" s="973" t="s">
        <v>202</v>
      </c>
      <c r="D944" s="973" t="s">
        <v>2838</v>
      </c>
      <c r="E944" s="974">
        <v>2497</v>
      </c>
      <c r="F944" s="975" t="s">
        <v>2804</v>
      </c>
      <c r="G944" s="975">
        <f t="shared" si="111"/>
        <v>0.73</v>
      </c>
      <c r="H944" s="975">
        <f t="shared" si="112"/>
        <v>0.65</v>
      </c>
      <c r="I944" s="975">
        <f t="shared" si="108"/>
        <v>0.56000000000000005</v>
      </c>
      <c r="J944" s="975">
        <f t="shared" si="109"/>
        <v>0.48</v>
      </c>
      <c r="K944" s="975">
        <f t="shared" si="113"/>
        <v>0.42</v>
      </c>
      <c r="L944" s="1076">
        <v>0.05</v>
      </c>
      <c r="M944" s="973" t="s">
        <v>709</v>
      </c>
      <c r="N944" s="1077">
        <v>0.05</v>
      </c>
      <c r="O944" s="1078">
        <v>6.0000000000000001E-3</v>
      </c>
      <c r="P944" s="1078">
        <v>1.4999999999999999E-2</v>
      </c>
      <c r="Q944" s="1079"/>
      <c r="R944" s="1080" t="str">
        <f t="shared" si="115"/>
        <v>유림로지스</v>
      </c>
      <c r="S944" s="1080" t="s">
        <v>2746</v>
      </c>
      <c r="T944" s="1080" t="str">
        <f t="shared" si="116"/>
        <v>N</v>
      </c>
      <c r="U944" s="1080">
        <v>0.02</v>
      </c>
      <c r="V944" s="1080">
        <v>0.03</v>
      </c>
      <c r="W944" s="1080">
        <v>0.01</v>
      </c>
      <c r="X944" s="1080" t="s">
        <v>2747</v>
      </c>
      <c r="Y944" s="1080" t="s">
        <v>2772</v>
      </c>
      <c r="Z944" s="1078">
        <f t="shared" si="114"/>
        <v>0.02</v>
      </c>
      <c r="AA944" s="1080" t="s">
        <v>2737</v>
      </c>
      <c r="AB944" s="1061" t="s">
        <v>2772</v>
      </c>
      <c r="AC944" s="1082"/>
      <c r="AD944" s="1061" t="s">
        <v>2836</v>
      </c>
      <c r="AE944" s="1061"/>
      <c r="AF944" s="1061" t="s">
        <v>2772</v>
      </c>
      <c r="AG944" s="1061"/>
      <c r="AH944" s="1061"/>
      <c r="AI944" s="1061" t="s">
        <v>3257</v>
      </c>
      <c r="AJ944" s="1061"/>
      <c r="AK944" s="1061" t="s">
        <v>2940</v>
      </c>
      <c r="AL944" s="736">
        <f t="shared" si="107"/>
        <v>80000</v>
      </c>
      <c r="AM944" s="1061"/>
      <c r="AN944" s="1061"/>
      <c r="AO944" s="1061"/>
      <c r="AP944" s="1061"/>
      <c r="AQ944" s="1061"/>
      <c r="AR944" s="1061"/>
      <c r="AS944" s="1061"/>
      <c r="AT944" s="1061"/>
      <c r="AU944" s="1061"/>
      <c r="AV944" s="1061"/>
      <c r="AW944" s="1061"/>
      <c r="AX944" s="1061"/>
      <c r="AY944" s="1061"/>
      <c r="AZ944" s="1061"/>
      <c r="BA944" s="1061"/>
      <c r="BB944" s="1061"/>
      <c r="BC944" s="1061"/>
      <c r="BD944" s="1061"/>
      <c r="BE944" s="1061"/>
      <c r="BF944" s="1061"/>
      <c r="BG944" s="1061"/>
      <c r="BH944" s="1061"/>
      <c r="BI944" s="1061"/>
      <c r="BJ944" s="1061"/>
      <c r="BK944" s="1061"/>
      <c r="BL944" s="1061"/>
      <c r="BM944" s="1061"/>
      <c r="BN944" s="1061"/>
      <c r="BO944" s="1061"/>
      <c r="BP944" s="1061"/>
      <c r="BQ944" s="1061"/>
      <c r="BR944" s="1061"/>
      <c r="BS944" s="1061"/>
      <c r="BT944" s="1061"/>
      <c r="BU944" s="1061"/>
      <c r="BV944" s="1061"/>
      <c r="BW944" s="1061"/>
      <c r="BX944" s="1061"/>
      <c r="BY944" s="1061"/>
      <c r="BZ944" s="1061"/>
      <c r="CA944" s="1061"/>
      <c r="CB944" s="1061"/>
      <c r="CC944" s="1061"/>
      <c r="CD944" s="1061"/>
      <c r="CE944" s="1061"/>
      <c r="CF944" s="1061"/>
      <c r="CG944" s="1061"/>
      <c r="CH944" s="1061"/>
      <c r="CI944" s="1061"/>
      <c r="CJ944" s="1061"/>
      <c r="CK944" s="1061"/>
      <c r="CL944" s="1061"/>
    </row>
    <row r="945" spans="1:90" s="1020" customFormat="1" ht="15" customHeight="1" thickBot="1">
      <c r="A945" s="417">
        <v>69</v>
      </c>
      <c r="B945" s="1123" t="s">
        <v>207</v>
      </c>
      <c r="C945" s="973" t="s">
        <v>202</v>
      </c>
      <c r="D945" s="973" t="s">
        <v>2839</v>
      </c>
      <c r="E945" s="974">
        <v>1598</v>
      </c>
      <c r="F945" s="975" t="s">
        <v>2826</v>
      </c>
      <c r="G945" s="975">
        <f t="shared" si="111"/>
        <v>0.73</v>
      </c>
      <c r="H945" s="975">
        <f t="shared" si="112"/>
        <v>0.65</v>
      </c>
      <c r="I945" s="975">
        <f t="shared" si="108"/>
        <v>0.56000000000000005</v>
      </c>
      <c r="J945" s="975">
        <f t="shared" si="109"/>
        <v>0.48</v>
      </c>
      <c r="K945" s="975">
        <f t="shared" si="113"/>
        <v>0.42</v>
      </c>
      <c r="L945" s="1076">
        <v>0.05</v>
      </c>
      <c r="M945" s="973" t="s">
        <v>709</v>
      </c>
      <c r="N945" s="1077">
        <v>0.05</v>
      </c>
      <c r="O945" s="1078">
        <v>6.0000000000000001E-3</v>
      </c>
      <c r="P945" s="1078">
        <v>1.4999999999999999E-2</v>
      </c>
      <c r="Q945" s="1079"/>
      <c r="R945" s="1080" t="str">
        <f t="shared" si="115"/>
        <v>유림로지스</v>
      </c>
      <c r="S945" s="1080" t="s">
        <v>2746</v>
      </c>
      <c r="T945" s="1080" t="str">
        <f t="shared" si="116"/>
        <v>N</v>
      </c>
      <c r="U945" s="1080">
        <v>0.02</v>
      </c>
      <c r="V945" s="1080">
        <v>0.03</v>
      </c>
      <c r="W945" s="1080">
        <v>0.01</v>
      </c>
      <c r="X945" s="1080" t="s">
        <v>2747</v>
      </c>
      <c r="Y945" s="1080" t="s">
        <v>2772</v>
      </c>
      <c r="Z945" s="1078">
        <f t="shared" si="114"/>
        <v>0.02</v>
      </c>
      <c r="AA945" s="1080" t="s">
        <v>2768</v>
      </c>
      <c r="AB945" s="1061" t="s">
        <v>2772</v>
      </c>
      <c r="AC945" s="1082"/>
      <c r="AD945" s="1061" t="s">
        <v>2836</v>
      </c>
      <c r="AE945" s="1061"/>
      <c r="AF945" s="1061" t="s">
        <v>2772</v>
      </c>
      <c r="AG945" s="1061"/>
      <c r="AH945" s="1061"/>
      <c r="AI945" s="1061" t="s">
        <v>3259</v>
      </c>
      <c r="AJ945" s="1061"/>
      <c r="AK945" s="1061" t="s">
        <v>2962</v>
      </c>
      <c r="AL945" s="736">
        <f t="shared" si="107"/>
        <v>80000</v>
      </c>
      <c r="AM945" s="1061"/>
      <c r="AN945" s="1061"/>
      <c r="AO945" s="1061"/>
      <c r="AP945" s="1061"/>
      <c r="AQ945" s="1061"/>
      <c r="AR945" s="1061"/>
      <c r="AS945" s="1061"/>
      <c r="AT945" s="1061"/>
      <c r="AU945" s="1061"/>
      <c r="AV945" s="1061"/>
      <c r="AW945" s="1061"/>
      <c r="AX945" s="1061"/>
      <c r="AY945" s="1061"/>
      <c r="AZ945" s="1061"/>
      <c r="BA945" s="1061"/>
      <c r="BB945" s="1061"/>
      <c r="BC945" s="1061"/>
      <c r="BD945" s="1061"/>
      <c r="BE945" s="1061"/>
      <c r="BF945" s="1061"/>
      <c r="BG945" s="1061"/>
      <c r="BH945" s="1061"/>
      <c r="BI945" s="1061"/>
      <c r="BJ945" s="1061"/>
      <c r="BK945" s="1061"/>
      <c r="BL945" s="1061"/>
      <c r="BM945" s="1061"/>
      <c r="BN945" s="1061"/>
      <c r="BO945" s="1061"/>
      <c r="BP945" s="1061"/>
      <c r="BQ945" s="1061"/>
      <c r="BR945" s="1061"/>
      <c r="BS945" s="1061"/>
      <c r="BT945" s="1061"/>
      <c r="BU945" s="1061"/>
      <c r="BV945" s="1061"/>
      <c r="BW945" s="1061"/>
      <c r="BX945" s="1061"/>
      <c r="BY945" s="1061"/>
      <c r="BZ945" s="1061"/>
      <c r="CA945" s="1061"/>
      <c r="CB945" s="1061"/>
      <c r="CC945" s="1061"/>
      <c r="CD945" s="1061"/>
      <c r="CE945" s="1061"/>
      <c r="CF945" s="1061"/>
      <c r="CG945" s="1061"/>
      <c r="CH945" s="1061"/>
      <c r="CI945" s="1061"/>
      <c r="CJ945" s="1061"/>
      <c r="CK945" s="1061"/>
      <c r="CL945" s="1061"/>
    </row>
    <row r="946" spans="1:90" ht="15" customHeight="1">
      <c r="A946" s="417">
        <v>70</v>
      </c>
      <c r="B946" s="1123" t="s">
        <v>207</v>
      </c>
      <c r="C946" s="973" t="s">
        <v>202</v>
      </c>
      <c r="D946" s="973" t="s">
        <v>2840</v>
      </c>
      <c r="E946" s="974">
        <v>1598</v>
      </c>
      <c r="F946" s="975" t="s">
        <v>2826</v>
      </c>
      <c r="G946" s="975">
        <f t="shared" si="111"/>
        <v>0.73</v>
      </c>
      <c r="H946" s="975">
        <f t="shared" si="112"/>
        <v>0.65</v>
      </c>
      <c r="I946" s="975">
        <f t="shared" si="108"/>
        <v>0.56000000000000005</v>
      </c>
      <c r="J946" s="975">
        <f t="shared" si="109"/>
        <v>0.48</v>
      </c>
      <c r="K946" s="975">
        <f t="shared" si="113"/>
        <v>0.42</v>
      </c>
      <c r="L946" s="1076">
        <v>0.05</v>
      </c>
      <c r="M946" s="973" t="s">
        <v>709</v>
      </c>
      <c r="N946" s="1077">
        <v>0.05</v>
      </c>
      <c r="O946" s="1078">
        <v>6.0000000000000001E-3</v>
      </c>
      <c r="P946" s="1078">
        <v>1.4999999999999999E-2</v>
      </c>
      <c r="Q946" s="1079"/>
      <c r="R946" s="1080" t="str">
        <f t="shared" si="115"/>
        <v>유림로지스</v>
      </c>
      <c r="S946" s="1080" t="s">
        <v>2746</v>
      </c>
      <c r="T946" s="1080" t="str">
        <f t="shared" si="116"/>
        <v>N</v>
      </c>
      <c r="U946" s="1080">
        <v>0.02</v>
      </c>
      <c r="V946" s="1080">
        <v>0.03</v>
      </c>
      <c r="W946" s="1080">
        <v>0.01</v>
      </c>
      <c r="X946" s="1080" t="s">
        <v>2747</v>
      </c>
      <c r="Y946" s="1080" t="s">
        <v>2772</v>
      </c>
      <c r="Z946" s="1078">
        <f t="shared" si="114"/>
        <v>0.02</v>
      </c>
      <c r="AA946" s="1080" t="s">
        <v>2768</v>
      </c>
      <c r="AB946" s="1061" t="s">
        <v>2772</v>
      </c>
      <c r="AC946" s="1082"/>
      <c r="AD946" s="1061" t="s">
        <v>2836</v>
      </c>
      <c r="AE946" s="1061"/>
      <c r="AF946" s="1061" t="s">
        <v>2772</v>
      </c>
      <c r="AG946" s="1061"/>
      <c r="AH946" s="1061"/>
      <c r="AI946" s="1061" t="s">
        <v>3257</v>
      </c>
      <c r="AJ946" s="1061"/>
      <c r="AK946" s="1061" t="s">
        <v>2958</v>
      </c>
      <c r="AL946" s="736">
        <f t="shared" si="107"/>
        <v>80000</v>
      </c>
      <c r="AM946" s="1061"/>
      <c r="AN946" s="1061"/>
      <c r="AO946" s="1061"/>
      <c r="AP946" s="1061"/>
      <c r="AQ946" s="1061"/>
      <c r="AR946" s="1061"/>
      <c r="AS946" s="1061"/>
      <c r="AT946" s="1061"/>
      <c r="AU946" s="1061"/>
      <c r="AV946" s="1061"/>
      <c r="AW946" s="1061"/>
      <c r="AX946" s="1061"/>
      <c r="AY946" s="1061"/>
      <c r="AZ946" s="1061"/>
      <c r="BA946" s="1061"/>
      <c r="BB946" s="1061"/>
      <c r="BC946" s="1061"/>
      <c r="BD946" s="1061"/>
      <c r="BE946" s="1061"/>
      <c r="BF946" s="1061"/>
      <c r="BG946" s="1061"/>
      <c r="BH946" s="1061"/>
      <c r="BI946" s="1061"/>
      <c r="BJ946" s="1061"/>
      <c r="BK946" s="1061"/>
      <c r="BL946" s="1061"/>
      <c r="BM946" s="1061"/>
      <c r="BN946" s="1061"/>
      <c r="BO946" s="1061"/>
      <c r="BP946" s="1061"/>
      <c r="BQ946" s="1061"/>
      <c r="BR946" s="1061"/>
      <c r="BS946" s="1061"/>
      <c r="BT946" s="1061"/>
      <c r="BU946" s="1061"/>
      <c r="BV946" s="1061"/>
      <c r="BW946" s="1061"/>
      <c r="BX946" s="1061"/>
      <c r="BY946" s="1061"/>
      <c r="BZ946" s="1061"/>
      <c r="CA946" s="1061"/>
      <c r="CB946" s="1061"/>
      <c r="CC946" s="1061"/>
      <c r="CD946" s="1061"/>
      <c r="CE946" s="1061"/>
      <c r="CF946" s="1061"/>
      <c r="CG946" s="1061"/>
      <c r="CH946" s="1061"/>
      <c r="CI946" s="1061"/>
      <c r="CJ946" s="1061"/>
      <c r="CK946" s="1061"/>
      <c r="CL946" s="1061"/>
    </row>
    <row r="947" spans="1:90" ht="15" customHeight="1">
      <c r="A947" s="417">
        <v>71</v>
      </c>
      <c r="B947" s="1123" t="s">
        <v>207</v>
      </c>
      <c r="C947" s="973" t="s">
        <v>202</v>
      </c>
      <c r="D947" s="973" t="s">
        <v>2841</v>
      </c>
      <c r="E947" s="974">
        <v>1598</v>
      </c>
      <c r="F947" s="975" t="s">
        <v>2826</v>
      </c>
      <c r="G947" s="975">
        <f t="shared" si="111"/>
        <v>0.73</v>
      </c>
      <c r="H947" s="975">
        <f t="shared" si="112"/>
        <v>0.65</v>
      </c>
      <c r="I947" s="975">
        <f t="shared" si="108"/>
        <v>0.56000000000000005</v>
      </c>
      <c r="J947" s="975">
        <f t="shared" si="109"/>
        <v>0.48</v>
      </c>
      <c r="K947" s="975">
        <f t="shared" si="113"/>
        <v>0.42</v>
      </c>
      <c r="L947" s="1076">
        <v>0.05</v>
      </c>
      <c r="M947" s="973" t="s">
        <v>709</v>
      </c>
      <c r="N947" s="1077">
        <v>0.05</v>
      </c>
      <c r="O947" s="1078">
        <v>6.0000000000000001E-3</v>
      </c>
      <c r="P947" s="1078">
        <v>1.4999999999999999E-2</v>
      </c>
      <c r="Q947" s="1079"/>
      <c r="R947" s="1080" t="str">
        <f t="shared" si="115"/>
        <v>유림로지스</v>
      </c>
      <c r="S947" s="1080" t="s">
        <v>2746</v>
      </c>
      <c r="T947" s="1080" t="str">
        <f t="shared" si="116"/>
        <v>N</v>
      </c>
      <c r="U947" s="1080">
        <v>0.02</v>
      </c>
      <c r="V947" s="1080">
        <v>0.03</v>
      </c>
      <c r="W947" s="1080">
        <v>0.01</v>
      </c>
      <c r="X947" s="1080" t="s">
        <v>2747</v>
      </c>
      <c r="Y947" s="1080" t="s">
        <v>2772</v>
      </c>
      <c r="Z947" s="1078">
        <f t="shared" si="114"/>
        <v>0.02</v>
      </c>
      <c r="AA947" s="1080" t="s">
        <v>2768</v>
      </c>
      <c r="AB947" s="1061" t="s">
        <v>2772</v>
      </c>
      <c r="AC947" s="1082"/>
      <c r="AD947" s="1061" t="s">
        <v>2836</v>
      </c>
      <c r="AE947" s="1061"/>
      <c r="AF947" s="1061" t="s">
        <v>2772</v>
      </c>
      <c r="AG947" s="1061"/>
      <c r="AH947" s="1061"/>
      <c r="AI947" s="1061" t="s">
        <v>152</v>
      </c>
      <c r="AJ947" s="1061"/>
      <c r="AK947" s="1061" t="s">
        <v>2955</v>
      </c>
      <c r="AL947" s="736">
        <f t="shared" si="107"/>
        <v>80000</v>
      </c>
      <c r="AM947" s="1061"/>
      <c r="AN947" s="1061"/>
      <c r="AO947" s="1061"/>
      <c r="AP947" s="1061"/>
      <c r="AQ947" s="1061"/>
      <c r="AR947" s="1061"/>
      <c r="AS947" s="1061"/>
      <c r="AT947" s="1061"/>
      <c r="AU947" s="1061"/>
      <c r="AV947" s="1061"/>
      <c r="AW947" s="1061"/>
      <c r="AX947" s="1061"/>
      <c r="AY947" s="1061"/>
      <c r="AZ947" s="1061"/>
      <c r="BA947" s="1061"/>
      <c r="BB947" s="1061"/>
      <c r="BC947" s="1061"/>
      <c r="BD947" s="1061"/>
      <c r="BE947" s="1061"/>
      <c r="BF947" s="1061"/>
      <c r="BG947" s="1061"/>
      <c r="BH947" s="1061"/>
      <c r="BI947" s="1061"/>
      <c r="BJ947" s="1061"/>
      <c r="BK947" s="1061"/>
      <c r="BL947" s="1061"/>
      <c r="BM947" s="1061"/>
      <c r="BN947" s="1061"/>
      <c r="BO947" s="1061"/>
      <c r="BP947" s="1061"/>
      <c r="BQ947" s="1061"/>
      <c r="BR947" s="1061"/>
      <c r="BS947" s="1061"/>
      <c r="BT947" s="1061"/>
      <c r="BU947" s="1061"/>
      <c r="BV947" s="1061"/>
      <c r="BW947" s="1061"/>
      <c r="BX947" s="1061"/>
      <c r="BY947" s="1061"/>
      <c r="BZ947" s="1061"/>
      <c r="CA947" s="1061"/>
      <c r="CB947" s="1061"/>
      <c r="CC947" s="1061"/>
      <c r="CD947" s="1061"/>
      <c r="CE947" s="1061"/>
      <c r="CF947" s="1061"/>
      <c r="CG947" s="1061"/>
      <c r="CH947" s="1061"/>
      <c r="CI947" s="1061"/>
      <c r="CJ947" s="1061"/>
      <c r="CK947" s="1061"/>
      <c r="CL947" s="1061"/>
    </row>
    <row r="948" spans="1:90" s="1061" customFormat="1" ht="15" customHeight="1">
      <c r="A948" s="417">
        <v>72</v>
      </c>
      <c r="B948" s="1123" t="s">
        <v>207</v>
      </c>
      <c r="C948" s="973" t="s">
        <v>202</v>
      </c>
      <c r="D948" s="973" t="s">
        <v>2842</v>
      </c>
      <c r="E948" s="974">
        <v>1598</v>
      </c>
      <c r="F948" s="975" t="s">
        <v>2796</v>
      </c>
      <c r="G948" s="975">
        <f t="shared" si="111"/>
        <v>0.73</v>
      </c>
      <c r="H948" s="975">
        <f t="shared" si="112"/>
        <v>0.65</v>
      </c>
      <c r="I948" s="975">
        <f t="shared" si="108"/>
        <v>0.56000000000000005</v>
      </c>
      <c r="J948" s="975">
        <f t="shared" si="109"/>
        <v>0.48</v>
      </c>
      <c r="K948" s="975">
        <f t="shared" si="113"/>
        <v>0.42</v>
      </c>
      <c r="L948" s="1076">
        <v>0.05</v>
      </c>
      <c r="M948" s="973" t="s">
        <v>709</v>
      </c>
      <c r="N948" s="1077">
        <v>0.05</v>
      </c>
      <c r="O948" s="1078">
        <v>6.0000000000000001E-3</v>
      </c>
      <c r="P948" s="1078">
        <v>1.4999999999999999E-2</v>
      </c>
      <c r="Q948" s="1079"/>
      <c r="R948" s="1080" t="str">
        <f>IF(OR(S948="서산",S948="광주",S948="화성"),"선보","유림로지스")</f>
        <v>유림로지스</v>
      </c>
      <c r="S948" s="1080" t="s">
        <v>2746</v>
      </c>
      <c r="T948" s="1080" t="str">
        <f>+IF(LEFT(D948,1)="G","Y","N")</f>
        <v>N</v>
      </c>
      <c r="U948" s="1080">
        <v>0.02</v>
      </c>
      <c r="V948" s="1080">
        <v>0.03</v>
      </c>
      <c r="W948" s="1080">
        <v>0.01</v>
      </c>
      <c r="X948" s="1080" t="s">
        <v>2747</v>
      </c>
      <c r="Y948" s="1080" t="s">
        <v>2843</v>
      </c>
      <c r="Z948" s="1078">
        <f t="shared" si="114"/>
        <v>0.02</v>
      </c>
      <c r="AA948" s="1080" t="s">
        <v>2768</v>
      </c>
      <c r="AB948" s="1061" t="s">
        <v>2731</v>
      </c>
      <c r="AC948" s="1082"/>
      <c r="AD948" s="1061" t="s">
        <v>2836</v>
      </c>
      <c r="AF948" s="1061" t="s">
        <v>2772</v>
      </c>
      <c r="AI948" s="1061" t="s">
        <v>3260</v>
      </c>
      <c r="AK948" s="1061" t="s">
        <v>2955</v>
      </c>
      <c r="AL948" s="736">
        <f t="shared" si="107"/>
        <v>80000</v>
      </c>
    </row>
    <row r="949" spans="1:90" ht="15" customHeight="1">
      <c r="A949" s="417">
        <v>73</v>
      </c>
      <c r="B949" s="1123" t="s">
        <v>207</v>
      </c>
      <c r="C949" s="973" t="s">
        <v>202</v>
      </c>
      <c r="D949" s="973" t="s">
        <v>2844</v>
      </c>
      <c r="E949" s="974">
        <v>1598</v>
      </c>
      <c r="F949" s="975" t="s">
        <v>2796</v>
      </c>
      <c r="G949" s="975">
        <f t="shared" si="111"/>
        <v>0.73</v>
      </c>
      <c r="H949" s="975">
        <f t="shared" si="112"/>
        <v>0.65</v>
      </c>
      <c r="I949" s="975">
        <f t="shared" si="108"/>
        <v>0.56000000000000005</v>
      </c>
      <c r="J949" s="975">
        <f t="shared" si="109"/>
        <v>0.48</v>
      </c>
      <c r="K949" s="975">
        <f t="shared" si="113"/>
        <v>0.42</v>
      </c>
      <c r="L949" s="1076">
        <v>0.05</v>
      </c>
      <c r="M949" s="973" t="s">
        <v>709</v>
      </c>
      <c r="N949" s="1077">
        <v>0.05</v>
      </c>
      <c r="O949" s="1078">
        <v>6.0000000000000001E-3</v>
      </c>
      <c r="P949" s="1078">
        <v>1.4999999999999999E-2</v>
      </c>
      <c r="Q949" s="1079"/>
      <c r="R949" s="1080" t="str">
        <f>IF(OR(S949="서산",S949="광주",S949="화성"),"선보","유림로지스")</f>
        <v>유림로지스</v>
      </c>
      <c r="S949" s="1080" t="s">
        <v>2746</v>
      </c>
      <c r="T949" s="1080" t="str">
        <f>+IF(LEFT(D949,1)="G","Y","N")</f>
        <v>N</v>
      </c>
      <c r="U949" s="1080">
        <v>0.02</v>
      </c>
      <c r="V949" s="1080">
        <v>0.03</v>
      </c>
      <c r="W949" s="1080">
        <v>0.01</v>
      </c>
      <c r="X949" s="1080" t="s">
        <v>2747</v>
      </c>
      <c r="Y949" s="1080" t="s">
        <v>2843</v>
      </c>
      <c r="Z949" s="1078">
        <f t="shared" si="114"/>
        <v>0.02</v>
      </c>
      <c r="AA949" s="1080" t="s">
        <v>2768</v>
      </c>
      <c r="AB949" s="1061" t="s">
        <v>2731</v>
      </c>
      <c r="AC949" s="1082"/>
      <c r="AD949" s="1061" t="s">
        <v>2836</v>
      </c>
      <c r="AE949" s="1061"/>
      <c r="AF949" s="1061" t="s">
        <v>2772</v>
      </c>
      <c r="AG949" s="1061"/>
      <c r="AH949" s="1061"/>
      <c r="AI949" s="1061" t="s">
        <v>152</v>
      </c>
      <c r="AJ949" s="1061"/>
      <c r="AK949" s="1061" t="s">
        <v>587</v>
      </c>
      <c r="AL949" s="736">
        <f t="shared" si="107"/>
        <v>80000</v>
      </c>
      <c r="AM949" s="1061"/>
      <c r="AN949" s="1061"/>
      <c r="AO949" s="1061"/>
      <c r="AP949" s="1061"/>
      <c r="AQ949" s="1061"/>
      <c r="AR949" s="1061"/>
      <c r="AS949" s="1061"/>
      <c r="AT949" s="1061"/>
      <c r="AU949" s="1061"/>
      <c r="AV949" s="1061"/>
      <c r="AW949" s="1061"/>
      <c r="AX949" s="1061"/>
      <c r="AY949" s="1061"/>
      <c r="AZ949" s="1061"/>
      <c r="BA949" s="1061"/>
      <c r="BB949" s="1061"/>
      <c r="BC949" s="1061"/>
      <c r="BD949" s="1061"/>
      <c r="BE949" s="1061"/>
      <c r="BF949" s="1061"/>
      <c r="BG949" s="1061"/>
      <c r="BH949" s="1061"/>
      <c r="BI949" s="1061"/>
      <c r="BJ949" s="1061"/>
      <c r="BK949" s="1061"/>
      <c r="BL949" s="1061"/>
      <c r="BM949" s="1061"/>
      <c r="BN949" s="1061"/>
      <c r="BO949" s="1061"/>
      <c r="BP949" s="1061"/>
      <c r="BQ949" s="1061"/>
      <c r="BR949" s="1061"/>
      <c r="BS949" s="1061"/>
      <c r="BT949" s="1061"/>
      <c r="BU949" s="1061"/>
      <c r="BV949" s="1061"/>
      <c r="BW949" s="1061"/>
      <c r="BX949" s="1061"/>
      <c r="BY949" s="1061"/>
      <c r="BZ949" s="1061"/>
      <c r="CA949" s="1061"/>
      <c r="CB949" s="1061"/>
      <c r="CC949" s="1061"/>
      <c r="CD949" s="1061"/>
      <c r="CE949" s="1061"/>
      <c r="CF949" s="1061"/>
      <c r="CG949" s="1061"/>
      <c r="CH949" s="1061"/>
      <c r="CI949" s="1061"/>
      <c r="CJ949" s="1061"/>
      <c r="CK949" s="1061"/>
      <c r="CL949" s="1061"/>
    </row>
    <row r="950" spans="1:90" s="1061" customFormat="1" ht="15" customHeight="1">
      <c r="A950" s="417">
        <v>74</v>
      </c>
      <c r="B950" s="1123" t="s">
        <v>207</v>
      </c>
      <c r="C950" s="973" t="s">
        <v>202</v>
      </c>
      <c r="D950" s="973" t="s">
        <v>2845</v>
      </c>
      <c r="E950" s="974">
        <v>1598</v>
      </c>
      <c r="F950" s="975" t="s">
        <v>2804</v>
      </c>
      <c r="G950" s="975">
        <f t="shared" si="111"/>
        <v>0.73</v>
      </c>
      <c r="H950" s="975">
        <f t="shared" si="112"/>
        <v>0.65</v>
      </c>
      <c r="I950" s="975">
        <f t="shared" si="108"/>
        <v>0.56000000000000005</v>
      </c>
      <c r="J950" s="975">
        <f t="shared" si="109"/>
        <v>0.48</v>
      </c>
      <c r="K950" s="975">
        <f t="shared" si="113"/>
        <v>0.42</v>
      </c>
      <c r="L950" s="1076">
        <v>0.05</v>
      </c>
      <c r="M950" s="973" t="s">
        <v>709</v>
      </c>
      <c r="N950" s="1077">
        <v>0.05</v>
      </c>
      <c r="O950" s="1078">
        <v>6.0000000000000001E-3</v>
      </c>
      <c r="P950" s="1078">
        <v>1.4999999999999999E-2</v>
      </c>
      <c r="Q950" s="1079"/>
      <c r="R950" s="1080" t="str">
        <f>IF(OR(S950="서산",S950="광주",S950="화성"),"선보","유림로지스")</f>
        <v>유림로지스</v>
      </c>
      <c r="S950" s="1080" t="s">
        <v>2746</v>
      </c>
      <c r="T950" s="1080" t="str">
        <f>+IF(LEFT(D950,1)="G","Y","N")</f>
        <v>N</v>
      </c>
      <c r="U950" s="1080">
        <v>0.02</v>
      </c>
      <c r="V950" s="1080">
        <v>0.03</v>
      </c>
      <c r="W950" s="1080">
        <v>0.01</v>
      </c>
      <c r="X950" s="1080" t="s">
        <v>2747</v>
      </c>
      <c r="Y950" s="1080" t="s">
        <v>2843</v>
      </c>
      <c r="Z950" s="1078">
        <f t="shared" si="114"/>
        <v>0.02</v>
      </c>
      <c r="AA950" s="1080" t="s">
        <v>2768</v>
      </c>
      <c r="AB950" s="1061" t="s">
        <v>2731</v>
      </c>
      <c r="AC950" s="1082"/>
      <c r="AD950" s="1061" t="s">
        <v>2836</v>
      </c>
      <c r="AF950" s="1061" t="s">
        <v>2772</v>
      </c>
      <c r="AI950" s="1061" t="s">
        <v>3261</v>
      </c>
      <c r="AK950" s="1061" t="s">
        <v>587</v>
      </c>
      <c r="AL950" s="736">
        <f t="shared" si="107"/>
        <v>80000</v>
      </c>
    </row>
    <row r="951" spans="1:90" ht="15" customHeight="1">
      <c r="A951" s="417">
        <v>75</v>
      </c>
      <c r="B951" s="417" t="s">
        <v>207</v>
      </c>
      <c r="C951" s="2" t="s">
        <v>202</v>
      </c>
      <c r="D951" s="2" t="s">
        <v>2846</v>
      </c>
      <c r="E951" s="3">
        <v>2199</v>
      </c>
      <c r="F951" s="4" t="s">
        <v>2804</v>
      </c>
      <c r="G951" s="4">
        <f t="shared" si="111"/>
        <v>0.74</v>
      </c>
      <c r="H951" s="4">
        <f t="shared" si="112"/>
        <v>0.66</v>
      </c>
      <c r="I951" s="4">
        <f t="shared" si="108"/>
        <v>0.56999999999999995</v>
      </c>
      <c r="J951" s="4">
        <f t="shared" si="109"/>
        <v>0.49</v>
      </c>
      <c r="K951" s="4">
        <f t="shared" si="113"/>
        <v>0.43</v>
      </c>
      <c r="L951" s="441">
        <v>0.05</v>
      </c>
      <c r="M951" s="2" t="s">
        <v>320</v>
      </c>
      <c r="N951" s="443">
        <v>0.05</v>
      </c>
      <c r="O951" s="296">
        <v>6.0000000000000001E-3</v>
      </c>
      <c r="P951" s="296">
        <v>0.02</v>
      </c>
      <c r="Q951" s="444"/>
      <c r="R951" s="633" t="str">
        <f t="shared" si="86"/>
        <v>유림로지스</v>
      </c>
      <c r="S951" s="633" t="s">
        <v>2746</v>
      </c>
      <c r="T951" s="633" t="str">
        <f t="shared" si="110"/>
        <v>N</v>
      </c>
      <c r="U951" s="633">
        <v>0</v>
      </c>
      <c r="V951" s="633">
        <v>0</v>
      </c>
      <c r="W951" s="633">
        <v>0</v>
      </c>
      <c r="X951" s="633" t="s">
        <v>2747</v>
      </c>
      <c r="Y951" s="633" t="s">
        <v>2731</v>
      </c>
      <c r="Z951" s="296">
        <f t="shared" si="114"/>
        <v>2.5000000000000001E-2</v>
      </c>
      <c r="AA951" s="633" t="s">
        <v>2783</v>
      </c>
      <c r="AB951" s="1" t="s">
        <v>2731</v>
      </c>
      <c r="AC951" s="736"/>
      <c r="AD951" s="1" t="s">
        <v>2847</v>
      </c>
      <c r="AF951" s="1" t="s">
        <v>2731</v>
      </c>
      <c r="AI951" s="1" t="s">
        <v>3259</v>
      </c>
      <c r="AJ951" s="1091"/>
      <c r="AK951" s="1" t="s">
        <v>612</v>
      </c>
      <c r="AL951" s="736">
        <f t="shared" si="107"/>
        <v>81000</v>
      </c>
    </row>
    <row r="952" spans="1:90" s="1061" customFormat="1" ht="15" customHeight="1">
      <c r="A952" s="417">
        <v>76</v>
      </c>
      <c r="B952" s="417" t="s">
        <v>207</v>
      </c>
      <c r="C952" s="2" t="s">
        <v>202</v>
      </c>
      <c r="D952" s="2" t="s">
        <v>2848</v>
      </c>
      <c r="E952" s="3">
        <v>2199</v>
      </c>
      <c r="F952" s="4" t="s">
        <v>2804</v>
      </c>
      <c r="G952" s="4">
        <f t="shared" si="111"/>
        <v>0.74</v>
      </c>
      <c r="H952" s="4">
        <f t="shared" si="112"/>
        <v>0.66</v>
      </c>
      <c r="I952" s="4">
        <f t="shared" si="108"/>
        <v>0.56999999999999995</v>
      </c>
      <c r="J952" s="4">
        <f t="shared" si="109"/>
        <v>0.49</v>
      </c>
      <c r="K952" s="4">
        <f t="shared" si="113"/>
        <v>0.43</v>
      </c>
      <c r="L952" s="441">
        <v>0.05</v>
      </c>
      <c r="M952" s="2" t="s">
        <v>320</v>
      </c>
      <c r="N952" s="443">
        <v>0.05</v>
      </c>
      <c r="O952" s="296">
        <v>6.0000000000000001E-3</v>
      </c>
      <c r="P952" s="296">
        <v>0.02</v>
      </c>
      <c r="Q952" s="444"/>
      <c r="R952" s="633" t="str">
        <f t="shared" ref="R952:R1017" si="117">IF(OR(S952="서산",S952="광주",S952="화성"),"선보","유림로지스")</f>
        <v>유림로지스</v>
      </c>
      <c r="S952" s="633" t="s">
        <v>2746</v>
      </c>
      <c r="T952" s="633" t="str">
        <f t="shared" si="110"/>
        <v>N</v>
      </c>
      <c r="U952" s="633">
        <v>0</v>
      </c>
      <c r="V952" s="633">
        <v>0</v>
      </c>
      <c r="W952" s="633">
        <v>0</v>
      </c>
      <c r="X952" s="633" t="s">
        <v>2747</v>
      </c>
      <c r="Y952" s="633" t="s">
        <v>2731</v>
      </c>
      <c r="Z952" s="296">
        <f t="shared" si="114"/>
        <v>2.5000000000000001E-2</v>
      </c>
      <c r="AA952" s="633" t="s">
        <v>2783</v>
      </c>
      <c r="AB952" s="1" t="s">
        <v>2731</v>
      </c>
      <c r="AC952" s="736"/>
      <c r="AD952" s="1" t="s">
        <v>2847</v>
      </c>
      <c r="AE952" s="1"/>
      <c r="AF952" s="1" t="s">
        <v>2731</v>
      </c>
      <c r="AG952" s="1"/>
      <c r="AH952" s="1"/>
      <c r="AI952" s="1" t="s">
        <v>3262</v>
      </c>
      <c r="AJ952" s="1091"/>
      <c r="AK952" s="1" t="s">
        <v>2943</v>
      </c>
      <c r="AL952" s="736">
        <f t="shared" si="107"/>
        <v>81000</v>
      </c>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c r="BP952" s="1"/>
      <c r="BQ952" s="1"/>
      <c r="BR952" s="1"/>
      <c r="BS952" s="1"/>
      <c r="BT952" s="1"/>
      <c r="BU952" s="1"/>
      <c r="BV952" s="1"/>
      <c r="BW952" s="1"/>
      <c r="BX952" s="1"/>
      <c r="BY952" s="1"/>
      <c r="BZ952" s="1"/>
      <c r="CA952" s="1"/>
      <c r="CB952" s="1"/>
      <c r="CC952" s="1"/>
      <c r="CD952" s="1"/>
      <c r="CE952" s="1"/>
      <c r="CF952" s="1"/>
      <c r="CG952" s="1"/>
      <c r="CH952" s="1"/>
      <c r="CI952" s="1"/>
      <c r="CJ952" s="1"/>
      <c r="CK952" s="1"/>
      <c r="CL952" s="1"/>
    </row>
    <row r="953" spans="1:90" s="1061" customFormat="1" ht="15" customHeight="1">
      <c r="A953" s="417">
        <v>77</v>
      </c>
      <c r="B953" s="1123" t="s">
        <v>207</v>
      </c>
      <c r="C953" s="973" t="s">
        <v>202</v>
      </c>
      <c r="D953" s="973" t="s">
        <v>2849</v>
      </c>
      <c r="E953" s="974">
        <v>3778</v>
      </c>
      <c r="F953" s="975" t="s">
        <v>2804</v>
      </c>
      <c r="G953" s="975">
        <f t="shared" si="111"/>
        <v>0.74</v>
      </c>
      <c r="H953" s="975">
        <f t="shared" si="112"/>
        <v>0.66</v>
      </c>
      <c r="I953" s="975">
        <f t="shared" si="108"/>
        <v>0.56999999999999995</v>
      </c>
      <c r="J953" s="975">
        <f t="shared" si="109"/>
        <v>0.49</v>
      </c>
      <c r="K953" s="975">
        <f t="shared" si="113"/>
        <v>0.43</v>
      </c>
      <c r="L953" s="1076">
        <v>0.05</v>
      </c>
      <c r="M953" s="973" t="s">
        <v>320</v>
      </c>
      <c r="N953" s="1077">
        <v>0.05</v>
      </c>
      <c r="O953" s="1078">
        <v>6.0000000000000001E-3</v>
      </c>
      <c r="P953" s="1078">
        <v>0.02</v>
      </c>
      <c r="Q953" s="1079"/>
      <c r="R953" s="1080" t="str">
        <f t="shared" si="117"/>
        <v>유림로지스</v>
      </c>
      <c r="S953" s="1080" t="s">
        <v>2746</v>
      </c>
      <c r="T953" s="1080" t="str">
        <f t="shared" si="110"/>
        <v>N</v>
      </c>
      <c r="U953" s="1080">
        <v>0</v>
      </c>
      <c r="V953" s="1080">
        <v>0</v>
      </c>
      <c r="W953" s="1080">
        <v>0</v>
      </c>
      <c r="X953" s="1080" t="s">
        <v>2747</v>
      </c>
      <c r="Y953" s="1080" t="s">
        <v>2731</v>
      </c>
      <c r="Z953" s="1078">
        <f t="shared" si="114"/>
        <v>2.5000000000000001E-2</v>
      </c>
      <c r="AA953" s="1080" t="s">
        <v>2737</v>
      </c>
      <c r="AB953" s="1061" t="s">
        <v>2731</v>
      </c>
      <c r="AC953" s="1082"/>
      <c r="AD953" s="1061" t="s">
        <v>2847</v>
      </c>
      <c r="AF953" s="1061" t="s">
        <v>2731</v>
      </c>
      <c r="AI953" s="1061" t="s">
        <v>3260</v>
      </c>
      <c r="AK953" s="1061" t="s">
        <v>2964</v>
      </c>
      <c r="AL953" s="736">
        <f t="shared" si="107"/>
        <v>81000</v>
      </c>
    </row>
    <row r="954" spans="1:90" ht="15" customHeight="1">
      <c r="A954" s="417">
        <v>78</v>
      </c>
      <c r="B954" s="1123" t="s">
        <v>207</v>
      </c>
      <c r="C954" s="973" t="s">
        <v>202</v>
      </c>
      <c r="D954" s="973" t="s">
        <v>2850</v>
      </c>
      <c r="E954" s="974">
        <v>3778</v>
      </c>
      <c r="F954" s="975" t="s">
        <v>2804</v>
      </c>
      <c r="G954" s="975">
        <f t="shared" si="111"/>
        <v>0.74</v>
      </c>
      <c r="H954" s="975">
        <f t="shared" si="112"/>
        <v>0.66</v>
      </c>
      <c r="I954" s="975">
        <f t="shared" si="108"/>
        <v>0.56999999999999995</v>
      </c>
      <c r="J954" s="975">
        <f t="shared" si="109"/>
        <v>0.49</v>
      </c>
      <c r="K954" s="975">
        <f t="shared" si="113"/>
        <v>0.43</v>
      </c>
      <c r="L954" s="1076">
        <v>0.05</v>
      </c>
      <c r="M954" s="973" t="s">
        <v>320</v>
      </c>
      <c r="N954" s="1077">
        <v>0.05</v>
      </c>
      <c r="O954" s="1078">
        <v>6.0000000000000001E-3</v>
      </c>
      <c r="P954" s="1078">
        <v>0.02</v>
      </c>
      <c r="Q954" s="1079"/>
      <c r="R954" s="1080" t="str">
        <f t="shared" si="117"/>
        <v>유림로지스</v>
      </c>
      <c r="S954" s="1080" t="s">
        <v>2746</v>
      </c>
      <c r="T954" s="1080" t="str">
        <f t="shared" si="110"/>
        <v>N</v>
      </c>
      <c r="U954" s="1080">
        <v>0</v>
      </c>
      <c r="V954" s="1080">
        <v>0</v>
      </c>
      <c r="W954" s="1080">
        <v>0</v>
      </c>
      <c r="X954" s="1080" t="s">
        <v>2747</v>
      </c>
      <c r="Y954" s="1080" t="s">
        <v>2731</v>
      </c>
      <c r="Z954" s="1078">
        <f t="shared" si="114"/>
        <v>2.5000000000000001E-2</v>
      </c>
      <c r="AA954" s="1080" t="s">
        <v>2737</v>
      </c>
      <c r="AB954" s="1061" t="s">
        <v>2731</v>
      </c>
      <c r="AC954" s="1082"/>
      <c r="AD954" s="1061" t="s">
        <v>2847</v>
      </c>
      <c r="AE954" s="1061"/>
      <c r="AF954" s="1061" t="s">
        <v>2731</v>
      </c>
      <c r="AG954" s="1061"/>
      <c r="AH954" s="1061"/>
      <c r="AI954" s="1061" t="s">
        <v>152</v>
      </c>
      <c r="AJ954" s="1061"/>
      <c r="AK954" s="1061" t="s">
        <v>587</v>
      </c>
      <c r="AL954" s="736">
        <f t="shared" si="107"/>
        <v>81000</v>
      </c>
      <c r="AM954" s="1061"/>
      <c r="AN954" s="1061"/>
      <c r="AO954" s="1061"/>
      <c r="AP954" s="1061"/>
      <c r="AQ954" s="1061"/>
      <c r="AR954" s="1061"/>
      <c r="AS954" s="1061"/>
      <c r="AT954" s="1061"/>
      <c r="AU954" s="1061"/>
      <c r="AV954" s="1061"/>
      <c r="AW954" s="1061"/>
      <c r="AX954" s="1061"/>
      <c r="AY954" s="1061"/>
      <c r="AZ954" s="1061"/>
      <c r="BA954" s="1061"/>
      <c r="BB954" s="1061"/>
      <c r="BC954" s="1061"/>
      <c r="BD954" s="1061"/>
      <c r="BE954" s="1061"/>
      <c r="BF954" s="1061"/>
      <c r="BG954" s="1061"/>
      <c r="BH954" s="1061"/>
      <c r="BI954" s="1061"/>
      <c r="BJ954" s="1061"/>
      <c r="BK954" s="1061"/>
      <c r="BL954" s="1061"/>
      <c r="BM954" s="1061"/>
      <c r="BN954" s="1061"/>
      <c r="BO954" s="1061"/>
      <c r="BP954" s="1061"/>
      <c r="BQ954" s="1061"/>
      <c r="BR954" s="1061"/>
      <c r="BS954" s="1061"/>
      <c r="BT954" s="1061"/>
      <c r="BU954" s="1061"/>
      <c r="BV954" s="1061"/>
      <c r="BW954" s="1061"/>
      <c r="BX954" s="1061"/>
      <c r="BY954" s="1061"/>
      <c r="BZ954" s="1061"/>
      <c r="CA954" s="1061"/>
      <c r="CB954" s="1061"/>
      <c r="CC954" s="1061"/>
      <c r="CD954" s="1061"/>
      <c r="CE954" s="1061"/>
      <c r="CF954" s="1061"/>
      <c r="CG954" s="1061"/>
      <c r="CH954" s="1061"/>
      <c r="CI954" s="1061"/>
      <c r="CJ954" s="1061"/>
      <c r="CK954" s="1061"/>
      <c r="CL954" s="1061"/>
    </row>
    <row r="955" spans="1:90" s="1061" customFormat="1" ht="15" customHeight="1">
      <c r="A955" s="417">
        <v>79</v>
      </c>
      <c r="B955" s="417" t="s">
        <v>207</v>
      </c>
      <c r="C955" s="2" t="s">
        <v>202</v>
      </c>
      <c r="D955" s="2" t="s">
        <v>2851</v>
      </c>
      <c r="E955" s="3">
        <v>2199</v>
      </c>
      <c r="F955" s="4" t="s">
        <v>2852</v>
      </c>
      <c r="G955" s="4">
        <f t="shared" si="111"/>
        <v>0.71</v>
      </c>
      <c r="H955" s="4">
        <f t="shared" si="112"/>
        <v>0.63</v>
      </c>
      <c r="I955" s="4">
        <f t="shared" si="108"/>
        <v>0.54</v>
      </c>
      <c r="J955" s="4">
        <f t="shared" si="109"/>
        <v>0.46</v>
      </c>
      <c r="K955" s="4">
        <f t="shared" si="113"/>
        <v>0.4</v>
      </c>
      <c r="L955" s="441">
        <v>0</v>
      </c>
      <c r="M955" s="2" t="s">
        <v>692</v>
      </c>
      <c r="N955" s="443">
        <v>0.05</v>
      </c>
      <c r="O955" s="296">
        <v>6.0000000000000001E-3</v>
      </c>
      <c r="P955" s="296">
        <v>0</v>
      </c>
      <c r="Q955" s="444" t="s">
        <v>2853</v>
      </c>
      <c r="R955" s="633" t="str">
        <f t="shared" si="117"/>
        <v>유림로지스</v>
      </c>
      <c r="S955" s="633" t="s">
        <v>2746</v>
      </c>
      <c r="T955" s="633" t="str">
        <f t="shared" si="110"/>
        <v>N</v>
      </c>
      <c r="U955" s="633">
        <v>0</v>
      </c>
      <c r="V955" s="633">
        <v>0</v>
      </c>
      <c r="W955" s="633">
        <v>0</v>
      </c>
      <c r="X955" s="633" t="s">
        <v>2747</v>
      </c>
      <c r="Y955" s="633" t="s">
        <v>2731</v>
      </c>
      <c r="Z955" s="296">
        <f t="shared" si="114"/>
        <v>0.02</v>
      </c>
      <c r="AA955" s="633" t="s">
        <v>2783</v>
      </c>
      <c r="AB955" s="1" t="s">
        <v>2731</v>
      </c>
      <c r="AC955" s="736"/>
      <c r="AD955" s="1" t="s">
        <v>2854</v>
      </c>
      <c r="AE955" s="1"/>
      <c r="AF955" s="1" t="s">
        <v>2731</v>
      </c>
      <c r="AG955" s="1"/>
      <c r="AH955" s="1"/>
      <c r="AI955" s="1" t="s">
        <v>3257</v>
      </c>
      <c r="AJ955" s="1091"/>
      <c r="AK955" s="1" t="s">
        <v>612</v>
      </c>
      <c r="AL955" s="736">
        <f t="shared" si="107"/>
        <v>88000</v>
      </c>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c r="BP955" s="1"/>
      <c r="BQ955" s="1"/>
      <c r="BR955" s="1"/>
      <c r="BS955" s="1"/>
      <c r="BT955" s="1"/>
      <c r="BU955" s="1"/>
      <c r="BV955" s="1"/>
      <c r="BW955" s="1"/>
      <c r="BX955" s="1"/>
      <c r="BY955" s="1"/>
      <c r="BZ955" s="1"/>
      <c r="CA955" s="1"/>
      <c r="CB955" s="1"/>
      <c r="CC955" s="1"/>
      <c r="CD955" s="1"/>
      <c r="CE955" s="1"/>
      <c r="CF955" s="1"/>
      <c r="CG955" s="1"/>
      <c r="CH955" s="1"/>
      <c r="CI955" s="1"/>
      <c r="CJ955" s="1"/>
      <c r="CK955" s="1"/>
      <c r="CL955" s="1"/>
    </row>
    <row r="956" spans="1:90" s="1061" customFormat="1" ht="15" customHeight="1">
      <c r="A956" s="417">
        <v>80</v>
      </c>
      <c r="B956" s="417" t="s">
        <v>207</v>
      </c>
      <c r="C956" s="2" t="s">
        <v>202</v>
      </c>
      <c r="D956" s="2" t="s">
        <v>2855</v>
      </c>
      <c r="E956" s="3">
        <v>2199</v>
      </c>
      <c r="F956" s="4" t="s">
        <v>2852</v>
      </c>
      <c r="G956" s="4">
        <f t="shared" si="111"/>
        <v>0.71</v>
      </c>
      <c r="H956" s="4">
        <f t="shared" si="112"/>
        <v>0.63</v>
      </c>
      <c r="I956" s="4">
        <f t="shared" ref="I956:I987" si="118">+INDEX($BD$4:$CK$8,MATCH($I$3,$BC$4:$BC$8,0),MATCH(M956,$BD$3:$CK$3,0))</f>
        <v>0.54</v>
      </c>
      <c r="J956" s="4">
        <f t="shared" ref="J956:J987" si="119">+INDEX($BD$4:$CK$8,MATCH($J$3,$BC$4:$BC$8,0),MATCH(M956,$BD$3:$CK$3,0))</f>
        <v>0.46</v>
      </c>
      <c r="K956" s="4">
        <f t="shared" si="113"/>
        <v>0.4</v>
      </c>
      <c r="L956" s="441">
        <v>0</v>
      </c>
      <c r="M956" s="2" t="s">
        <v>692</v>
      </c>
      <c r="N956" s="443">
        <v>0.05</v>
      </c>
      <c r="O956" s="296">
        <v>6.0000000000000001E-3</v>
      </c>
      <c r="P956" s="296">
        <v>0</v>
      </c>
      <c r="Q956" s="444" t="s">
        <v>2853</v>
      </c>
      <c r="R956" s="633" t="str">
        <f t="shared" si="117"/>
        <v>유림로지스</v>
      </c>
      <c r="S956" s="633" t="s">
        <v>2746</v>
      </c>
      <c r="T956" s="633" t="str">
        <f t="shared" si="110"/>
        <v>N</v>
      </c>
      <c r="U956" s="633">
        <v>0</v>
      </c>
      <c r="V956" s="633">
        <v>0</v>
      </c>
      <c r="W956" s="633">
        <v>0</v>
      </c>
      <c r="X956" s="633" t="s">
        <v>2747</v>
      </c>
      <c r="Y956" s="633" t="s">
        <v>2731</v>
      </c>
      <c r="Z956" s="296">
        <f t="shared" si="114"/>
        <v>0.02</v>
      </c>
      <c r="AA956" s="633" t="s">
        <v>2783</v>
      </c>
      <c r="AB956" s="1" t="s">
        <v>2731</v>
      </c>
      <c r="AC956" s="736"/>
      <c r="AD956" s="1" t="s">
        <v>2854</v>
      </c>
      <c r="AE956" s="1"/>
      <c r="AF956" s="1" t="s">
        <v>2731</v>
      </c>
      <c r="AG956" s="1"/>
      <c r="AH956" s="1"/>
      <c r="AI956" s="1" t="s">
        <v>152</v>
      </c>
      <c r="AJ956" s="1091"/>
      <c r="AK956" s="1" t="s">
        <v>2949</v>
      </c>
      <c r="AL956" s="736">
        <f t="shared" si="107"/>
        <v>88000</v>
      </c>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c r="BP956" s="1"/>
      <c r="BQ956" s="1"/>
      <c r="BR956" s="1"/>
      <c r="BS956" s="1"/>
      <c r="BT956" s="1"/>
      <c r="BU956" s="1"/>
      <c r="BV956" s="1"/>
      <c r="BW956" s="1"/>
      <c r="BX956" s="1"/>
      <c r="BY956" s="1"/>
      <c r="BZ956" s="1"/>
      <c r="CA956" s="1"/>
      <c r="CB956" s="1"/>
      <c r="CC956" s="1"/>
      <c r="CD956" s="1"/>
      <c r="CE956" s="1"/>
      <c r="CF956" s="1"/>
      <c r="CG956" s="1"/>
      <c r="CH956" s="1"/>
      <c r="CI956" s="1"/>
      <c r="CJ956" s="1"/>
      <c r="CK956" s="1"/>
      <c r="CL956" s="1"/>
    </row>
    <row r="957" spans="1:90" ht="15" customHeight="1">
      <c r="A957" s="417">
        <v>81</v>
      </c>
      <c r="B957" s="417" t="s">
        <v>207</v>
      </c>
      <c r="C957" s="2" t="s">
        <v>202</v>
      </c>
      <c r="D957" s="2" t="s">
        <v>2856</v>
      </c>
      <c r="E957" s="3">
        <v>3470</v>
      </c>
      <c r="F957" s="4" t="s">
        <v>2852</v>
      </c>
      <c r="G957" s="4">
        <f t="shared" si="111"/>
        <v>0.71</v>
      </c>
      <c r="H957" s="4">
        <f t="shared" si="112"/>
        <v>0.63</v>
      </c>
      <c r="I957" s="4">
        <f t="shared" si="118"/>
        <v>0.54</v>
      </c>
      <c r="J957" s="4">
        <f t="shared" si="119"/>
        <v>0.46</v>
      </c>
      <c r="K957" s="4">
        <f t="shared" si="113"/>
        <v>0.4</v>
      </c>
      <c r="L957" s="441">
        <v>0</v>
      </c>
      <c r="M957" s="2" t="s">
        <v>692</v>
      </c>
      <c r="N957" s="443">
        <v>0.05</v>
      </c>
      <c r="O957" s="296">
        <v>6.0000000000000001E-3</v>
      </c>
      <c r="P957" s="296">
        <v>0</v>
      </c>
      <c r="Q957" s="444" t="s">
        <v>2853</v>
      </c>
      <c r="R957" s="633" t="str">
        <f t="shared" si="117"/>
        <v>유림로지스</v>
      </c>
      <c r="S957" s="633" t="s">
        <v>2746</v>
      </c>
      <c r="T957" s="633" t="str">
        <f t="shared" si="110"/>
        <v>N</v>
      </c>
      <c r="U957" s="633">
        <v>0</v>
      </c>
      <c r="V957" s="633">
        <v>0</v>
      </c>
      <c r="W957" s="633">
        <v>0</v>
      </c>
      <c r="X957" s="633" t="s">
        <v>2747</v>
      </c>
      <c r="Y957" s="633" t="s">
        <v>2731</v>
      </c>
      <c r="Z957" s="296">
        <f t="shared" si="114"/>
        <v>0.02</v>
      </c>
      <c r="AA957" s="633" t="s">
        <v>2776</v>
      </c>
      <c r="AB957" s="1" t="s">
        <v>2731</v>
      </c>
      <c r="AC957" s="736"/>
      <c r="AD957" s="1" t="s">
        <v>2854</v>
      </c>
      <c r="AF957" s="1" t="s">
        <v>2731</v>
      </c>
      <c r="AI957" s="1" t="s">
        <v>152</v>
      </c>
      <c r="AJ957" s="1091"/>
      <c r="AK957" s="1" t="s">
        <v>2963</v>
      </c>
      <c r="AL957" s="736">
        <f t="shared" ref="AL957:AL965" si="120">VLOOKUP(AD957,$D$1072:$F$1094,3,0)</f>
        <v>88000</v>
      </c>
    </row>
    <row r="958" spans="1:90" ht="15" customHeight="1">
      <c r="A958" s="417">
        <v>82</v>
      </c>
      <c r="B958" s="417" t="s">
        <v>207</v>
      </c>
      <c r="C958" s="2" t="s">
        <v>202</v>
      </c>
      <c r="D958" s="2" t="s">
        <v>2857</v>
      </c>
      <c r="E958" s="3">
        <v>2199</v>
      </c>
      <c r="F958" s="4" t="s">
        <v>2804</v>
      </c>
      <c r="G958" s="4">
        <f t="shared" si="111"/>
        <v>0.71</v>
      </c>
      <c r="H958" s="4">
        <f t="shared" si="112"/>
        <v>0.63</v>
      </c>
      <c r="I958" s="4">
        <f t="shared" si="118"/>
        <v>0.54</v>
      </c>
      <c r="J958" s="4">
        <f t="shared" si="119"/>
        <v>0.46</v>
      </c>
      <c r="K958" s="4">
        <f t="shared" si="113"/>
        <v>0.4</v>
      </c>
      <c r="L958" s="441">
        <v>0</v>
      </c>
      <c r="M958" s="2" t="s">
        <v>692</v>
      </c>
      <c r="N958" s="443">
        <v>0.05</v>
      </c>
      <c r="O958" s="296">
        <v>6.0000000000000001E-3</v>
      </c>
      <c r="P958" s="296">
        <v>0</v>
      </c>
      <c r="Q958" s="444" t="s">
        <v>2853</v>
      </c>
      <c r="R958" s="633" t="str">
        <f t="shared" si="117"/>
        <v>유림로지스</v>
      </c>
      <c r="S958" s="633" t="s">
        <v>2746</v>
      </c>
      <c r="T958" s="633" t="str">
        <f t="shared" si="110"/>
        <v>N</v>
      </c>
      <c r="U958" s="633">
        <v>0</v>
      </c>
      <c r="V958" s="633">
        <v>0</v>
      </c>
      <c r="W958" s="633">
        <v>0</v>
      </c>
      <c r="X958" s="633" t="s">
        <v>2747</v>
      </c>
      <c r="Y958" s="633" t="s">
        <v>2731</v>
      </c>
      <c r="Z958" s="296">
        <f t="shared" si="114"/>
        <v>0.02</v>
      </c>
      <c r="AA958" s="633" t="s">
        <v>2783</v>
      </c>
      <c r="AB958" s="1" t="s">
        <v>2731</v>
      </c>
      <c r="AC958" s="736"/>
      <c r="AD958" s="1" t="s">
        <v>2854</v>
      </c>
      <c r="AF958" s="1" t="s">
        <v>2731</v>
      </c>
      <c r="AI958" s="1" t="s">
        <v>152</v>
      </c>
      <c r="AJ958" s="1091"/>
      <c r="AK958" s="1" t="s">
        <v>612</v>
      </c>
      <c r="AL958" s="736">
        <f t="shared" si="120"/>
        <v>88000</v>
      </c>
    </row>
    <row r="959" spans="1:90" ht="15" customHeight="1">
      <c r="A959" s="417">
        <v>83</v>
      </c>
      <c r="B959" s="417" t="s">
        <v>207</v>
      </c>
      <c r="C959" s="2" t="s">
        <v>202</v>
      </c>
      <c r="D959" s="2" t="s">
        <v>2858</v>
      </c>
      <c r="E959" s="3">
        <v>3470</v>
      </c>
      <c r="F959" s="4" t="s">
        <v>2804</v>
      </c>
      <c r="G959" s="4">
        <f t="shared" si="111"/>
        <v>0.71</v>
      </c>
      <c r="H959" s="4">
        <f t="shared" si="112"/>
        <v>0.63</v>
      </c>
      <c r="I959" s="4">
        <f t="shared" si="118"/>
        <v>0.54</v>
      </c>
      <c r="J959" s="4">
        <f t="shared" si="119"/>
        <v>0.46</v>
      </c>
      <c r="K959" s="4">
        <f t="shared" si="113"/>
        <v>0.4</v>
      </c>
      <c r="L959" s="441">
        <v>0</v>
      </c>
      <c r="M959" s="2" t="s">
        <v>692</v>
      </c>
      <c r="N959" s="443">
        <v>0.05</v>
      </c>
      <c r="O959" s="296">
        <v>6.0000000000000001E-3</v>
      </c>
      <c r="P959" s="296">
        <v>0</v>
      </c>
      <c r="Q959" s="444" t="s">
        <v>2853</v>
      </c>
      <c r="R959" s="633" t="str">
        <f t="shared" si="117"/>
        <v>유림로지스</v>
      </c>
      <c r="S959" s="633" t="s">
        <v>2746</v>
      </c>
      <c r="T959" s="633" t="str">
        <f t="shared" si="110"/>
        <v>N</v>
      </c>
      <c r="U959" s="633">
        <v>0</v>
      </c>
      <c r="V959" s="633">
        <v>0</v>
      </c>
      <c r="W959" s="633">
        <v>0</v>
      </c>
      <c r="X959" s="633" t="s">
        <v>2747</v>
      </c>
      <c r="Y959" s="633" t="s">
        <v>2731</v>
      </c>
      <c r="Z959" s="296">
        <f t="shared" si="114"/>
        <v>0.02</v>
      </c>
      <c r="AA959" s="633" t="s">
        <v>2776</v>
      </c>
      <c r="AB959" s="1" t="s">
        <v>2731</v>
      </c>
      <c r="AC959" s="736"/>
      <c r="AD959" s="1" t="s">
        <v>2854</v>
      </c>
      <c r="AF959" s="1" t="s">
        <v>2731</v>
      </c>
      <c r="AI959" s="1" t="s">
        <v>3263</v>
      </c>
      <c r="AJ959" s="1091"/>
      <c r="AK959" s="1" t="s">
        <v>612</v>
      </c>
      <c r="AL959" s="736">
        <f t="shared" si="120"/>
        <v>88000</v>
      </c>
    </row>
    <row r="960" spans="1:90" ht="15" customHeight="1">
      <c r="A960" s="417">
        <v>84</v>
      </c>
      <c r="B960" s="417" t="s">
        <v>207</v>
      </c>
      <c r="C960" s="2" t="s">
        <v>202</v>
      </c>
      <c r="D960" s="2" t="s">
        <v>2859</v>
      </c>
      <c r="E960" s="3">
        <v>2199</v>
      </c>
      <c r="F960" s="4" t="s">
        <v>2804</v>
      </c>
      <c r="G960" s="4">
        <f t="shared" si="111"/>
        <v>0.71</v>
      </c>
      <c r="H960" s="4">
        <f t="shared" si="112"/>
        <v>0.63</v>
      </c>
      <c r="I960" s="4">
        <f t="shared" si="118"/>
        <v>0.54</v>
      </c>
      <c r="J960" s="4">
        <f t="shared" si="119"/>
        <v>0.46</v>
      </c>
      <c r="K960" s="4">
        <f t="shared" si="113"/>
        <v>0.4</v>
      </c>
      <c r="L960" s="441">
        <v>0</v>
      </c>
      <c r="M960" s="2" t="s">
        <v>692</v>
      </c>
      <c r="N960" s="443">
        <v>0.05</v>
      </c>
      <c r="O960" s="296">
        <v>6.0000000000000001E-3</v>
      </c>
      <c r="P960" s="296">
        <v>0</v>
      </c>
      <c r="Q960" s="444" t="s">
        <v>2853</v>
      </c>
      <c r="R960" s="633" t="str">
        <f t="shared" si="117"/>
        <v>유림로지스</v>
      </c>
      <c r="S960" s="633" t="s">
        <v>2746</v>
      </c>
      <c r="T960" s="633" t="str">
        <f t="shared" si="110"/>
        <v>N</v>
      </c>
      <c r="U960" s="633">
        <v>0</v>
      </c>
      <c r="V960" s="633">
        <v>0</v>
      </c>
      <c r="W960" s="633">
        <v>0</v>
      </c>
      <c r="X960" s="633" t="s">
        <v>2747</v>
      </c>
      <c r="Y960" s="633" t="s">
        <v>2731</v>
      </c>
      <c r="Z960" s="296">
        <f t="shared" si="114"/>
        <v>0.02</v>
      </c>
      <c r="AA960" s="633" t="s">
        <v>2783</v>
      </c>
      <c r="AB960" s="1" t="s">
        <v>2731</v>
      </c>
      <c r="AC960" s="736"/>
      <c r="AD960" s="1" t="s">
        <v>2854</v>
      </c>
      <c r="AF960" s="1" t="s">
        <v>2731</v>
      </c>
      <c r="AI960" s="1" t="s">
        <v>152</v>
      </c>
      <c r="AJ960" s="1091"/>
      <c r="AK960" s="1" t="s">
        <v>2960</v>
      </c>
      <c r="AL960" s="736">
        <f t="shared" si="120"/>
        <v>88000</v>
      </c>
    </row>
    <row r="961" spans="1:90" ht="15" customHeight="1">
      <c r="A961" s="417">
        <v>85</v>
      </c>
      <c r="B961" s="417" t="s">
        <v>207</v>
      </c>
      <c r="C961" s="2" t="s">
        <v>202</v>
      </c>
      <c r="D961" s="2" t="s">
        <v>2860</v>
      </c>
      <c r="E961" s="3">
        <v>3470</v>
      </c>
      <c r="F961" s="4" t="s">
        <v>2804</v>
      </c>
      <c r="G961" s="4">
        <f t="shared" si="111"/>
        <v>0.71</v>
      </c>
      <c r="H961" s="4">
        <f t="shared" si="112"/>
        <v>0.63</v>
      </c>
      <c r="I961" s="4">
        <f t="shared" si="118"/>
        <v>0.54</v>
      </c>
      <c r="J961" s="4">
        <f t="shared" si="119"/>
        <v>0.46</v>
      </c>
      <c r="K961" s="4">
        <f t="shared" si="113"/>
        <v>0.4</v>
      </c>
      <c r="L961" s="441">
        <v>0</v>
      </c>
      <c r="M961" s="2" t="s">
        <v>692</v>
      </c>
      <c r="N961" s="443">
        <v>0.05</v>
      </c>
      <c r="O961" s="296">
        <v>6.0000000000000001E-3</v>
      </c>
      <c r="P961" s="296">
        <v>0</v>
      </c>
      <c r="Q961" s="444" t="s">
        <v>2853</v>
      </c>
      <c r="R961" s="633" t="str">
        <f t="shared" si="117"/>
        <v>유림로지스</v>
      </c>
      <c r="S961" s="633" t="s">
        <v>2746</v>
      </c>
      <c r="T961" s="633" t="str">
        <f t="shared" si="110"/>
        <v>N</v>
      </c>
      <c r="U961" s="633">
        <v>0</v>
      </c>
      <c r="V961" s="633">
        <v>0</v>
      </c>
      <c r="W961" s="633">
        <v>0</v>
      </c>
      <c r="X961" s="633" t="s">
        <v>2747</v>
      </c>
      <c r="Y961" s="633" t="s">
        <v>2731</v>
      </c>
      <c r="Z961" s="296">
        <f t="shared" si="114"/>
        <v>0.02</v>
      </c>
      <c r="AA961" s="633" t="s">
        <v>2776</v>
      </c>
      <c r="AB961" s="1" t="s">
        <v>2731</v>
      </c>
      <c r="AC961" s="736"/>
      <c r="AD961" s="1" t="s">
        <v>2854</v>
      </c>
      <c r="AF961" s="1" t="s">
        <v>2731</v>
      </c>
      <c r="AI961" s="1" t="s">
        <v>3264</v>
      </c>
      <c r="AJ961" s="1091"/>
      <c r="AK961" s="1" t="s">
        <v>612</v>
      </c>
      <c r="AL961" s="736">
        <f t="shared" si="120"/>
        <v>88000</v>
      </c>
    </row>
    <row r="962" spans="1:90" ht="15" customHeight="1">
      <c r="A962" s="417">
        <v>86</v>
      </c>
      <c r="B962" s="417" t="s">
        <v>207</v>
      </c>
      <c r="C962" s="2" t="s">
        <v>202</v>
      </c>
      <c r="D962" s="2" t="s">
        <v>2861</v>
      </c>
      <c r="E962" s="3">
        <v>2199</v>
      </c>
      <c r="F962" s="4" t="s">
        <v>2804</v>
      </c>
      <c r="G962" s="4">
        <f t="shared" si="111"/>
        <v>0.71</v>
      </c>
      <c r="H962" s="4">
        <f t="shared" si="112"/>
        <v>0.63</v>
      </c>
      <c r="I962" s="4">
        <f t="shared" si="118"/>
        <v>0.54</v>
      </c>
      <c r="J962" s="4">
        <f t="shared" si="119"/>
        <v>0.46</v>
      </c>
      <c r="K962" s="4">
        <f t="shared" si="113"/>
        <v>0.4</v>
      </c>
      <c r="L962" s="441">
        <v>0</v>
      </c>
      <c r="M962" s="2" t="s">
        <v>692</v>
      </c>
      <c r="N962" s="443">
        <v>0.05</v>
      </c>
      <c r="O962" s="296">
        <v>6.0000000000000001E-3</v>
      </c>
      <c r="P962" s="296">
        <v>0</v>
      </c>
      <c r="Q962" s="444" t="s">
        <v>2853</v>
      </c>
      <c r="R962" s="633" t="str">
        <f t="shared" si="117"/>
        <v>유림로지스</v>
      </c>
      <c r="S962" s="633" t="s">
        <v>2746</v>
      </c>
      <c r="T962" s="633" t="str">
        <f t="shared" si="110"/>
        <v>N</v>
      </c>
      <c r="U962" s="633">
        <v>0</v>
      </c>
      <c r="V962" s="633">
        <v>0</v>
      </c>
      <c r="W962" s="633">
        <v>0</v>
      </c>
      <c r="X962" s="633" t="s">
        <v>2747</v>
      </c>
      <c r="Y962" s="633" t="s">
        <v>2731</v>
      </c>
      <c r="Z962" s="296">
        <f t="shared" si="114"/>
        <v>0.02</v>
      </c>
      <c r="AA962" s="633" t="s">
        <v>2783</v>
      </c>
      <c r="AB962" s="1" t="s">
        <v>2731</v>
      </c>
      <c r="AC962" s="736"/>
      <c r="AD962" s="1" t="s">
        <v>2854</v>
      </c>
      <c r="AF962" s="1" t="s">
        <v>2731</v>
      </c>
      <c r="AI962" s="1" t="s">
        <v>3265</v>
      </c>
      <c r="AJ962" s="1091"/>
      <c r="AK962" s="1" t="s">
        <v>2963</v>
      </c>
      <c r="AL962" s="736">
        <f t="shared" si="120"/>
        <v>88000</v>
      </c>
    </row>
    <row r="963" spans="1:90" ht="15" customHeight="1">
      <c r="A963" s="417">
        <v>87</v>
      </c>
      <c r="B963" s="417" t="s">
        <v>207</v>
      </c>
      <c r="C963" s="2" t="s">
        <v>202</v>
      </c>
      <c r="D963" s="2" t="s">
        <v>2862</v>
      </c>
      <c r="E963" s="3">
        <v>3470</v>
      </c>
      <c r="F963" s="4" t="s">
        <v>2804</v>
      </c>
      <c r="G963" s="4">
        <f t="shared" si="111"/>
        <v>0.71</v>
      </c>
      <c r="H963" s="4">
        <f t="shared" si="112"/>
        <v>0.63</v>
      </c>
      <c r="I963" s="4">
        <f t="shared" si="118"/>
        <v>0.54</v>
      </c>
      <c r="J963" s="4">
        <f t="shared" si="119"/>
        <v>0.46</v>
      </c>
      <c r="K963" s="4">
        <f t="shared" si="113"/>
        <v>0.4</v>
      </c>
      <c r="L963" s="441">
        <v>0</v>
      </c>
      <c r="M963" s="2" t="s">
        <v>692</v>
      </c>
      <c r="N963" s="443">
        <v>0.05</v>
      </c>
      <c r="O963" s="296">
        <v>6.0000000000000001E-3</v>
      </c>
      <c r="P963" s="296">
        <v>0</v>
      </c>
      <c r="Q963" s="444" t="s">
        <v>2853</v>
      </c>
      <c r="R963" s="633" t="str">
        <f t="shared" si="117"/>
        <v>유림로지스</v>
      </c>
      <c r="S963" s="633" t="s">
        <v>2746</v>
      </c>
      <c r="T963" s="633" t="str">
        <f t="shared" si="110"/>
        <v>N</v>
      </c>
      <c r="U963" s="633">
        <v>0</v>
      </c>
      <c r="V963" s="633">
        <v>0</v>
      </c>
      <c r="W963" s="633">
        <v>0</v>
      </c>
      <c r="X963" s="633" t="s">
        <v>2747</v>
      </c>
      <c r="Y963" s="633" t="s">
        <v>2731</v>
      </c>
      <c r="Z963" s="296">
        <f t="shared" si="114"/>
        <v>0.02</v>
      </c>
      <c r="AA963" s="633" t="s">
        <v>2776</v>
      </c>
      <c r="AB963" s="1" t="s">
        <v>2731</v>
      </c>
      <c r="AC963" s="736"/>
      <c r="AD963" s="1" t="s">
        <v>2854</v>
      </c>
      <c r="AF963" s="1" t="s">
        <v>2731</v>
      </c>
      <c r="AI963" s="1" t="s">
        <v>3266</v>
      </c>
      <c r="AJ963" s="1091"/>
      <c r="AK963" s="1" t="s">
        <v>612</v>
      </c>
      <c r="AL963" s="736">
        <f t="shared" si="120"/>
        <v>88000</v>
      </c>
    </row>
    <row r="964" spans="1:90" ht="15" customHeight="1">
      <c r="A964" s="417">
        <v>88</v>
      </c>
      <c r="B964" s="417" t="s">
        <v>207</v>
      </c>
      <c r="C964" s="2" t="s">
        <v>202</v>
      </c>
      <c r="D964" s="2" t="s">
        <v>2863</v>
      </c>
      <c r="E964" s="3">
        <v>2199</v>
      </c>
      <c r="F964" s="4" t="s">
        <v>2804</v>
      </c>
      <c r="G964" s="4">
        <f t="shared" si="111"/>
        <v>0.72</v>
      </c>
      <c r="H964" s="4">
        <f t="shared" si="112"/>
        <v>0.64</v>
      </c>
      <c r="I964" s="4">
        <f t="shared" si="118"/>
        <v>0.55000000000000004</v>
      </c>
      <c r="J964" s="4">
        <f t="shared" si="119"/>
        <v>0.47</v>
      </c>
      <c r="K964" s="4">
        <f t="shared" si="113"/>
        <v>0.41</v>
      </c>
      <c r="L964" s="441">
        <v>0</v>
      </c>
      <c r="M964" s="2" t="s">
        <v>691</v>
      </c>
      <c r="N964" s="443">
        <v>0.05</v>
      </c>
      <c r="O964" s="296">
        <v>6.0000000000000001E-3</v>
      </c>
      <c r="P964" s="296">
        <v>0</v>
      </c>
      <c r="Q964" s="444"/>
      <c r="R964" s="633" t="str">
        <f t="shared" si="117"/>
        <v>유림로지스</v>
      </c>
      <c r="S964" s="633" t="s">
        <v>2746</v>
      </c>
      <c r="T964" s="633" t="str">
        <f t="shared" si="110"/>
        <v>N</v>
      </c>
      <c r="U964" s="633">
        <v>0</v>
      </c>
      <c r="V964" s="633">
        <v>0</v>
      </c>
      <c r="W964" s="633">
        <v>0</v>
      </c>
      <c r="X964" s="633" t="s">
        <v>2747</v>
      </c>
      <c r="Y964" s="633" t="s">
        <v>2731</v>
      </c>
      <c r="Z964" s="296">
        <f t="shared" si="114"/>
        <v>0.02</v>
      </c>
      <c r="AA964" s="633" t="s">
        <v>2783</v>
      </c>
      <c r="AB964" s="1" t="s">
        <v>2731</v>
      </c>
      <c r="AC964" s="736"/>
      <c r="AD964" s="1" t="s">
        <v>2854</v>
      </c>
      <c r="AF964" s="1" t="s">
        <v>2731</v>
      </c>
      <c r="AI964" s="1" t="s">
        <v>3267</v>
      </c>
      <c r="AJ964" s="1091"/>
      <c r="AK964" s="1" t="s">
        <v>612</v>
      </c>
      <c r="AL964" s="736">
        <f t="shared" si="120"/>
        <v>88000</v>
      </c>
    </row>
    <row r="965" spans="1:90" ht="15" customHeight="1" thickBot="1">
      <c r="A965" s="417">
        <v>89</v>
      </c>
      <c r="B965" s="1145" t="s">
        <v>207</v>
      </c>
      <c r="C965" s="1012" t="s">
        <v>202</v>
      </c>
      <c r="D965" s="1012" t="s">
        <v>2864</v>
      </c>
      <c r="E965" s="1013">
        <v>3470</v>
      </c>
      <c r="F965" s="1014" t="s">
        <v>2804</v>
      </c>
      <c r="G965" s="1014">
        <f t="shared" ref="G965:G996" si="121">+INDEX($BD$4:$CK$8,MATCH($G$3,$BC$4:$BC$8,0),MATCH(M965,$BD$3:$CK$3,0))</f>
        <v>0.72</v>
      </c>
      <c r="H965" s="1014">
        <f t="shared" ref="H965:H996" si="122">+INDEX($BD$4:$CK$8,MATCH($H$3,$BC$4:$BC$8,0),MATCH(M965,$BD$3:$CK$3,0))</f>
        <v>0.64</v>
      </c>
      <c r="I965" s="1014">
        <f t="shared" si="118"/>
        <v>0.55000000000000004</v>
      </c>
      <c r="J965" s="1014">
        <f t="shared" si="119"/>
        <v>0.47</v>
      </c>
      <c r="K965" s="1014">
        <f t="shared" ref="K965:K996" si="123">+INDEX($BD$4:$CK$8,MATCH($K$3,$BC$4:$BC$8,0),MATCH(M965,$BD$3:$CK$3,0))</f>
        <v>0.41</v>
      </c>
      <c r="L965" s="1015">
        <v>0</v>
      </c>
      <c r="M965" s="1012" t="s">
        <v>691</v>
      </c>
      <c r="N965" s="1016">
        <v>0.05</v>
      </c>
      <c r="O965" s="1017">
        <v>6.0000000000000001E-3</v>
      </c>
      <c r="P965" s="1017">
        <v>0</v>
      </c>
      <c r="Q965" s="1018"/>
      <c r="R965" s="1019" t="str">
        <f t="shared" si="117"/>
        <v>유림로지스</v>
      </c>
      <c r="S965" s="1019" t="s">
        <v>2746</v>
      </c>
      <c r="T965" s="1019" t="str">
        <f t="shared" ref="T965:T988" si="124">+IF(LEFT(D965,1)="G","Y","N")</f>
        <v>N</v>
      </c>
      <c r="U965" s="1019">
        <v>0</v>
      </c>
      <c r="V965" s="1019">
        <v>0</v>
      </c>
      <c r="W965" s="1019">
        <v>0</v>
      </c>
      <c r="X965" s="1019" t="s">
        <v>2747</v>
      </c>
      <c r="Y965" s="1019" t="s">
        <v>2731</v>
      </c>
      <c r="Z965" s="1017">
        <f t="shared" si="114"/>
        <v>0.02</v>
      </c>
      <c r="AA965" s="1019" t="s">
        <v>2776</v>
      </c>
      <c r="AB965" s="1020" t="s">
        <v>2731</v>
      </c>
      <c r="AC965" s="1021"/>
      <c r="AD965" s="1020" t="s">
        <v>2854</v>
      </c>
      <c r="AE965" s="1020"/>
      <c r="AF965" s="1020" t="s">
        <v>2731</v>
      </c>
      <c r="AG965" s="1020"/>
      <c r="AH965" s="1020"/>
      <c r="AI965" s="1020" t="s">
        <v>152</v>
      </c>
      <c r="AJ965" s="1146"/>
      <c r="AK965" s="1" t="s">
        <v>612</v>
      </c>
      <c r="AL965" s="736">
        <f t="shared" si="120"/>
        <v>88000</v>
      </c>
      <c r="AM965" s="1020"/>
      <c r="AN965" s="1020"/>
      <c r="AO965" s="1020"/>
      <c r="AP965" s="1020"/>
      <c r="AQ965" s="1020"/>
      <c r="AR965" s="1020"/>
      <c r="AS965" s="1020"/>
      <c r="AT965" s="1020"/>
      <c r="AU965" s="1020"/>
      <c r="AV965" s="1020"/>
      <c r="AW965" s="1020"/>
      <c r="AX965" s="1020"/>
      <c r="AY965" s="1020"/>
      <c r="AZ965" s="1020"/>
      <c r="BA965" s="1020"/>
      <c r="BB965" s="1020"/>
      <c r="BC965" s="1020"/>
      <c r="BD965" s="1020"/>
      <c r="BE965" s="1020"/>
      <c r="BF965" s="1020"/>
      <c r="BG965" s="1020"/>
      <c r="BH965" s="1020"/>
      <c r="BI965" s="1020"/>
      <c r="BJ965" s="1020"/>
      <c r="BK965" s="1020"/>
      <c r="BL965" s="1020"/>
      <c r="BM965" s="1020"/>
      <c r="BN965" s="1020"/>
      <c r="BO965" s="1020"/>
      <c r="BP965" s="1020"/>
      <c r="BQ965" s="1020"/>
      <c r="BR965" s="1020"/>
      <c r="BS965" s="1020"/>
      <c r="BT965" s="1020"/>
      <c r="BU965" s="1020"/>
      <c r="BV965" s="1020"/>
      <c r="BW965" s="1020"/>
      <c r="BX965" s="1020"/>
      <c r="BY965" s="1020"/>
      <c r="BZ965" s="1020"/>
      <c r="CA965" s="1020"/>
      <c r="CB965" s="1020"/>
      <c r="CC965" s="1020"/>
      <c r="CD965" s="1020"/>
      <c r="CE965" s="1020"/>
      <c r="CF965" s="1020"/>
      <c r="CG965" s="1020"/>
      <c r="CH965" s="1020"/>
      <c r="CI965" s="1020"/>
      <c r="CJ965" s="1020"/>
      <c r="CK965" s="1020"/>
      <c r="CL965" s="1020"/>
    </row>
    <row r="966" spans="1:90" ht="15" customHeight="1">
      <c r="A966" s="417">
        <v>90</v>
      </c>
      <c r="B966" s="417" t="s">
        <v>207</v>
      </c>
      <c r="C966" s="2" t="s">
        <v>203</v>
      </c>
      <c r="D966" s="2" t="s">
        <v>2865</v>
      </c>
      <c r="E966" s="3">
        <v>998</v>
      </c>
      <c r="F966" s="4" t="s">
        <v>2866</v>
      </c>
      <c r="G966" s="4">
        <f t="shared" si="121"/>
        <v>0.73</v>
      </c>
      <c r="H966" s="4">
        <f t="shared" si="122"/>
        <v>0.65</v>
      </c>
      <c r="I966" s="4">
        <f t="shared" si="118"/>
        <v>0.56000000000000005</v>
      </c>
      <c r="J966" s="4">
        <f t="shared" si="119"/>
        <v>0.48</v>
      </c>
      <c r="K966" s="4">
        <f t="shared" si="123"/>
        <v>0.42</v>
      </c>
      <c r="L966" s="441">
        <v>0.05</v>
      </c>
      <c r="M966" s="2" t="s">
        <v>321</v>
      </c>
      <c r="N966" s="443">
        <v>0.05</v>
      </c>
      <c r="O966" s="296">
        <v>6.0000000000000001E-3</v>
      </c>
      <c r="P966" s="296"/>
      <c r="Q966" s="444" t="s">
        <v>2853</v>
      </c>
      <c r="R966" s="633" t="str">
        <f t="shared" si="117"/>
        <v>선보</v>
      </c>
      <c r="S966" s="633" t="s">
        <v>2867</v>
      </c>
      <c r="T966" s="633" t="str">
        <f t="shared" si="124"/>
        <v>N</v>
      </c>
      <c r="U966" s="633">
        <v>0</v>
      </c>
      <c r="V966" s="633">
        <v>0</v>
      </c>
      <c r="W966" s="633">
        <v>0</v>
      </c>
      <c r="X966" s="633" t="s">
        <v>2747</v>
      </c>
      <c r="Y966" s="633" t="s">
        <v>2731</v>
      </c>
      <c r="Z966" s="296"/>
      <c r="AA966" s="633" t="s">
        <v>2737</v>
      </c>
      <c r="AB966" s="1" t="s">
        <v>2731</v>
      </c>
      <c r="AC966" s="736"/>
      <c r="AF966" s="1" t="s">
        <v>3048</v>
      </c>
      <c r="AI966" s="1" t="s">
        <v>3093</v>
      </c>
      <c r="AJ966" s="1091"/>
      <c r="AK966" s="1" t="s">
        <v>612</v>
      </c>
      <c r="AL966" s="736"/>
    </row>
    <row r="967" spans="1:90" ht="15" customHeight="1">
      <c r="A967" s="417">
        <v>91</v>
      </c>
      <c r="B967" s="417" t="s">
        <v>207</v>
      </c>
      <c r="C967" s="2" t="s">
        <v>203</v>
      </c>
      <c r="D967" s="2" t="s">
        <v>2868</v>
      </c>
      <c r="E967" s="3">
        <v>998</v>
      </c>
      <c r="F967" s="4" t="s">
        <v>2866</v>
      </c>
      <c r="G967" s="4">
        <f t="shared" si="121"/>
        <v>0.6</v>
      </c>
      <c r="H967" s="4">
        <f t="shared" si="122"/>
        <v>0.52</v>
      </c>
      <c r="I967" s="4">
        <f t="shared" si="118"/>
        <v>0.43</v>
      </c>
      <c r="J967" s="4">
        <f t="shared" si="119"/>
        <v>0.35</v>
      </c>
      <c r="K967" s="4">
        <f t="shared" si="123"/>
        <v>0.28999999999999998</v>
      </c>
      <c r="L967" s="441">
        <v>0.05</v>
      </c>
      <c r="M967" s="2" t="s">
        <v>662</v>
      </c>
      <c r="N967" s="443">
        <v>0.05</v>
      </c>
      <c r="O967" s="296">
        <v>6.0000000000000001E-3</v>
      </c>
      <c r="P967" s="296"/>
      <c r="Q967" s="444" t="s">
        <v>2853</v>
      </c>
      <c r="R967" s="633" t="str">
        <f t="shared" si="117"/>
        <v>선보</v>
      </c>
      <c r="S967" s="633" t="s">
        <v>2867</v>
      </c>
      <c r="T967" s="633" t="str">
        <f t="shared" si="124"/>
        <v>N</v>
      </c>
      <c r="U967" s="633">
        <v>0</v>
      </c>
      <c r="V967" s="633">
        <v>0</v>
      </c>
      <c r="W967" s="633">
        <v>0</v>
      </c>
      <c r="X967" s="633" t="s">
        <v>2747</v>
      </c>
      <c r="Y967" s="633" t="s">
        <v>2731</v>
      </c>
      <c r="Z967" s="296"/>
      <c r="AA967" s="633" t="s">
        <v>2737</v>
      </c>
      <c r="AB967" s="1" t="s">
        <v>2731</v>
      </c>
      <c r="AC967" s="736"/>
      <c r="AF967" s="1" t="s">
        <v>3049</v>
      </c>
      <c r="AI967" s="1" t="s">
        <v>3080</v>
      </c>
      <c r="AJ967" s="1091"/>
      <c r="AK967" s="1" t="s">
        <v>2959</v>
      </c>
      <c r="AL967" s="736"/>
    </row>
    <row r="968" spans="1:90" ht="15" customHeight="1">
      <c r="A968" s="417">
        <v>92</v>
      </c>
      <c r="B968" s="1123" t="s">
        <v>207</v>
      </c>
      <c r="C968" s="973" t="s">
        <v>203</v>
      </c>
      <c r="D968" s="973" t="s">
        <v>3044</v>
      </c>
      <c r="E968" s="974">
        <v>998</v>
      </c>
      <c r="F968" s="975" t="s">
        <v>2866</v>
      </c>
      <c r="G968" s="975">
        <f t="shared" si="121"/>
        <v>0.73</v>
      </c>
      <c r="H968" s="975">
        <f t="shared" si="122"/>
        <v>0.65</v>
      </c>
      <c r="I968" s="975">
        <f t="shared" si="118"/>
        <v>0.56000000000000005</v>
      </c>
      <c r="J968" s="975">
        <f t="shared" si="119"/>
        <v>0.48</v>
      </c>
      <c r="K968" s="975">
        <f t="shared" si="123"/>
        <v>0.42</v>
      </c>
      <c r="L968" s="1076">
        <v>0.05</v>
      </c>
      <c r="M968" s="973" t="s">
        <v>321</v>
      </c>
      <c r="N968" s="1077">
        <v>0.05</v>
      </c>
      <c r="O968" s="1078">
        <v>6.0000000000000001E-3</v>
      </c>
      <c r="P968" s="1078"/>
      <c r="Q968" s="1079" t="s">
        <v>2853</v>
      </c>
      <c r="R968" s="1080" t="str">
        <f t="shared" si="117"/>
        <v>선보</v>
      </c>
      <c r="S968" s="1080" t="s">
        <v>2867</v>
      </c>
      <c r="T968" s="1080" t="str">
        <f t="shared" si="124"/>
        <v>N</v>
      </c>
      <c r="U968" s="1080">
        <v>0</v>
      </c>
      <c r="V968" s="1080">
        <v>0</v>
      </c>
      <c r="W968" s="1080">
        <v>0</v>
      </c>
      <c r="X968" s="1080" t="s">
        <v>2747</v>
      </c>
      <c r="Y968" s="1080" t="s">
        <v>2731</v>
      </c>
      <c r="Z968" s="1078"/>
      <c r="AA968" s="1080" t="s">
        <v>2737</v>
      </c>
      <c r="AB968" s="1061" t="s">
        <v>2731</v>
      </c>
      <c r="AC968" s="1082"/>
      <c r="AD968" s="1061"/>
      <c r="AE968" s="1061"/>
      <c r="AF968" s="1061" t="s">
        <v>3047</v>
      </c>
      <c r="AG968" s="1061"/>
      <c r="AH968" s="1061"/>
      <c r="AI968" s="1061" t="s">
        <v>3080</v>
      </c>
      <c r="AJ968" s="1061"/>
      <c r="AK968" s="1061" t="s">
        <v>587</v>
      </c>
      <c r="AL968" s="736"/>
      <c r="AM968" s="1061"/>
      <c r="AN968" s="1061"/>
      <c r="AO968" s="1061"/>
      <c r="AP968" s="1061"/>
      <c r="AQ968" s="1061"/>
      <c r="AR968" s="1061"/>
      <c r="AS968" s="1061"/>
      <c r="AT968" s="1061"/>
      <c r="AU968" s="1061"/>
      <c r="AV968" s="1061"/>
      <c r="AW968" s="1061"/>
      <c r="AX968" s="1061"/>
      <c r="AY968" s="1061"/>
      <c r="AZ968" s="1061"/>
      <c r="BA968" s="1061"/>
      <c r="BB968" s="1061"/>
      <c r="BC968" s="1061"/>
      <c r="BD968" s="1061"/>
      <c r="BE968" s="1061"/>
      <c r="BF968" s="1061"/>
      <c r="BG968" s="1061"/>
      <c r="BH968" s="1061"/>
      <c r="BI968" s="1061"/>
      <c r="BJ968" s="1061"/>
      <c r="BK968" s="1061"/>
      <c r="BL968" s="1061"/>
      <c r="BM968" s="1061"/>
      <c r="BN968" s="1061"/>
      <c r="BO968" s="1061"/>
      <c r="BP968" s="1061"/>
      <c r="BQ968" s="1061"/>
      <c r="BR968" s="1061"/>
      <c r="BS968" s="1061"/>
      <c r="BT968" s="1061"/>
      <c r="BU968" s="1061"/>
      <c r="BV968" s="1061"/>
      <c r="BW968" s="1061"/>
      <c r="BX968" s="1061"/>
      <c r="BY968" s="1061"/>
      <c r="BZ968" s="1061"/>
      <c r="CA968" s="1061"/>
      <c r="CB968" s="1061"/>
      <c r="CC968" s="1061"/>
      <c r="CD968" s="1061"/>
      <c r="CE968" s="1061"/>
      <c r="CF968" s="1061"/>
      <c r="CG968" s="1061"/>
      <c r="CH968" s="1061"/>
      <c r="CI968" s="1061"/>
      <c r="CJ968" s="1061"/>
      <c r="CK968" s="1061"/>
      <c r="CL968" s="1061"/>
    </row>
    <row r="969" spans="1:90" ht="15" customHeight="1">
      <c r="A969" s="417">
        <v>93</v>
      </c>
      <c r="B969" s="417" t="s">
        <v>207</v>
      </c>
      <c r="C969" s="2" t="s">
        <v>203</v>
      </c>
      <c r="D969" s="2" t="s">
        <v>3046</v>
      </c>
      <c r="E969" s="3">
        <v>998</v>
      </c>
      <c r="F969" s="4" t="s">
        <v>2866</v>
      </c>
      <c r="G969" s="4">
        <f t="shared" si="121"/>
        <v>0.62</v>
      </c>
      <c r="H969" s="4">
        <f t="shared" si="122"/>
        <v>0.54</v>
      </c>
      <c r="I969" s="4">
        <f t="shared" si="118"/>
        <v>0.45</v>
      </c>
      <c r="J969" s="4">
        <f t="shared" si="119"/>
        <v>0.37</v>
      </c>
      <c r="K969" s="4">
        <f t="shared" si="123"/>
        <v>0.31</v>
      </c>
      <c r="L969" s="441">
        <v>0.05</v>
      </c>
      <c r="M969" s="2" t="s">
        <v>329</v>
      </c>
      <c r="N969" s="443">
        <v>0.05</v>
      </c>
      <c r="O969" s="296">
        <v>6.0000000000000001E-3</v>
      </c>
      <c r="P969" s="296"/>
      <c r="Q969" s="444" t="s">
        <v>2853</v>
      </c>
      <c r="R969" s="633" t="str">
        <f t="shared" si="117"/>
        <v>선보</v>
      </c>
      <c r="S969" s="633" t="s">
        <v>2867</v>
      </c>
      <c r="T969" s="633" t="str">
        <f t="shared" si="124"/>
        <v>N</v>
      </c>
      <c r="U969" s="633">
        <v>0</v>
      </c>
      <c r="V969" s="633">
        <v>0</v>
      </c>
      <c r="W969" s="633">
        <v>0</v>
      </c>
      <c r="X969" s="633" t="s">
        <v>2747</v>
      </c>
      <c r="Y969" s="633" t="s">
        <v>2731</v>
      </c>
      <c r="Z969" s="296"/>
      <c r="AA969" s="633" t="s">
        <v>2737</v>
      </c>
      <c r="AB969" s="1" t="s">
        <v>2731</v>
      </c>
      <c r="AC969" s="736"/>
      <c r="AF969" s="1" t="s">
        <v>582</v>
      </c>
      <c r="AI969" s="1" t="s">
        <v>3080</v>
      </c>
      <c r="AJ969" s="1091"/>
      <c r="AK969" s="1" t="s">
        <v>476</v>
      </c>
      <c r="AL969" s="736"/>
    </row>
    <row r="970" spans="1:90" ht="15" customHeight="1">
      <c r="A970" s="417">
        <v>94</v>
      </c>
      <c r="B970" s="1123" t="s">
        <v>207</v>
      </c>
      <c r="C970" s="973" t="s">
        <v>203</v>
      </c>
      <c r="D970" s="973" t="s">
        <v>2869</v>
      </c>
      <c r="E970" s="974">
        <v>1598</v>
      </c>
      <c r="F970" s="975" t="s">
        <v>2758</v>
      </c>
      <c r="G970" s="975">
        <f t="shared" si="121"/>
        <v>0.73</v>
      </c>
      <c r="H970" s="975">
        <f t="shared" si="122"/>
        <v>0.65</v>
      </c>
      <c r="I970" s="975">
        <f t="shared" si="118"/>
        <v>0.56000000000000005</v>
      </c>
      <c r="J970" s="975">
        <f t="shared" si="119"/>
        <v>0.48</v>
      </c>
      <c r="K970" s="975">
        <f t="shared" si="123"/>
        <v>0.42</v>
      </c>
      <c r="L970" s="1076">
        <v>0.05</v>
      </c>
      <c r="M970" s="973" t="s">
        <v>321</v>
      </c>
      <c r="N970" s="1077">
        <v>0.05</v>
      </c>
      <c r="O970" s="1078">
        <v>6.0000000000000001E-3</v>
      </c>
      <c r="P970" s="1078"/>
      <c r="Q970" s="1079"/>
      <c r="R970" s="1080" t="str">
        <f t="shared" si="117"/>
        <v>선보</v>
      </c>
      <c r="S970" s="1080" t="s">
        <v>2870</v>
      </c>
      <c r="T970" s="1080" t="str">
        <f t="shared" si="124"/>
        <v>N</v>
      </c>
      <c r="U970" s="1080">
        <v>0</v>
      </c>
      <c r="V970" s="1080">
        <v>0</v>
      </c>
      <c r="W970" s="1080">
        <v>0</v>
      </c>
      <c r="X970" s="1080" t="s">
        <v>2747</v>
      </c>
      <c r="Y970" s="1080" t="s">
        <v>2731</v>
      </c>
      <c r="Z970" s="1078"/>
      <c r="AA970" s="1080" t="s">
        <v>2737</v>
      </c>
      <c r="AB970" s="1061" t="s">
        <v>2731</v>
      </c>
      <c r="AC970" s="1082"/>
      <c r="AD970" s="1061"/>
      <c r="AE970" s="1061"/>
      <c r="AF970" s="1061" t="s">
        <v>2731</v>
      </c>
      <c r="AG970" s="1061"/>
      <c r="AH970" s="1061"/>
      <c r="AI970" s="1061" t="s">
        <v>3082</v>
      </c>
      <c r="AJ970" s="1061"/>
      <c r="AK970" s="1061" t="s">
        <v>587</v>
      </c>
      <c r="AL970" s="736"/>
      <c r="AM970" s="1061"/>
      <c r="AN970" s="1061"/>
      <c r="AO970" s="1061"/>
      <c r="AP970" s="1061"/>
      <c r="AQ970" s="1061"/>
      <c r="AR970" s="1061"/>
      <c r="AS970" s="1061"/>
      <c r="AT970" s="1061"/>
      <c r="AU970" s="1061"/>
      <c r="AV970" s="1061"/>
      <c r="AW970" s="1061"/>
      <c r="AX970" s="1061"/>
      <c r="AY970" s="1061"/>
      <c r="AZ970" s="1061"/>
      <c r="BA970" s="1061"/>
      <c r="BB970" s="1061"/>
      <c r="BC970" s="1061"/>
      <c r="BD970" s="1061"/>
      <c r="BE970" s="1061"/>
      <c r="BF970" s="1061"/>
      <c r="BG970" s="1061"/>
      <c r="BH970" s="1061"/>
      <c r="BI970" s="1061"/>
      <c r="BJ970" s="1061"/>
      <c r="BK970" s="1061"/>
      <c r="BL970" s="1061"/>
      <c r="BM970" s="1061"/>
      <c r="BN970" s="1061"/>
      <c r="BO970" s="1061"/>
      <c r="BP970" s="1061"/>
      <c r="BQ970" s="1061"/>
      <c r="BR970" s="1061"/>
      <c r="BS970" s="1061"/>
      <c r="BT970" s="1061"/>
      <c r="BU970" s="1061"/>
      <c r="BV970" s="1061"/>
      <c r="BW970" s="1061"/>
      <c r="BX970" s="1061"/>
      <c r="BY970" s="1061"/>
      <c r="BZ970" s="1061"/>
      <c r="CA970" s="1061"/>
      <c r="CB970" s="1061"/>
      <c r="CC970" s="1061"/>
      <c r="CD970" s="1061"/>
      <c r="CE970" s="1061"/>
      <c r="CF970" s="1061"/>
      <c r="CG970" s="1061"/>
      <c r="CH970" s="1061"/>
      <c r="CI970" s="1061"/>
      <c r="CJ970" s="1061"/>
      <c r="CK970" s="1061"/>
      <c r="CL970" s="1061"/>
    </row>
    <row r="971" spans="1:90" ht="15" customHeight="1">
      <c r="A971" s="417">
        <v>95</v>
      </c>
      <c r="B971" s="417" t="s">
        <v>207</v>
      </c>
      <c r="C971" s="2" t="s">
        <v>203</v>
      </c>
      <c r="D971" s="2" t="s">
        <v>2871</v>
      </c>
      <c r="E971" s="3">
        <v>1591</v>
      </c>
      <c r="F971" s="4" t="s">
        <v>2758</v>
      </c>
      <c r="G971" s="4">
        <f t="shared" si="121"/>
        <v>0.73</v>
      </c>
      <c r="H971" s="4">
        <f t="shared" si="122"/>
        <v>0.65</v>
      </c>
      <c r="I971" s="4">
        <f t="shared" si="118"/>
        <v>0.56000000000000005</v>
      </c>
      <c r="J971" s="4">
        <f t="shared" si="119"/>
        <v>0.48</v>
      </c>
      <c r="K971" s="4">
        <f t="shared" si="123"/>
        <v>0.42</v>
      </c>
      <c r="L971" s="441">
        <v>0.05</v>
      </c>
      <c r="M971" s="2" t="s">
        <v>321</v>
      </c>
      <c r="N971" s="443">
        <v>0.05</v>
      </c>
      <c r="O971" s="296">
        <v>6.0000000000000001E-3</v>
      </c>
      <c r="P971" s="296"/>
      <c r="Q971" s="444"/>
      <c r="R971" s="633" t="str">
        <f t="shared" si="117"/>
        <v>선보</v>
      </c>
      <c r="S971" s="633" t="s">
        <v>2870</v>
      </c>
      <c r="T971" s="633" t="str">
        <f t="shared" si="124"/>
        <v>N</v>
      </c>
      <c r="U971" s="633">
        <v>0</v>
      </c>
      <c r="V971" s="633">
        <v>0</v>
      </c>
      <c r="W971" s="633">
        <v>0</v>
      </c>
      <c r="X971" s="633" t="s">
        <v>2747</v>
      </c>
      <c r="Y971" s="633" t="s">
        <v>2731</v>
      </c>
      <c r="Z971" s="296"/>
      <c r="AA971" s="633" t="s">
        <v>2737</v>
      </c>
      <c r="AB971" s="1" t="s">
        <v>2731</v>
      </c>
      <c r="AC971" s="736"/>
      <c r="AF971" s="1" t="s">
        <v>2731</v>
      </c>
      <c r="AI971" s="1" t="s">
        <v>3081</v>
      </c>
      <c r="AJ971" s="1091"/>
      <c r="AK971" s="1" t="s">
        <v>612</v>
      </c>
      <c r="AL971" s="736"/>
    </row>
    <row r="972" spans="1:90" s="1061" customFormat="1" ht="15" customHeight="1">
      <c r="A972" s="417">
        <v>96</v>
      </c>
      <c r="B972" s="1123" t="s">
        <v>207</v>
      </c>
      <c r="C972" s="973" t="s">
        <v>203</v>
      </c>
      <c r="D972" s="973" t="s">
        <v>2872</v>
      </c>
      <c r="E972" s="974">
        <v>1999</v>
      </c>
      <c r="F972" s="975" t="s">
        <v>2758</v>
      </c>
      <c r="G972" s="975">
        <f t="shared" si="121"/>
        <v>0.73</v>
      </c>
      <c r="H972" s="975">
        <f t="shared" si="122"/>
        <v>0.65</v>
      </c>
      <c r="I972" s="975">
        <f t="shared" si="118"/>
        <v>0.56000000000000005</v>
      </c>
      <c r="J972" s="975">
        <f t="shared" si="119"/>
        <v>0.48</v>
      </c>
      <c r="K972" s="975">
        <f t="shared" si="123"/>
        <v>0.42</v>
      </c>
      <c r="L972" s="1076">
        <v>0.05</v>
      </c>
      <c r="M972" s="973" t="s">
        <v>321</v>
      </c>
      <c r="N972" s="1077">
        <v>0.05</v>
      </c>
      <c r="O972" s="1078">
        <v>6.0000000000000001E-3</v>
      </c>
      <c r="P972" s="1078"/>
      <c r="Q972" s="1079"/>
      <c r="R972" s="1080" t="str">
        <f t="shared" si="117"/>
        <v>선보</v>
      </c>
      <c r="S972" s="1080" t="s">
        <v>2870</v>
      </c>
      <c r="T972" s="1080" t="str">
        <f t="shared" si="124"/>
        <v>N</v>
      </c>
      <c r="U972" s="1080">
        <v>0</v>
      </c>
      <c r="V972" s="1080">
        <v>0</v>
      </c>
      <c r="W972" s="1080">
        <v>0</v>
      </c>
      <c r="X972" s="1080" t="s">
        <v>2747</v>
      </c>
      <c r="Y972" s="1080" t="s">
        <v>2731</v>
      </c>
      <c r="Z972" s="1078"/>
      <c r="AA972" s="1080" t="s">
        <v>2737</v>
      </c>
      <c r="AB972" s="1061" t="s">
        <v>2731</v>
      </c>
      <c r="AC972" s="1082"/>
      <c r="AF972" s="1061" t="s">
        <v>2731</v>
      </c>
      <c r="AI972" s="1061" t="s">
        <v>3094</v>
      </c>
      <c r="AK972" s="1061" t="s">
        <v>587</v>
      </c>
      <c r="AL972" s="736"/>
    </row>
    <row r="973" spans="1:90" ht="15" customHeight="1">
      <c r="A973" s="417">
        <v>97</v>
      </c>
      <c r="B973" s="1123" t="s">
        <v>207</v>
      </c>
      <c r="C973" s="973" t="s">
        <v>203</v>
      </c>
      <c r="D973" s="973" t="s">
        <v>2873</v>
      </c>
      <c r="E973" s="974">
        <v>1598</v>
      </c>
      <c r="F973" s="975" t="s">
        <v>2758</v>
      </c>
      <c r="G973" s="975">
        <f t="shared" si="121"/>
        <v>0.73</v>
      </c>
      <c r="H973" s="975">
        <f t="shared" si="122"/>
        <v>0.65</v>
      </c>
      <c r="I973" s="975">
        <f t="shared" si="118"/>
        <v>0.56000000000000005</v>
      </c>
      <c r="J973" s="975">
        <f t="shared" si="119"/>
        <v>0.48</v>
      </c>
      <c r="K973" s="975">
        <f t="shared" si="123"/>
        <v>0.42</v>
      </c>
      <c r="L973" s="1076">
        <v>0.05</v>
      </c>
      <c r="M973" s="973" t="s">
        <v>321</v>
      </c>
      <c r="N973" s="1077">
        <v>0.05</v>
      </c>
      <c r="O973" s="1078">
        <v>6.0000000000000001E-3</v>
      </c>
      <c r="P973" s="1078"/>
      <c r="Q973" s="1079"/>
      <c r="R973" s="1080" t="str">
        <f t="shared" si="117"/>
        <v>선보</v>
      </c>
      <c r="S973" s="1080" t="s">
        <v>2870</v>
      </c>
      <c r="T973" s="1080" t="str">
        <f t="shared" si="124"/>
        <v>N</v>
      </c>
      <c r="U973" s="1080">
        <v>0</v>
      </c>
      <c r="V973" s="1080">
        <v>0</v>
      </c>
      <c r="W973" s="1080">
        <v>0</v>
      </c>
      <c r="X973" s="1080" t="s">
        <v>2747</v>
      </c>
      <c r="Y973" s="1080" t="s">
        <v>2731</v>
      </c>
      <c r="Z973" s="1078"/>
      <c r="AA973" s="1080" t="s">
        <v>2737</v>
      </c>
      <c r="AB973" s="1061" t="s">
        <v>2731</v>
      </c>
      <c r="AC973" s="1082"/>
      <c r="AD973" s="1061"/>
      <c r="AE973" s="1061"/>
      <c r="AF973" s="1061" t="s">
        <v>2731</v>
      </c>
      <c r="AG973" s="1061"/>
      <c r="AH973" s="1061"/>
      <c r="AI973" s="1061" t="s">
        <v>3081</v>
      </c>
      <c r="AJ973" s="1061"/>
      <c r="AK973" s="1061" t="s">
        <v>587</v>
      </c>
      <c r="AL973" s="736"/>
      <c r="AM973" s="1061"/>
      <c r="AN973" s="1061"/>
      <c r="AO973" s="1061"/>
      <c r="AP973" s="1061"/>
      <c r="AQ973" s="1061"/>
      <c r="AR973" s="1061"/>
      <c r="AS973" s="1061"/>
      <c r="AT973" s="1061"/>
      <c r="AU973" s="1061"/>
      <c r="AV973" s="1061"/>
      <c r="AW973" s="1061"/>
      <c r="AX973" s="1061"/>
      <c r="AY973" s="1061"/>
      <c r="AZ973" s="1061"/>
      <c r="BA973" s="1061"/>
      <c r="BB973" s="1061"/>
      <c r="BC973" s="1061"/>
      <c r="BD973" s="1061"/>
      <c r="BE973" s="1061"/>
      <c r="BF973" s="1061"/>
      <c r="BG973" s="1061"/>
      <c r="BH973" s="1061"/>
      <c r="BI973" s="1061"/>
      <c r="BJ973" s="1061"/>
      <c r="BK973" s="1061"/>
      <c r="BL973" s="1061"/>
      <c r="BM973" s="1061"/>
      <c r="BN973" s="1061"/>
      <c r="BO973" s="1061"/>
      <c r="BP973" s="1061"/>
      <c r="BQ973" s="1061"/>
      <c r="BR973" s="1061"/>
      <c r="BS973" s="1061"/>
      <c r="BT973" s="1061"/>
      <c r="BU973" s="1061"/>
      <c r="BV973" s="1061"/>
      <c r="BW973" s="1061"/>
      <c r="BX973" s="1061"/>
      <c r="BY973" s="1061"/>
      <c r="BZ973" s="1061"/>
      <c r="CA973" s="1061"/>
      <c r="CB973" s="1061"/>
      <c r="CC973" s="1061"/>
      <c r="CD973" s="1061"/>
      <c r="CE973" s="1061"/>
      <c r="CF973" s="1061"/>
      <c r="CG973" s="1061"/>
      <c r="CH973" s="1061"/>
      <c r="CI973" s="1061"/>
      <c r="CJ973" s="1061"/>
      <c r="CK973" s="1061"/>
      <c r="CL973" s="1061"/>
    </row>
    <row r="974" spans="1:90" s="1061" customFormat="1" ht="15" customHeight="1">
      <c r="A974" s="417">
        <v>98</v>
      </c>
      <c r="B974" s="417" t="s">
        <v>207</v>
      </c>
      <c r="C974" s="2" t="s">
        <v>203</v>
      </c>
      <c r="D974" s="2" t="s">
        <v>2874</v>
      </c>
      <c r="E974" s="3">
        <v>1999</v>
      </c>
      <c r="F974" s="4" t="s">
        <v>2758</v>
      </c>
      <c r="G974" s="4">
        <f t="shared" si="121"/>
        <v>0.67</v>
      </c>
      <c r="H974" s="4">
        <f t="shared" si="122"/>
        <v>0.59</v>
      </c>
      <c r="I974" s="4">
        <f t="shared" si="118"/>
        <v>0.5</v>
      </c>
      <c r="J974" s="4">
        <f t="shared" si="119"/>
        <v>0.42</v>
      </c>
      <c r="K974" s="4">
        <f t="shared" si="123"/>
        <v>0.36</v>
      </c>
      <c r="L974" s="441">
        <v>0.05</v>
      </c>
      <c r="M974" s="2" t="s">
        <v>326</v>
      </c>
      <c r="N974" s="443">
        <v>0.05</v>
      </c>
      <c r="O974" s="296">
        <v>6.0000000000000001E-3</v>
      </c>
      <c r="P974" s="296"/>
      <c r="Q974" s="444"/>
      <c r="R974" s="633" t="str">
        <f t="shared" si="117"/>
        <v>선보</v>
      </c>
      <c r="S974" s="633" t="s">
        <v>2870</v>
      </c>
      <c r="T974" s="633" t="str">
        <f t="shared" si="124"/>
        <v>N</v>
      </c>
      <c r="U974" s="633">
        <v>0</v>
      </c>
      <c r="V974" s="633">
        <v>0</v>
      </c>
      <c r="W974" s="633">
        <v>0</v>
      </c>
      <c r="X974" s="633" t="s">
        <v>2747</v>
      </c>
      <c r="Y974" s="633" t="s">
        <v>2731</v>
      </c>
      <c r="Z974" s="296"/>
      <c r="AA974" s="633" t="s">
        <v>2776</v>
      </c>
      <c r="AB974" s="1" t="s">
        <v>2731</v>
      </c>
      <c r="AC974" s="736"/>
      <c r="AD974" s="1"/>
      <c r="AE974" s="1"/>
      <c r="AF974" s="1" t="s">
        <v>2731</v>
      </c>
      <c r="AG974" s="1"/>
      <c r="AH974" s="1"/>
      <c r="AI974" s="1" t="s">
        <v>3081</v>
      </c>
      <c r="AJ974" s="1091"/>
      <c r="AK974" s="1" t="s">
        <v>2949</v>
      </c>
      <c r="AL974" s="736"/>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c r="BP974" s="1"/>
      <c r="BQ974" s="1"/>
      <c r="BR974" s="1"/>
      <c r="BS974" s="1"/>
      <c r="BT974" s="1"/>
      <c r="BU974" s="1"/>
      <c r="BV974" s="1"/>
      <c r="BW974" s="1"/>
      <c r="BX974" s="1"/>
      <c r="BY974" s="1"/>
      <c r="BZ974" s="1"/>
      <c r="CA974" s="1"/>
      <c r="CB974" s="1"/>
      <c r="CC974" s="1"/>
      <c r="CD974" s="1"/>
      <c r="CE974" s="1"/>
      <c r="CF974" s="1"/>
      <c r="CG974" s="1"/>
      <c r="CH974" s="1"/>
      <c r="CI974" s="1"/>
      <c r="CJ974" s="1"/>
      <c r="CK974" s="1"/>
      <c r="CL974" s="1"/>
    </row>
    <row r="975" spans="1:90" ht="15" customHeight="1">
      <c r="A975" s="417">
        <v>99</v>
      </c>
      <c r="B975" s="1123" t="s">
        <v>207</v>
      </c>
      <c r="C975" s="973" t="s">
        <v>203</v>
      </c>
      <c r="D975" s="973" t="s">
        <v>2875</v>
      </c>
      <c r="E975" s="974">
        <v>1999</v>
      </c>
      <c r="F975" s="975" t="s">
        <v>2745</v>
      </c>
      <c r="G975" s="975">
        <f t="shared" ref="G975" si="125">+INDEX($BD$4:$CK$8,MATCH($G$3,$BC$4:$BC$8,0),MATCH(M975,$BD$3:$CK$3,0))</f>
        <v>0.71</v>
      </c>
      <c r="H975" s="975">
        <f t="shared" ref="H975" si="126">+INDEX($BD$4:$CK$8,MATCH($H$3,$BC$4:$BC$8,0),MATCH(M975,$BD$3:$CK$3,0))</f>
        <v>0.63</v>
      </c>
      <c r="I975" s="975">
        <f t="shared" ref="I975" si="127">+INDEX($BD$4:$CK$8,MATCH($I$3,$BC$4:$BC$8,0),MATCH(M975,$BD$3:$CK$3,0))</f>
        <v>0.54</v>
      </c>
      <c r="J975" s="975">
        <f t="shared" ref="J975" si="128">+INDEX($BD$4:$CK$8,MATCH($J$3,$BC$4:$BC$8,0),MATCH(M975,$BD$3:$CK$3,0))</f>
        <v>0.46</v>
      </c>
      <c r="K975" s="975">
        <f t="shared" ref="K975" si="129">+INDEX($BD$4:$CK$8,MATCH($K$3,$BC$4:$BC$8,0),MATCH(M975,$BD$3:$CK$3,0))</f>
        <v>0.4</v>
      </c>
      <c r="L975" s="1076">
        <v>0.05</v>
      </c>
      <c r="M975" s="973" t="s">
        <v>3076</v>
      </c>
      <c r="N975" s="1077">
        <v>0.05</v>
      </c>
      <c r="O975" s="1078">
        <v>6.0000000000000001E-3</v>
      </c>
      <c r="P975" s="1078"/>
      <c r="Q975" s="1079"/>
      <c r="R975" s="1080" t="str">
        <f t="shared" si="117"/>
        <v>선보</v>
      </c>
      <c r="S975" s="1080" t="s">
        <v>2870</v>
      </c>
      <c r="T975" s="1080" t="str">
        <f t="shared" si="124"/>
        <v>N</v>
      </c>
      <c r="U975" s="1080">
        <v>0</v>
      </c>
      <c r="V975" s="1080">
        <v>0</v>
      </c>
      <c r="W975" s="1080">
        <v>0</v>
      </c>
      <c r="X975" s="1080" t="s">
        <v>2747</v>
      </c>
      <c r="Y975" s="1080" t="s">
        <v>2731</v>
      </c>
      <c r="Z975" s="1078"/>
      <c r="AA975" s="1080" t="s">
        <v>2768</v>
      </c>
      <c r="AB975" s="1061" t="s">
        <v>2731</v>
      </c>
      <c r="AC975" s="1082"/>
      <c r="AD975" s="1061"/>
      <c r="AE975" s="1061"/>
      <c r="AF975" s="1061" t="s">
        <v>2731</v>
      </c>
      <c r="AG975" s="1061" t="s">
        <v>2587</v>
      </c>
      <c r="AH975" s="1061"/>
      <c r="AI975" s="1061" t="s">
        <v>3081</v>
      </c>
      <c r="AJ975" s="1061" t="s">
        <v>2664</v>
      </c>
      <c r="AK975" s="1061" t="s">
        <v>587</v>
      </c>
      <c r="AL975" s="736"/>
      <c r="AM975" s="1061"/>
      <c r="AN975" s="1061"/>
      <c r="AO975" s="1061"/>
      <c r="AP975" s="1061"/>
      <c r="AQ975" s="1061"/>
      <c r="AR975" s="1061"/>
      <c r="AS975" s="1061"/>
      <c r="AT975" s="1061"/>
      <c r="AU975" s="1061"/>
      <c r="AV975" s="1061"/>
      <c r="AW975" s="1061"/>
      <c r="AX975" s="1061"/>
      <c r="AY975" s="1061"/>
      <c r="AZ975" s="1061"/>
      <c r="BA975" s="1061"/>
      <c r="BB975" s="1061"/>
      <c r="BC975" s="1061"/>
      <c r="BD975" s="1061"/>
      <c r="BE975" s="1061"/>
      <c r="BF975" s="1061"/>
      <c r="BG975" s="1061"/>
      <c r="BH975" s="1061"/>
      <c r="BI975" s="1061"/>
      <c r="BJ975" s="1061"/>
      <c r="BK975" s="1061"/>
      <c r="BL975" s="1061"/>
      <c r="BM975" s="1061"/>
      <c r="BN975" s="1061"/>
      <c r="BO975" s="1061"/>
      <c r="BP975" s="1061"/>
      <c r="BQ975" s="1061"/>
      <c r="BR975" s="1061"/>
      <c r="BS975" s="1061"/>
      <c r="BT975" s="1061"/>
      <c r="BU975" s="1061"/>
      <c r="BV975" s="1061"/>
      <c r="BW975" s="1061"/>
      <c r="BX975" s="1061"/>
      <c r="BY975" s="1061"/>
      <c r="BZ975" s="1061"/>
      <c r="CA975" s="1061"/>
      <c r="CB975" s="1061"/>
      <c r="CC975" s="1061"/>
      <c r="CD975" s="1061"/>
      <c r="CE975" s="1061"/>
      <c r="CF975" s="1061"/>
      <c r="CG975" s="1061"/>
      <c r="CH975" s="1061"/>
      <c r="CI975" s="1061"/>
      <c r="CJ975" s="1061"/>
      <c r="CK975" s="1061"/>
      <c r="CL975" s="1061"/>
    </row>
    <row r="976" spans="1:90" ht="15" customHeight="1">
      <c r="A976" s="417">
        <v>100</v>
      </c>
      <c r="B976" s="1123" t="s">
        <v>207</v>
      </c>
      <c r="C976" s="973" t="s">
        <v>203</v>
      </c>
      <c r="D976" s="973" t="s">
        <v>2876</v>
      </c>
      <c r="E976" s="974">
        <v>1598</v>
      </c>
      <c r="F976" s="975" t="s">
        <v>2745</v>
      </c>
      <c r="G976" s="975">
        <f t="shared" si="121"/>
        <v>0.73</v>
      </c>
      <c r="H976" s="975">
        <f t="shared" si="122"/>
        <v>0.65</v>
      </c>
      <c r="I976" s="975">
        <f t="shared" si="118"/>
        <v>0.56000000000000005</v>
      </c>
      <c r="J976" s="975">
        <f t="shared" si="119"/>
        <v>0.48</v>
      </c>
      <c r="K976" s="975">
        <f t="shared" si="123"/>
        <v>0.42</v>
      </c>
      <c r="L976" s="1076">
        <v>0.05</v>
      </c>
      <c r="M976" s="973" t="s">
        <v>678</v>
      </c>
      <c r="N976" s="1077">
        <v>0.05</v>
      </c>
      <c r="O976" s="1078">
        <v>6.0000000000000001E-3</v>
      </c>
      <c r="P976" s="1078"/>
      <c r="Q976" s="1079"/>
      <c r="R976" s="1080" t="str">
        <f t="shared" si="117"/>
        <v>선보</v>
      </c>
      <c r="S976" s="1080" t="s">
        <v>2870</v>
      </c>
      <c r="T976" s="1080" t="str">
        <f t="shared" si="124"/>
        <v>N</v>
      </c>
      <c r="U976" s="1080">
        <v>0</v>
      </c>
      <c r="V976" s="1080">
        <v>0</v>
      </c>
      <c r="W976" s="1080">
        <v>0</v>
      </c>
      <c r="X976" s="1080" t="s">
        <v>2747</v>
      </c>
      <c r="Y976" s="1080" t="s">
        <v>2731</v>
      </c>
      <c r="Z976" s="1078"/>
      <c r="AA976" s="1080" t="s">
        <v>2768</v>
      </c>
      <c r="AB976" s="1061" t="s">
        <v>2731</v>
      </c>
      <c r="AC976" s="1082"/>
      <c r="AD976" s="1061"/>
      <c r="AE976" s="1061"/>
      <c r="AF976" s="1061" t="s">
        <v>2731</v>
      </c>
      <c r="AG976" s="1061"/>
      <c r="AH976" s="1061"/>
      <c r="AI976" s="1061" t="s">
        <v>3081</v>
      </c>
      <c r="AJ976" s="1061"/>
      <c r="AK976" s="1061" t="s">
        <v>587</v>
      </c>
      <c r="AL976" s="736"/>
      <c r="AM976" s="1061"/>
      <c r="AN976" s="1061"/>
      <c r="AO976" s="1061"/>
      <c r="AP976" s="1061"/>
      <c r="AQ976" s="1061"/>
      <c r="AR976" s="1061"/>
      <c r="AS976" s="1061"/>
      <c r="AT976" s="1061"/>
      <c r="AU976" s="1061"/>
      <c r="AV976" s="1061"/>
      <c r="AW976" s="1061"/>
      <c r="AX976" s="1061"/>
      <c r="AY976" s="1061"/>
      <c r="AZ976" s="1061"/>
      <c r="BA976" s="1061"/>
      <c r="BB976" s="1061"/>
      <c r="BC976" s="1061"/>
      <c r="BD976" s="1061"/>
      <c r="BE976" s="1061"/>
      <c r="BF976" s="1061"/>
      <c r="BG976" s="1061"/>
      <c r="BH976" s="1061"/>
      <c r="BI976" s="1061"/>
      <c r="BJ976" s="1061"/>
      <c r="BK976" s="1061"/>
      <c r="BL976" s="1061"/>
      <c r="BM976" s="1061"/>
      <c r="BN976" s="1061"/>
      <c r="BO976" s="1061"/>
      <c r="BP976" s="1061"/>
      <c r="BQ976" s="1061"/>
      <c r="BR976" s="1061"/>
      <c r="BS976" s="1061"/>
      <c r="BT976" s="1061"/>
      <c r="BU976" s="1061"/>
      <c r="BV976" s="1061"/>
      <c r="BW976" s="1061"/>
      <c r="BX976" s="1061"/>
      <c r="BY976" s="1061"/>
      <c r="BZ976" s="1061"/>
      <c r="CA976" s="1061"/>
      <c r="CB976" s="1061"/>
      <c r="CC976" s="1061"/>
      <c r="CD976" s="1061"/>
      <c r="CE976" s="1061"/>
      <c r="CF976" s="1061"/>
      <c r="CG976" s="1061"/>
      <c r="CH976" s="1061"/>
      <c r="CI976" s="1061"/>
      <c r="CJ976" s="1061"/>
      <c r="CK976" s="1061"/>
      <c r="CL976" s="1061"/>
    </row>
    <row r="977" spans="1:90" ht="15" customHeight="1">
      <c r="A977" s="417">
        <v>101</v>
      </c>
      <c r="B977" s="417" t="s">
        <v>207</v>
      </c>
      <c r="C977" s="2" t="s">
        <v>203</v>
      </c>
      <c r="D977" s="2" t="s">
        <v>2877</v>
      </c>
      <c r="E977" s="3">
        <v>2497</v>
      </c>
      <c r="F977" s="4" t="s">
        <v>2758</v>
      </c>
      <c r="G977" s="4">
        <f t="shared" si="121"/>
        <v>0.79</v>
      </c>
      <c r="H977" s="4">
        <f t="shared" si="122"/>
        <v>0.71</v>
      </c>
      <c r="I977" s="4">
        <f t="shared" si="118"/>
        <v>0.62</v>
      </c>
      <c r="J977" s="4">
        <f t="shared" si="119"/>
        <v>0.54</v>
      </c>
      <c r="K977" s="4">
        <f t="shared" si="123"/>
        <v>0.48</v>
      </c>
      <c r="L977" s="441">
        <v>0</v>
      </c>
      <c r="M977" s="2" t="s">
        <v>679</v>
      </c>
      <c r="N977" s="443">
        <v>0.05</v>
      </c>
      <c r="O977" s="296">
        <v>6.0000000000000001E-3</v>
      </c>
      <c r="P977" s="296"/>
      <c r="Q977" s="444"/>
      <c r="R977" s="633" t="str">
        <f t="shared" si="117"/>
        <v>선보</v>
      </c>
      <c r="S977" s="633" t="s">
        <v>2870</v>
      </c>
      <c r="T977" s="633" t="str">
        <f t="shared" si="124"/>
        <v>N</v>
      </c>
      <c r="U977" s="633">
        <v>0</v>
      </c>
      <c r="V977" s="633">
        <v>0</v>
      </c>
      <c r="W977" s="633">
        <v>0</v>
      </c>
      <c r="X977" s="633" t="s">
        <v>2747</v>
      </c>
      <c r="Y977" s="633" t="s">
        <v>2731</v>
      </c>
      <c r="Z977" s="296"/>
      <c r="AA977" s="633" t="s">
        <v>2737</v>
      </c>
      <c r="AB977" s="1" t="s">
        <v>2731</v>
      </c>
      <c r="AC977" s="736"/>
      <c r="AF977" s="1" t="s">
        <v>2731</v>
      </c>
      <c r="AI977" s="1" t="s">
        <v>3090</v>
      </c>
      <c r="AJ977" s="1091"/>
      <c r="AK977" s="1" t="s">
        <v>2965</v>
      </c>
      <c r="AL977" s="736"/>
    </row>
    <row r="978" spans="1:90" ht="15" customHeight="1">
      <c r="A978" s="417">
        <v>102</v>
      </c>
      <c r="B978" s="417" t="s">
        <v>207</v>
      </c>
      <c r="C978" s="2" t="s">
        <v>203</v>
      </c>
      <c r="D978" s="2" t="s">
        <v>2878</v>
      </c>
      <c r="E978" s="3">
        <v>3470</v>
      </c>
      <c r="F978" s="4" t="s">
        <v>2758</v>
      </c>
      <c r="G978" s="4">
        <f t="shared" si="121"/>
        <v>0.7</v>
      </c>
      <c r="H978" s="4">
        <f t="shared" si="122"/>
        <v>0.62</v>
      </c>
      <c r="I978" s="4">
        <f t="shared" si="118"/>
        <v>0.53</v>
      </c>
      <c r="J978" s="4">
        <f t="shared" si="119"/>
        <v>0.45</v>
      </c>
      <c r="K978" s="4">
        <f t="shared" si="123"/>
        <v>0.39</v>
      </c>
      <c r="L978" s="441">
        <v>0.05</v>
      </c>
      <c r="M978" s="2" t="s">
        <v>680</v>
      </c>
      <c r="N978" s="443">
        <v>0.05</v>
      </c>
      <c r="O978" s="296">
        <v>6.0000000000000001E-3</v>
      </c>
      <c r="P978" s="296"/>
      <c r="Q978" s="444"/>
      <c r="R978" s="633" t="str">
        <f t="shared" si="117"/>
        <v>선보</v>
      </c>
      <c r="S978" s="633" t="s">
        <v>2870</v>
      </c>
      <c r="T978" s="633" t="str">
        <f t="shared" si="124"/>
        <v>N</v>
      </c>
      <c r="U978" s="633">
        <v>0</v>
      </c>
      <c r="V978" s="633">
        <v>0</v>
      </c>
      <c r="W978" s="633">
        <v>0</v>
      </c>
      <c r="X978" s="633" t="s">
        <v>2747</v>
      </c>
      <c r="Y978" s="633" t="s">
        <v>2731</v>
      </c>
      <c r="Z978" s="296"/>
      <c r="AA978" s="633" t="s">
        <v>2737</v>
      </c>
      <c r="AB978" s="1" t="s">
        <v>2731</v>
      </c>
      <c r="AC978" s="736"/>
      <c r="AF978" s="1" t="s">
        <v>2731</v>
      </c>
      <c r="AI978" s="1" t="s">
        <v>3090</v>
      </c>
      <c r="AJ978" s="1091"/>
      <c r="AK978" s="1" t="s">
        <v>2949</v>
      </c>
      <c r="AL978" s="736"/>
    </row>
    <row r="979" spans="1:90" ht="15" customHeight="1">
      <c r="A979" s="417">
        <v>103</v>
      </c>
      <c r="B979" s="417" t="s">
        <v>207</v>
      </c>
      <c r="C979" s="2" t="s">
        <v>203</v>
      </c>
      <c r="D979" s="2" t="s">
        <v>2879</v>
      </c>
      <c r="E979" s="3">
        <v>3470</v>
      </c>
      <c r="F979" s="4" t="s">
        <v>2758</v>
      </c>
      <c r="G979" s="4">
        <f t="shared" si="121"/>
        <v>0.72</v>
      </c>
      <c r="H979" s="4">
        <f t="shared" si="122"/>
        <v>0.64</v>
      </c>
      <c r="I979" s="4">
        <f t="shared" si="118"/>
        <v>0.55000000000000004</v>
      </c>
      <c r="J979" s="4">
        <f t="shared" si="119"/>
        <v>0.47</v>
      </c>
      <c r="K979" s="4">
        <f t="shared" si="123"/>
        <v>0.41</v>
      </c>
      <c r="L979" s="441">
        <v>0.05</v>
      </c>
      <c r="M979" s="2" t="s">
        <v>681</v>
      </c>
      <c r="N979" s="443">
        <v>0.05</v>
      </c>
      <c r="O979" s="296">
        <v>6.0000000000000001E-3</v>
      </c>
      <c r="P979" s="296"/>
      <c r="Q979" s="444"/>
      <c r="R979" s="633" t="str">
        <f t="shared" si="117"/>
        <v>선보</v>
      </c>
      <c r="S979" s="633" t="s">
        <v>2870</v>
      </c>
      <c r="T979" s="633" t="str">
        <f t="shared" si="124"/>
        <v>N</v>
      </c>
      <c r="U979" s="633">
        <v>0</v>
      </c>
      <c r="V979" s="633">
        <v>0</v>
      </c>
      <c r="W979" s="633">
        <v>0</v>
      </c>
      <c r="X979" s="633" t="s">
        <v>2747</v>
      </c>
      <c r="Y979" s="633" t="s">
        <v>2731</v>
      </c>
      <c r="Z979" s="296"/>
      <c r="AA979" s="633" t="s">
        <v>2776</v>
      </c>
      <c r="AB979" s="1" t="s">
        <v>2731</v>
      </c>
      <c r="AC979" s="736"/>
      <c r="AF979" s="1" t="s">
        <v>2731</v>
      </c>
      <c r="AI979" s="1" t="s">
        <v>3090</v>
      </c>
      <c r="AJ979" s="1091"/>
      <c r="AK979" s="1" t="s">
        <v>2949</v>
      </c>
      <c r="AL979" s="736"/>
    </row>
    <row r="980" spans="1:90" ht="15" customHeight="1">
      <c r="A980" s="417">
        <v>104</v>
      </c>
      <c r="B980" s="417" t="s">
        <v>207</v>
      </c>
      <c r="C980" s="2" t="s">
        <v>203</v>
      </c>
      <c r="D980" s="2" t="s">
        <v>2880</v>
      </c>
      <c r="E980" s="3">
        <v>2497</v>
      </c>
      <c r="F980" s="4" t="s">
        <v>2758</v>
      </c>
      <c r="G980" s="4">
        <f t="shared" si="121"/>
        <v>0.67</v>
      </c>
      <c r="H980" s="4">
        <f t="shared" si="122"/>
        <v>0.59</v>
      </c>
      <c r="I980" s="4">
        <f t="shared" si="118"/>
        <v>0.5</v>
      </c>
      <c r="J980" s="4">
        <f t="shared" si="119"/>
        <v>0.42</v>
      </c>
      <c r="K980" s="4">
        <f t="shared" si="123"/>
        <v>0.36</v>
      </c>
      <c r="L980" s="441">
        <v>0.05</v>
      </c>
      <c r="M980" s="2" t="s">
        <v>326</v>
      </c>
      <c r="N980" s="443">
        <v>0.05</v>
      </c>
      <c r="O980" s="296">
        <v>6.0000000000000001E-3</v>
      </c>
      <c r="P980" s="296"/>
      <c r="Q980" s="444"/>
      <c r="R980" s="633" t="str">
        <f t="shared" si="117"/>
        <v>유림로지스</v>
      </c>
      <c r="S980" s="633" t="s">
        <v>2881</v>
      </c>
      <c r="T980" s="633" t="str">
        <f t="shared" si="124"/>
        <v>N</v>
      </c>
      <c r="U980" s="633">
        <v>0</v>
      </c>
      <c r="V980" s="633">
        <v>0</v>
      </c>
      <c r="W980" s="633">
        <v>0</v>
      </c>
      <c r="X980" s="633" t="s">
        <v>2747</v>
      </c>
      <c r="Y980" s="633" t="s">
        <v>2731</v>
      </c>
      <c r="Z980" s="296"/>
      <c r="AA980" s="633" t="s">
        <v>2737</v>
      </c>
      <c r="AB980" s="1" t="s">
        <v>2731</v>
      </c>
      <c r="AC980" s="736"/>
      <c r="AF980" s="1" t="s">
        <v>2731</v>
      </c>
      <c r="AI980" s="1" t="s">
        <v>3090</v>
      </c>
      <c r="AJ980" s="1091"/>
      <c r="AK980" s="1" t="s">
        <v>2947</v>
      </c>
      <c r="AL980" s="736"/>
    </row>
    <row r="981" spans="1:90" ht="15" customHeight="1">
      <c r="A981" s="417">
        <v>105</v>
      </c>
      <c r="B981" s="417" t="s">
        <v>207</v>
      </c>
      <c r="C981" s="2" t="s">
        <v>203</v>
      </c>
      <c r="D981" s="2" t="s">
        <v>2882</v>
      </c>
      <c r="E981" s="3">
        <v>3342</v>
      </c>
      <c r="F981" s="4" t="s">
        <v>2758</v>
      </c>
      <c r="G981" s="4">
        <f t="shared" si="121"/>
        <v>0.67</v>
      </c>
      <c r="H981" s="4">
        <f t="shared" si="122"/>
        <v>0.59</v>
      </c>
      <c r="I981" s="4">
        <f t="shared" si="118"/>
        <v>0.5</v>
      </c>
      <c r="J981" s="4">
        <f t="shared" si="119"/>
        <v>0.42</v>
      </c>
      <c r="K981" s="4">
        <f t="shared" si="123"/>
        <v>0.36</v>
      </c>
      <c r="L981" s="441">
        <v>0.05</v>
      </c>
      <c r="M981" s="2" t="s">
        <v>326</v>
      </c>
      <c r="N981" s="443">
        <v>0.05</v>
      </c>
      <c r="O981" s="296">
        <v>6.0000000000000001E-3</v>
      </c>
      <c r="P981" s="296"/>
      <c r="Q981" s="444"/>
      <c r="R981" s="633" t="str">
        <f t="shared" si="117"/>
        <v>유림로지스</v>
      </c>
      <c r="S981" s="633" t="s">
        <v>2881</v>
      </c>
      <c r="T981" s="633" t="str">
        <f t="shared" si="124"/>
        <v>N</v>
      </c>
      <c r="U981" s="633">
        <v>0</v>
      </c>
      <c r="V981" s="633">
        <v>0</v>
      </c>
      <c r="W981" s="633">
        <v>0</v>
      </c>
      <c r="X981" s="633" t="s">
        <v>2747</v>
      </c>
      <c r="Y981" s="633" t="s">
        <v>2731</v>
      </c>
      <c r="Z981" s="296"/>
      <c r="AA981" s="633" t="s">
        <v>2737</v>
      </c>
      <c r="AB981" s="1" t="s">
        <v>2731</v>
      </c>
      <c r="AC981" s="736"/>
      <c r="AF981" s="1" t="s">
        <v>2731</v>
      </c>
      <c r="AI981" s="1" t="s">
        <v>3090</v>
      </c>
      <c r="AJ981" s="1091"/>
      <c r="AK981" s="1" t="s">
        <v>612</v>
      </c>
      <c r="AL981" s="736"/>
    </row>
    <row r="982" spans="1:90" ht="15" customHeight="1">
      <c r="A982" s="417">
        <v>106</v>
      </c>
      <c r="B982" s="417" t="s">
        <v>207</v>
      </c>
      <c r="C982" s="2" t="s">
        <v>203</v>
      </c>
      <c r="D982" s="2" t="s">
        <v>2883</v>
      </c>
      <c r="E982" s="3">
        <v>3778</v>
      </c>
      <c r="F982" s="4" t="s">
        <v>2758</v>
      </c>
      <c r="G982" s="4">
        <f t="shared" si="121"/>
        <v>0.67</v>
      </c>
      <c r="H982" s="4">
        <f t="shared" si="122"/>
        <v>0.59</v>
      </c>
      <c r="I982" s="4">
        <f t="shared" si="118"/>
        <v>0.5</v>
      </c>
      <c r="J982" s="4">
        <f t="shared" si="119"/>
        <v>0.42</v>
      </c>
      <c r="K982" s="4">
        <f t="shared" si="123"/>
        <v>0.36</v>
      </c>
      <c r="L982" s="441">
        <v>0.05</v>
      </c>
      <c r="M982" s="2" t="s">
        <v>326</v>
      </c>
      <c r="N982" s="443">
        <v>0.05</v>
      </c>
      <c r="O982" s="296">
        <v>6.0000000000000001E-3</v>
      </c>
      <c r="P982" s="296"/>
      <c r="Q982" s="444"/>
      <c r="R982" s="633" t="str">
        <f t="shared" si="117"/>
        <v>유림로지스</v>
      </c>
      <c r="S982" s="633" t="s">
        <v>2881</v>
      </c>
      <c r="T982" s="633" t="str">
        <f t="shared" si="124"/>
        <v>N</v>
      </c>
      <c r="U982" s="633">
        <v>0</v>
      </c>
      <c r="V982" s="633">
        <v>0</v>
      </c>
      <c r="W982" s="633">
        <v>0</v>
      </c>
      <c r="X982" s="633" t="s">
        <v>2884</v>
      </c>
      <c r="Y982" s="633" t="s">
        <v>2731</v>
      </c>
      <c r="Z982" s="296"/>
      <c r="AA982" s="633" t="s">
        <v>2737</v>
      </c>
      <c r="AB982" s="1" t="s">
        <v>2731</v>
      </c>
      <c r="AC982" s="736"/>
      <c r="AF982" s="1" t="s">
        <v>2731</v>
      </c>
      <c r="AI982" s="1" t="s">
        <v>3090</v>
      </c>
      <c r="AJ982" s="1091"/>
      <c r="AK982" s="1" t="s">
        <v>612</v>
      </c>
      <c r="AL982" s="736"/>
    </row>
    <row r="983" spans="1:90" ht="15" customHeight="1">
      <c r="A983" s="417">
        <v>107</v>
      </c>
      <c r="B983" s="417" t="s">
        <v>207</v>
      </c>
      <c r="C983" s="2" t="s">
        <v>203</v>
      </c>
      <c r="D983" s="2" t="s">
        <v>2885</v>
      </c>
      <c r="E983" s="3">
        <v>3342</v>
      </c>
      <c r="F983" s="4" t="s">
        <v>2758</v>
      </c>
      <c r="G983" s="4">
        <f t="shared" si="121"/>
        <v>0.67</v>
      </c>
      <c r="H983" s="4">
        <f t="shared" si="122"/>
        <v>0.59</v>
      </c>
      <c r="I983" s="4">
        <f t="shared" si="118"/>
        <v>0.5</v>
      </c>
      <c r="J983" s="4">
        <f t="shared" si="119"/>
        <v>0.42</v>
      </c>
      <c r="K983" s="4">
        <f t="shared" si="123"/>
        <v>0.36</v>
      </c>
      <c r="L983" s="441">
        <v>0.05</v>
      </c>
      <c r="M983" s="2" t="s">
        <v>326</v>
      </c>
      <c r="N983" s="443">
        <v>0.05</v>
      </c>
      <c r="O983" s="296">
        <v>6.0000000000000001E-3</v>
      </c>
      <c r="P983" s="296"/>
      <c r="Q983" s="444"/>
      <c r="R983" s="633" t="str">
        <f t="shared" si="117"/>
        <v>유림로지스</v>
      </c>
      <c r="S983" s="633" t="s">
        <v>2881</v>
      </c>
      <c r="T983" s="633" t="str">
        <f t="shared" si="124"/>
        <v>N</v>
      </c>
      <c r="U983" s="633">
        <v>0</v>
      </c>
      <c r="V983" s="633">
        <v>0</v>
      </c>
      <c r="W983" s="633">
        <v>0</v>
      </c>
      <c r="X983" s="633" t="s">
        <v>2884</v>
      </c>
      <c r="Y983" s="633" t="s">
        <v>2731</v>
      </c>
      <c r="Z983" s="296"/>
      <c r="AA983" s="633" t="s">
        <v>2737</v>
      </c>
      <c r="AB983" s="1" t="s">
        <v>2731</v>
      </c>
      <c r="AC983" s="736"/>
      <c r="AF983" s="1" t="s">
        <v>2731</v>
      </c>
      <c r="AI983" s="1" t="s">
        <v>3090</v>
      </c>
      <c r="AJ983" s="1091"/>
      <c r="AK983" s="1" t="s">
        <v>612</v>
      </c>
      <c r="AL983" s="736"/>
    </row>
    <row r="984" spans="1:90" ht="15" customHeight="1">
      <c r="A984" s="417">
        <v>108</v>
      </c>
      <c r="B984" s="417" t="s">
        <v>207</v>
      </c>
      <c r="C984" s="2" t="s">
        <v>203</v>
      </c>
      <c r="D984" s="2" t="s">
        <v>2886</v>
      </c>
      <c r="E984" s="3">
        <v>5038</v>
      </c>
      <c r="F984" s="4" t="s">
        <v>2758</v>
      </c>
      <c r="G984" s="4">
        <f t="shared" si="121"/>
        <v>0.59</v>
      </c>
      <c r="H984" s="4">
        <f t="shared" si="122"/>
        <v>0.51</v>
      </c>
      <c r="I984" s="4">
        <f t="shared" si="118"/>
        <v>0.42</v>
      </c>
      <c r="J984" s="4">
        <f t="shared" si="119"/>
        <v>0.34</v>
      </c>
      <c r="K984" s="4">
        <f t="shared" si="123"/>
        <v>0.28000000000000003</v>
      </c>
      <c r="L984" s="441">
        <v>0.05</v>
      </c>
      <c r="M984" s="2" t="s">
        <v>330</v>
      </c>
      <c r="N984" s="443">
        <v>0.05</v>
      </c>
      <c r="O984" s="296">
        <v>6.0000000000000001E-3</v>
      </c>
      <c r="P984" s="296"/>
      <c r="Q984" s="444"/>
      <c r="R984" s="633" t="str">
        <f t="shared" si="117"/>
        <v>유림로지스</v>
      </c>
      <c r="S984" s="633" t="s">
        <v>2881</v>
      </c>
      <c r="T984" s="633" t="str">
        <f t="shared" si="124"/>
        <v>N</v>
      </c>
      <c r="U984" s="633">
        <v>0</v>
      </c>
      <c r="V984" s="633">
        <v>0</v>
      </c>
      <c r="W984" s="633">
        <v>0</v>
      </c>
      <c r="X984" s="633" t="s">
        <v>2884</v>
      </c>
      <c r="Y984" s="633" t="s">
        <v>2731</v>
      </c>
      <c r="Z984" s="296"/>
      <c r="AA984" s="633" t="s">
        <v>2737</v>
      </c>
      <c r="AB984" s="1" t="s">
        <v>2731</v>
      </c>
      <c r="AC984" s="736"/>
      <c r="AF984" s="1" t="s">
        <v>2731</v>
      </c>
      <c r="AI984" s="1" t="s">
        <v>3090</v>
      </c>
      <c r="AJ984" s="1091"/>
      <c r="AK984" s="1" t="s">
        <v>2966</v>
      </c>
      <c r="AL984" s="736"/>
    </row>
    <row r="985" spans="1:90" ht="15" customHeight="1">
      <c r="A985" s="417">
        <v>109</v>
      </c>
      <c r="B985" s="417" t="s">
        <v>207</v>
      </c>
      <c r="C985" s="2" t="s">
        <v>203</v>
      </c>
      <c r="D985" s="2" t="s">
        <v>2887</v>
      </c>
      <c r="E985" s="3">
        <v>1368</v>
      </c>
      <c r="F985" s="4" t="s">
        <v>2796</v>
      </c>
      <c r="G985" s="4">
        <f t="shared" si="121"/>
        <v>0.71</v>
      </c>
      <c r="H985" s="4">
        <f t="shared" si="122"/>
        <v>0.63</v>
      </c>
      <c r="I985" s="4">
        <f t="shared" si="118"/>
        <v>0.54</v>
      </c>
      <c r="J985" s="4">
        <f t="shared" si="119"/>
        <v>0.46</v>
      </c>
      <c r="K985" s="4">
        <f t="shared" si="123"/>
        <v>0.4</v>
      </c>
      <c r="L985" s="441">
        <v>0.05</v>
      </c>
      <c r="M985" s="2" t="s">
        <v>323</v>
      </c>
      <c r="N985" s="443">
        <v>0.05</v>
      </c>
      <c r="O985" s="296">
        <v>6.0000000000000001E-3</v>
      </c>
      <c r="P985" s="296"/>
      <c r="Q985" s="444"/>
      <c r="R985" s="633" t="str">
        <f t="shared" si="117"/>
        <v>선보</v>
      </c>
      <c r="S985" s="633" t="s">
        <v>2888</v>
      </c>
      <c r="T985" s="633" t="str">
        <f t="shared" si="124"/>
        <v>N</v>
      </c>
      <c r="U985" s="633">
        <v>0</v>
      </c>
      <c r="V985" s="633">
        <v>0</v>
      </c>
      <c r="W985" s="633">
        <v>0</v>
      </c>
      <c r="X985" s="633" t="s">
        <v>2747</v>
      </c>
      <c r="Y985" s="633" t="s">
        <v>2731</v>
      </c>
      <c r="Z985" s="296"/>
      <c r="AA985" s="633" t="s">
        <v>2737</v>
      </c>
      <c r="AB985" s="1" t="s">
        <v>2731</v>
      </c>
      <c r="AC985" s="736"/>
      <c r="AF985" s="1" t="s">
        <v>2731</v>
      </c>
      <c r="AI985" s="1" t="s">
        <v>3090</v>
      </c>
      <c r="AJ985" s="1091"/>
      <c r="AK985" s="1" t="s">
        <v>2967</v>
      </c>
      <c r="AL985" s="736"/>
    </row>
    <row r="986" spans="1:90" ht="15" customHeight="1">
      <c r="A986" s="417">
        <v>110</v>
      </c>
      <c r="B986" s="417" t="s">
        <v>207</v>
      </c>
      <c r="C986" s="2" t="s">
        <v>203</v>
      </c>
      <c r="D986" s="2" t="s">
        <v>2889</v>
      </c>
      <c r="E986" s="3">
        <v>998</v>
      </c>
      <c r="F986" s="4" t="s">
        <v>2796</v>
      </c>
      <c r="G986" s="4">
        <f t="shared" si="121"/>
        <v>0.71</v>
      </c>
      <c r="H986" s="4">
        <f t="shared" si="122"/>
        <v>0.63</v>
      </c>
      <c r="I986" s="4">
        <f t="shared" si="118"/>
        <v>0.54</v>
      </c>
      <c r="J986" s="4">
        <f t="shared" si="119"/>
        <v>0.46</v>
      </c>
      <c r="K986" s="4">
        <f t="shared" si="123"/>
        <v>0.4</v>
      </c>
      <c r="L986" s="441">
        <v>0.05</v>
      </c>
      <c r="M986" s="2" t="s">
        <v>323</v>
      </c>
      <c r="N986" s="443">
        <v>0.05</v>
      </c>
      <c r="O986" s="296">
        <v>6.0000000000000001E-3</v>
      </c>
      <c r="P986" s="296"/>
      <c r="Q986" s="444"/>
      <c r="R986" s="633" t="str">
        <f t="shared" si="117"/>
        <v>선보</v>
      </c>
      <c r="S986" s="633" t="s">
        <v>2888</v>
      </c>
      <c r="T986" s="633" t="str">
        <f t="shared" si="124"/>
        <v>N</v>
      </c>
      <c r="U986" s="633">
        <v>0</v>
      </c>
      <c r="V986" s="633">
        <v>0</v>
      </c>
      <c r="W986" s="633">
        <v>0</v>
      </c>
      <c r="X986" s="633" t="s">
        <v>2747</v>
      </c>
      <c r="Y986" s="633" t="s">
        <v>2731</v>
      </c>
      <c r="Z986" s="296"/>
      <c r="AA986" s="633" t="s">
        <v>2737</v>
      </c>
      <c r="AB986" s="1" t="s">
        <v>2731</v>
      </c>
      <c r="AC986" s="736"/>
      <c r="AF986" s="1" t="s">
        <v>2731</v>
      </c>
      <c r="AI986" s="1" t="s">
        <v>3090</v>
      </c>
      <c r="AJ986" s="1091"/>
      <c r="AK986" s="1" t="s">
        <v>612</v>
      </c>
      <c r="AL986" s="736"/>
    </row>
    <row r="987" spans="1:90" ht="15" customHeight="1">
      <c r="A987" s="417">
        <v>111</v>
      </c>
      <c r="B987" s="417" t="s">
        <v>207</v>
      </c>
      <c r="C987" s="2" t="s">
        <v>203</v>
      </c>
      <c r="D987" s="2" t="s">
        <v>2890</v>
      </c>
      <c r="E987" s="3">
        <v>1598</v>
      </c>
      <c r="F987" s="4" t="s">
        <v>2796</v>
      </c>
      <c r="G987" s="4">
        <f t="shared" si="121"/>
        <v>0.65</v>
      </c>
      <c r="H987" s="4">
        <f t="shared" si="122"/>
        <v>0.56999999999999995</v>
      </c>
      <c r="I987" s="4">
        <f t="shared" si="118"/>
        <v>0.48</v>
      </c>
      <c r="J987" s="4">
        <f t="shared" si="119"/>
        <v>0.4</v>
      </c>
      <c r="K987" s="4">
        <f t="shared" si="123"/>
        <v>0.34</v>
      </c>
      <c r="L987" s="441">
        <v>0.05</v>
      </c>
      <c r="M987" s="2" t="s">
        <v>328</v>
      </c>
      <c r="N987" s="443">
        <v>0.05</v>
      </c>
      <c r="O987" s="296">
        <v>6.0000000000000001E-3</v>
      </c>
      <c r="P987" s="296"/>
      <c r="Q987" s="444"/>
      <c r="R987" s="633" t="str">
        <f t="shared" si="117"/>
        <v>선보</v>
      </c>
      <c r="S987" s="633" t="s">
        <v>2888</v>
      </c>
      <c r="T987" s="633" t="str">
        <f t="shared" si="124"/>
        <v>N</v>
      </c>
      <c r="U987" s="633">
        <v>0</v>
      </c>
      <c r="V987" s="633">
        <v>0</v>
      </c>
      <c r="W987" s="633">
        <v>0</v>
      </c>
      <c r="X987" s="633" t="s">
        <v>2747</v>
      </c>
      <c r="Y987" s="633" t="s">
        <v>2731</v>
      </c>
      <c r="Z987" s="296"/>
      <c r="AA987" s="633" t="s">
        <v>2737</v>
      </c>
      <c r="AB987" s="1" t="s">
        <v>2731</v>
      </c>
      <c r="AC987" s="736"/>
      <c r="AF987" s="1" t="s">
        <v>2731</v>
      </c>
      <c r="AI987" s="1" t="s">
        <v>3090</v>
      </c>
      <c r="AJ987" s="1091"/>
      <c r="AK987" s="1" t="s">
        <v>612</v>
      </c>
      <c r="AL987" s="736"/>
    </row>
    <row r="988" spans="1:90" s="1061" customFormat="1" ht="15" customHeight="1">
      <c r="A988" s="417">
        <v>112</v>
      </c>
      <c r="B988" s="417" t="s">
        <v>207</v>
      </c>
      <c r="C988" s="2" t="s">
        <v>203</v>
      </c>
      <c r="D988" s="2" t="s">
        <v>2891</v>
      </c>
      <c r="E988" s="3">
        <v>1598</v>
      </c>
      <c r="F988" s="4" t="s">
        <v>2796</v>
      </c>
      <c r="G988" s="4">
        <f t="shared" si="121"/>
        <v>0.7</v>
      </c>
      <c r="H988" s="4">
        <f t="shared" si="122"/>
        <v>0.62</v>
      </c>
      <c r="I988" s="4">
        <f t="shared" ref="I988:I998" si="130">+INDEX($BD$4:$CK$8,MATCH($I$3,$BC$4:$BC$8,0),MATCH(M988,$BD$3:$CK$3,0))</f>
        <v>0.53</v>
      </c>
      <c r="J988" s="4">
        <f t="shared" ref="J988:J998" si="131">+INDEX($BD$4:$CK$8,MATCH($J$3,$BC$4:$BC$8,0),MATCH(M988,$BD$3:$CK$3,0))</f>
        <v>0.45</v>
      </c>
      <c r="K988" s="4">
        <f t="shared" si="123"/>
        <v>0.39</v>
      </c>
      <c r="L988" s="441">
        <v>0.05</v>
      </c>
      <c r="M988" s="2" t="s">
        <v>324</v>
      </c>
      <c r="N988" s="443">
        <v>0.05</v>
      </c>
      <c r="O988" s="296">
        <v>6.0000000000000001E-3</v>
      </c>
      <c r="P988" s="296"/>
      <c r="Q988" s="444"/>
      <c r="R988" s="633" t="str">
        <f t="shared" si="117"/>
        <v>선보</v>
      </c>
      <c r="S988" s="633" t="s">
        <v>2888</v>
      </c>
      <c r="T988" s="633" t="str">
        <f t="shared" si="124"/>
        <v>N</v>
      </c>
      <c r="U988" s="633">
        <v>0</v>
      </c>
      <c r="V988" s="633">
        <v>0</v>
      </c>
      <c r="W988" s="633">
        <v>0</v>
      </c>
      <c r="X988" s="633" t="s">
        <v>2747</v>
      </c>
      <c r="Y988" s="633" t="s">
        <v>2731</v>
      </c>
      <c r="Z988" s="296"/>
      <c r="AA988" s="633" t="s">
        <v>2783</v>
      </c>
      <c r="AB988" s="1" t="s">
        <v>2731</v>
      </c>
      <c r="AC988" s="736"/>
      <c r="AD988" s="1"/>
      <c r="AE988" s="1"/>
      <c r="AF988" s="1" t="s">
        <v>2731</v>
      </c>
      <c r="AG988" s="1"/>
      <c r="AH988" s="1"/>
      <c r="AI988" s="1" t="s">
        <v>3090</v>
      </c>
      <c r="AJ988" s="1091"/>
      <c r="AK988" s="1" t="s">
        <v>2946</v>
      </c>
      <c r="AL988" s="736"/>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c r="BP988" s="1"/>
      <c r="BQ988" s="1"/>
      <c r="BR988" s="1"/>
      <c r="BS988" s="1"/>
      <c r="BT988" s="1"/>
      <c r="BU988" s="1"/>
      <c r="BV988" s="1"/>
      <c r="BW988" s="1"/>
      <c r="BX988" s="1"/>
      <c r="BY988" s="1"/>
      <c r="BZ988" s="1"/>
      <c r="CA988" s="1"/>
      <c r="CB988" s="1"/>
      <c r="CC988" s="1"/>
      <c r="CD988" s="1"/>
      <c r="CE988" s="1"/>
      <c r="CF988" s="1"/>
      <c r="CG988" s="1"/>
      <c r="CH988" s="1"/>
      <c r="CI988" s="1"/>
      <c r="CJ988" s="1"/>
      <c r="CK988" s="1"/>
      <c r="CL988" s="1"/>
    </row>
    <row r="989" spans="1:90" s="1061" customFormat="1" ht="15" customHeight="1">
      <c r="A989" s="417">
        <v>113</v>
      </c>
      <c r="B989" s="417" t="s">
        <v>207</v>
      </c>
      <c r="C989" s="2" t="s">
        <v>203</v>
      </c>
      <c r="D989" s="2" t="s">
        <v>2892</v>
      </c>
      <c r="E989" s="3">
        <v>1999</v>
      </c>
      <c r="F989" s="4" t="s">
        <v>2796</v>
      </c>
      <c r="G989" s="4">
        <f t="shared" si="121"/>
        <v>0.65</v>
      </c>
      <c r="H989" s="4">
        <f t="shared" si="122"/>
        <v>0.56999999999999995</v>
      </c>
      <c r="I989" s="4">
        <f t="shared" si="130"/>
        <v>0.48</v>
      </c>
      <c r="J989" s="4">
        <f t="shared" si="131"/>
        <v>0.4</v>
      </c>
      <c r="K989" s="4">
        <f t="shared" si="123"/>
        <v>0.34</v>
      </c>
      <c r="L989" s="441">
        <v>0.05</v>
      </c>
      <c r="M989" s="2" t="s">
        <v>328</v>
      </c>
      <c r="N989" s="443">
        <v>0.05</v>
      </c>
      <c r="O989" s="296">
        <v>6.0000000000000001E-3</v>
      </c>
      <c r="P989" s="296"/>
      <c r="Q989" s="444"/>
      <c r="R989" s="633" t="str">
        <f>IF(OR(S989="서산",S989="광주",S989="화성"),"선보","유림로지스")</f>
        <v>선보</v>
      </c>
      <c r="S989" s="633" t="s">
        <v>2888</v>
      </c>
      <c r="T989" s="633" t="str">
        <f>+IF(LEFT(D989,1)="G","Y","N")</f>
        <v>N</v>
      </c>
      <c r="U989" s="633">
        <v>0</v>
      </c>
      <c r="V989" s="633">
        <v>0</v>
      </c>
      <c r="W989" s="633">
        <v>0</v>
      </c>
      <c r="X989" s="633" t="s">
        <v>2747</v>
      </c>
      <c r="Y989" s="633" t="s">
        <v>2731</v>
      </c>
      <c r="Z989" s="296"/>
      <c r="AA989" s="633" t="s">
        <v>2737</v>
      </c>
      <c r="AB989" s="1" t="s">
        <v>2731</v>
      </c>
      <c r="AC989" s="736"/>
      <c r="AD989" s="1"/>
      <c r="AE989" s="1"/>
      <c r="AF989" s="1" t="s">
        <v>2731</v>
      </c>
      <c r="AG989" s="1"/>
      <c r="AH989" s="1"/>
      <c r="AI989" s="1" t="s">
        <v>3090</v>
      </c>
      <c r="AJ989" s="1091"/>
      <c r="AK989" s="1" t="s">
        <v>612</v>
      </c>
      <c r="AL989" s="736"/>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c r="BP989" s="1"/>
      <c r="BQ989" s="1"/>
      <c r="BR989" s="1"/>
      <c r="BS989" s="1"/>
      <c r="BT989" s="1"/>
      <c r="BU989" s="1"/>
      <c r="BV989" s="1"/>
      <c r="BW989" s="1"/>
      <c r="BX989" s="1"/>
      <c r="BY989" s="1"/>
      <c r="BZ989" s="1"/>
      <c r="CA989" s="1"/>
      <c r="CB989" s="1"/>
      <c r="CC989" s="1"/>
      <c r="CD989" s="1"/>
      <c r="CE989" s="1"/>
      <c r="CF989" s="1"/>
      <c r="CG989" s="1"/>
      <c r="CH989" s="1"/>
      <c r="CI989" s="1"/>
      <c r="CJ989" s="1"/>
      <c r="CK989" s="1"/>
      <c r="CL989" s="1"/>
    </row>
    <row r="990" spans="1:90" s="1061" customFormat="1" ht="15" customHeight="1">
      <c r="A990" s="417">
        <v>114</v>
      </c>
      <c r="B990" s="417" t="s">
        <v>207</v>
      </c>
      <c r="C990" s="2" t="s">
        <v>203</v>
      </c>
      <c r="D990" s="2" t="s">
        <v>2893</v>
      </c>
      <c r="E990" s="3">
        <v>1591</v>
      </c>
      <c r="F990" s="4" t="s">
        <v>2796</v>
      </c>
      <c r="G990" s="4">
        <f t="shared" si="121"/>
        <v>0.71</v>
      </c>
      <c r="H990" s="4">
        <f t="shared" si="122"/>
        <v>0.63</v>
      </c>
      <c r="I990" s="4">
        <f t="shared" si="130"/>
        <v>0.54</v>
      </c>
      <c r="J990" s="4">
        <f t="shared" si="131"/>
        <v>0.46</v>
      </c>
      <c r="K990" s="4">
        <f t="shared" si="123"/>
        <v>0.4</v>
      </c>
      <c r="L990" s="441">
        <v>0.05</v>
      </c>
      <c r="M990" s="2" t="s">
        <v>323</v>
      </c>
      <c r="N990" s="443">
        <v>0.05</v>
      </c>
      <c r="O990" s="296">
        <v>6.0000000000000001E-3</v>
      </c>
      <c r="P990" s="296"/>
      <c r="Q990" s="444"/>
      <c r="R990" s="633" t="str">
        <f t="shared" si="117"/>
        <v>선보</v>
      </c>
      <c r="S990" s="633" t="s">
        <v>2888</v>
      </c>
      <c r="T990" s="633" t="str">
        <f t="shared" ref="T990:T1023" si="132">+IF(LEFT(D990,1)="G","Y","N")</f>
        <v>N</v>
      </c>
      <c r="U990" s="633">
        <v>0</v>
      </c>
      <c r="V990" s="633">
        <v>0</v>
      </c>
      <c r="W990" s="633">
        <v>0</v>
      </c>
      <c r="X990" s="633" t="s">
        <v>2747</v>
      </c>
      <c r="Y990" s="633" t="s">
        <v>2731</v>
      </c>
      <c r="Z990" s="296"/>
      <c r="AA990" s="633" t="s">
        <v>2796</v>
      </c>
      <c r="AB990" s="1" t="s">
        <v>2731</v>
      </c>
      <c r="AC990" s="736"/>
      <c r="AD990" s="1"/>
      <c r="AE990" s="1"/>
      <c r="AF990" s="1" t="s">
        <v>2731</v>
      </c>
      <c r="AG990" s="1"/>
      <c r="AH990" s="1"/>
      <c r="AI990" s="1" t="s">
        <v>3090</v>
      </c>
      <c r="AJ990" s="1091"/>
      <c r="AK990" s="1" t="s">
        <v>612</v>
      </c>
      <c r="AL990" s="736"/>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c r="BP990" s="1"/>
      <c r="BQ990" s="1"/>
      <c r="BR990" s="1"/>
      <c r="BS990" s="1"/>
      <c r="BT990" s="1"/>
      <c r="BU990" s="1"/>
      <c r="BV990" s="1"/>
      <c r="BW990" s="1"/>
      <c r="BX990" s="1"/>
      <c r="BY990" s="1"/>
      <c r="BZ990" s="1"/>
      <c r="CA990" s="1"/>
      <c r="CB990" s="1"/>
      <c r="CC990" s="1"/>
      <c r="CD990" s="1"/>
      <c r="CE990" s="1"/>
      <c r="CF990" s="1"/>
      <c r="CG990" s="1"/>
      <c r="CH990" s="1"/>
      <c r="CI990" s="1"/>
      <c r="CJ990" s="1"/>
      <c r="CK990" s="1"/>
      <c r="CL990" s="1"/>
    </row>
    <row r="991" spans="1:90" s="1061" customFormat="1" ht="15" customHeight="1">
      <c r="A991" s="417">
        <v>115</v>
      </c>
      <c r="B991" s="417" t="s">
        <v>207</v>
      </c>
      <c r="C991" s="2" t="s">
        <v>203</v>
      </c>
      <c r="D991" s="2" t="s">
        <v>2894</v>
      </c>
      <c r="E991" s="3">
        <v>0</v>
      </c>
      <c r="F991" s="4" t="s">
        <v>2749</v>
      </c>
      <c r="G991" s="4" t="e">
        <f t="shared" si="121"/>
        <v>#N/A</v>
      </c>
      <c r="H991" s="4" t="e">
        <f t="shared" si="122"/>
        <v>#N/A</v>
      </c>
      <c r="I991" s="4" t="e">
        <f t="shared" si="130"/>
        <v>#N/A</v>
      </c>
      <c r="J991" s="4" t="e">
        <f t="shared" si="131"/>
        <v>#N/A</v>
      </c>
      <c r="K991" s="4" t="e">
        <f t="shared" si="123"/>
        <v>#N/A</v>
      </c>
      <c r="L991" s="441">
        <v>0</v>
      </c>
      <c r="M991" s="2"/>
      <c r="N991" s="443">
        <v>0.05</v>
      </c>
      <c r="O991" s="296">
        <v>6.0000000000000001E-3</v>
      </c>
      <c r="P991" s="296"/>
      <c r="Q991" s="444"/>
      <c r="R991" s="633" t="str">
        <f t="shared" si="117"/>
        <v>선보</v>
      </c>
      <c r="S991" s="633" t="s">
        <v>2888</v>
      </c>
      <c r="T991" s="633" t="str">
        <f t="shared" si="132"/>
        <v>N</v>
      </c>
      <c r="U991" s="633">
        <v>0</v>
      </c>
      <c r="V991" s="633">
        <v>0</v>
      </c>
      <c r="W991" s="633">
        <v>0</v>
      </c>
      <c r="X991" s="633" t="s">
        <v>2747</v>
      </c>
      <c r="Y991" s="633" t="s">
        <v>2731</v>
      </c>
      <c r="Z991" s="296"/>
      <c r="AA991" s="633" t="s">
        <v>2749</v>
      </c>
      <c r="AB991" s="1" t="s">
        <v>2731</v>
      </c>
      <c r="AC991" s="736"/>
      <c r="AD991" s="1"/>
      <c r="AE991" s="1"/>
      <c r="AF991" s="1" t="s">
        <v>2731</v>
      </c>
      <c r="AG991" s="1"/>
      <c r="AH991" s="1"/>
      <c r="AI991" s="1" t="s">
        <v>3252</v>
      </c>
      <c r="AJ991" s="1091"/>
      <c r="AK991" s="1" t="s">
        <v>612</v>
      </c>
      <c r="AL991" s="736"/>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c r="BP991" s="1"/>
      <c r="BQ991" s="1"/>
      <c r="BR991" s="1"/>
      <c r="BS991" s="1"/>
      <c r="BT991" s="1"/>
      <c r="BU991" s="1"/>
      <c r="BV991" s="1"/>
      <c r="BW991" s="1"/>
      <c r="BX991" s="1"/>
      <c r="BY991" s="1"/>
      <c r="BZ991" s="1"/>
      <c r="CA991" s="1"/>
      <c r="CB991" s="1"/>
      <c r="CC991" s="1"/>
      <c r="CD991" s="1"/>
      <c r="CE991" s="1"/>
      <c r="CF991" s="1"/>
      <c r="CG991" s="1"/>
      <c r="CH991" s="1"/>
      <c r="CI991" s="1"/>
      <c r="CJ991" s="1"/>
      <c r="CK991" s="1"/>
      <c r="CL991" s="1"/>
    </row>
    <row r="992" spans="1:90" s="1061" customFormat="1" ht="15" customHeight="1">
      <c r="A992" s="417">
        <v>116</v>
      </c>
      <c r="B992" s="1123" t="s">
        <v>207</v>
      </c>
      <c r="C992" s="973" t="s">
        <v>203</v>
      </c>
      <c r="D992" s="973" t="s">
        <v>2895</v>
      </c>
      <c r="E992" s="974">
        <v>1598</v>
      </c>
      <c r="F992" s="975" t="s">
        <v>2796</v>
      </c>
      <c r="G992" s="975">
        <f t="shared" si="121"/>
        <v>0.73</v>
      </c>
      <c r="H992" s="975">
        <f t="shared" si="122"/>
        <v>0.65</v>
      </c>
      <c r="I992" s="975">
        <f t="shared" si="130"/>
        <v>0.56000000000000005</v>
      </c>
      <c r="J992" s="975">
        <f t="shared" si="131"/>
        <v>0.48</v>
      </c>
      <c r="K992" s="975">
        <f t="shared" si="123"/>
        <v>0.42</v>
      </c>
      <c r="L992" s="1076">
        <v>0.05</v>
      </c>
      <c r="M992" s="973" t="s">
        <v>711</v>
      </c>
      <c r="N992" s="1077">
        <v>0.05</v>
      </c>
      <c r="O992" s="1078">
        <v>6.0000000000000001E-3</v>
      </c>
      <c r="P992" s="1078"/>
      <c r="Q992" s="1079"/>
      <c r="R992" s="1080" t="str">
        <f t="shared" si="117"/>
        <v>선보</v>
      </c>
      <c r="S992" s="1080" t="s">
        <v>2896</v>
      </c>
      <c r="T992" s="1080" t="str">
        <f t="shared" si="132"/>
        <v>N</v>
      </c>
      <c r="U992" s="1080">
        <v>0</v>
      </c>
      <c r="V992" s="1080">
        <v>0</v>
      </c>
      <c r="W992" s="1080">
        <v>0</v>
      </c>
      <c r="X992" s="1080" t="s">
        <v>1129</v>
      </c>
      <c r="Y992" s="1080" t="s">
        <v>2897</v>
      </c>
      <c r="Z992" s="1078"/>
      <c r="AA992" s="1080" t="s">
        <v>687</v>
      </c>
      <c r="AB992" s="1061" t="s">
        <v>2731</v>
      </c>
      <c r="AC992" s="1082"/>
      <c r="AF992" s="1061" t="s">
        <v>612</v>
      </c>
      <c r="AI992" s="1061" t="s">
        <v>3090</v>
      </c>
      <c r="AK992" s="1061" t="s">
        <v>587</v>
      </c>
      <c r="AL992" s="736"/>
    </row>
    <row r="993" spans="1:90" s="1061" customFormat="1" ht="15" customHeight="1">
      <c r="A993" s="417">
        <v>117</v>
      </c>
      <c r="B993" s="417" t="s">
        <v>207</v>
      </c>
      <c r="C993" s="2" t="s">
        <v>203</v>
      </c>
      <c r="D993" s="2" t="s">
        <v>2898</v>
      </c>
      <c r="E993" s="3">
        <v>1998</v>
      </c>
      <c r="F993" s="4" t="s">
        <v>2796</v>
      </c>
      <c r="G993" s="4">
        <f t="shared" si="121"/>
        <v>0.74</v>
      </c>
      <c r="H993" s="4">
        <f t="shared" si="122"/>
        <v>0.66</v>
      </c>
      <c r="I993" s="4">
        <f t="shared" si="130"/>
        <v>0.56999999999999995</v>
      </c>
      <c r="J993" s="4">
        <f t="shared" si="131"/>
        <v>0.49</v>
      </c>
      <c r="K993" s="4">
        <f t="shared" si="123"/>
        <v>0.43</v>
      </c>
      <c r="L993" s="441">
        <v>0.05</v>
      </c>
      <c r="M993" s="2" t="s">
        <v>712</v>
      </c>
      <c r="N993" s="443">
        <v>0.05</v>
      </c>
      <c r="O993" s="296">
        <v>6.0000000000000001E-3</v>
      </c>
      <c r="P993" s="296"/>
      <c r="Q993" s="444"/>
      <c r="R993" s="633" t="str">
        <f t="shared" si="117"/>
        <v>선보</v>
      </c>
      <c r="S993" s="633" t="s">
        <v>2888</v>
      </c>
      <c r="T993" s="633" t="str">
        <f t="shared" si="132"/>
        <v>N</v>
      </c>
      <c r="U993" s="633">
        <v>0</v>
      </c>
      <c r="V993" s="633">
        <v>0</v>
      </c>
      <c r="W993" s="633">
        <v>0</v>
      </c>
      <c r="X993" s="633" t="s">
        <v>2747</v>
      </c>
      <c r="Y993" s="633" t="s">
        <v>2731</v>
      </c>
      <c r="Z993" s="296"/>
      <c r="AA993" s="633" t="s">
        <v>2783</v>
      </c>
      <c r="AB993" s="1" t="s">
        <v>2731</v>
      </c>
      <c r="AC993" s="736"/>
      <c r="AD993" s="1"/>
      <c r="AE993" s="1"/>
      <c r="AF993" s="1" t="s">
        <v>612</v>
      </c>
      <c r="AG993" s="1"/>
      <c r="AH993" s="1"/>
      <c r="AI993" s="1" t="s">
        <v>3081</v>
      </c>
      <c r="AJ993" s="1091"/>
      <c r="AK993" s="1" t="s">
        <v>2946</v>
      </c>
      <c r="AL993" s="736"/>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c r="BP993" s="1"/>
      <c r="BQ993" s="1"/>
      <c r="BR993" s="1"/>
      <c r="BS993" s="1"/>
      <c r="BT993" s="1"/>
      <c r="BU993" s="1"/>
      <c r="BV993" s="1"/>
      <c r="BW993" s="1"/>
      <c r="BX993" s="1"/>
      <c r="BY993" s="1"/>
      <c r="BZ993" s="1"/>
      <c r="CA993" s="1"/>
      <c r="CB993" s="1"/>
      <c r="CC993" s="1"/>
      <c r="CD993" s="1"/>
      <c r="CE993" s="1"/>
      <c r="CF993" s="1"/>
      <c r="CG993" s="1"/>
      <c r="CH993" s="1"/>
      <c r="CI993" s="1"/>
      <c r="CJ993" s="1"/>
      <c r="CK993" s="1"/>
      <c r="CL993" s="1"/>
    </row>
    <row r="994" spans="1:90" s="1061" customFormat="1" ht="15" customHeight="1">
      <c r="A994" s="417">
        <v>118</v>
      </c>
      <c r="B994" s="1123" t="s">
        <v>207</v>
      </c>
      <c r="C994" s="973" t="s">
        <v>203</v>
      </c>
      <c r="D994" s="973" t="s">
        <v>2899</v>
      </c>
      <c r="E994" s="974">
        <v>1598</v>
      </c>
      <c r="F994" s="975" t="s">
        <v>379</v>
      </c>
      <c r="G994" s="975">
        <f t="shared" si="121"/>
        <v>0.7</v>
      </c>
      <c r="H994" s="975">
        <f t="shared" si="122"/>
        <v>0.62</v>
      </c>
      <c r="I994" s="975">
        <f t="shared" si="130"/>
        <v>0.53</v>
      </c>
      <c r="J994" s="975">
        <f t="shared" si="131"/>
        <v>0.45</v>
      </c>
      <c r="K994" s="975">
        <f t="shared" si="123"/>
        <v>0.39</v>
      </c>
      <c r="L994" s="1076">
        <v>0.05</v>
      </c>
      <c r="M994" s="973" t="s">
        <v>324</v>
      </c>
      <c r="N994" s="1077">
        <v>0.05</v>
      </c>
      <c r="O994" s="1078">
        <v>6.0000000000000001E-3</v>
      </c>
      <c r="P994" s="1078"/>
      <c r="Q994" s="1079"/>
      <c r="R994" s="1080" t="str">
        <f t="shared" si="117"/>
        <v>선보</v>
      </c>
      <c r="S994" s="1080" t="s">
        <v>2888</v>
      </c>
      <c r="T994" s="1080" t="str">
        <f t="shared" si="132"/>
        <v>N</v>
      </c>
      <c r="U994" s="1080">
        <v>0</v>
      </c>
      <c r="V994" s="1080">
        <v>0</v>
      </c>
      <c r="W994" s="1080">
        <v>0</v>
      </c>
      <c r="X994" s="1080" t="s">
        <v>1129</v>
      </c>
      <c r="Y994" s="1080" t="s">
        <v>2731</v>
      </c>
      <c r="Z994" s="1078"/>
      <c r="AA994" s="1080" t="s">
        <v>2768</v>
      </c>
      <c r="AB994" s="1061" t="s">
        <v>2731</v>
      </c>
      <c r="AC994" s="1082"/>
      <c r="AF994" s="1061" t="s">
        <v>2731</v>
      </c>
      <c r="AI994" s="1061" t="s">
        <v>3081</v>
      </c>
      <c r="AK994" s="1061" t="s">
        <v>2957</v>
      </c>
      <c r="AL994" s="736"/>
    </row>
    <row r="995" spans="1:90" s="1061" customFormat="1" ht="15" customHeight="1">
      <c r="A995" s="417">
        <v>119</v>
      </c>
      <c r="B995" s="417" t="s">
        <v>207</v>
      </c>
      <c r="C995" s="2" t="s">
        <v>203</v>
      </c>
      <c r="D995" s="2" t="s">
        <v>2900</v>
      </c>
      <c r="E995" s="3">
        <v>1999</v>
      </c>
      <c r="F995" s="4" t="s">
        <v>2796</v>
      </c>
      <c r="G995" s="4">
        <f t="shared" si="121"/>
        <v>0.65</v>
      </c>
      <c r="H995" s="4">
        <f t="shared" si="122"/>
        <v>0.56999999999999995</v>
      </c>
      <c r="I995" s="4">
        <f t="shared" si="130"/>
        <v>0.48</v>
      </c>
      <c r="J995" s="4">
        <f t="shared" si="131"/>
        <v>0.4</v>
      </c>
      <c r="K995" s="4">
        <f t="shared" si="123"/>
        <v>0.34</v>
      </c>
      <c r="L995" s="441">
        <v>0.05</v>
      </c>
      <c r="M995" s="2" t="s">
        <v>328</v>
      </c>
      <c r="N995" s="443">
        <v>0.05</v>
      </c>
      <c r="O995" s="296">
        <v>6.0000000000000001E-3</v>
      </c>
      <c r="P995" s="296"/>
      <c r="Q995" s="444"/>
      <c r="R995" s="633" t="str">
        <f t="shared" si="117"/>
        <v>선보</v>
      </c>
      <c r="S995" s="633" t="s">
        <v>2888</v>
      </c>
      <c r="T995" s="633" t="str">
        <f t="shared" si="132"/>
        <v>N</v>
      </c>
      <c r="U995" s="633">
        <v>0</v>
      </c>
      <c r="V995" s="633">
        <v>0</v>
      </c>
      <c r="W995" s="633">
        <v>0</v>
      </c>
      <c r="X995" s="633" t="s">
        <v>2747</v>
      </c>
      <c r="Y995" s="633" t="s">
        <v>2731</v>
      </c>
      <c r="Z995" s="296"/>
      <c r="AA995" s="633" t="s">
        <v>2737</v>
      </c>
      <c r="AB995" s="1" t="s">
        <v>2731</v>
      </c>
      <c r="AC995" s="736"/>
      <c r="AD995" s="1"/>
      <c r="AE995" s="1"/>
      <c r="AF995" s="1" t="s">
        <v>2731</v>
      </c>
      <c r="AG995" s="1"/>
      <c r="AH995" s="1"/>
      <c r="AI995" s="1" t="s">
        <v>3082</v>
      </c>
      <c r="AJ995" s="1091"/>
      <c r="AK995" s="1" t="s">
        <v>612</v>
      </c>
      <c r="AL995" s="736"/>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c r="BP995" s="1"/>
      <c r="BQ995" s="1"/>
      <c r="BR995" s="1"/>
      <c r="BS995" s="1"/>
      <c r="BT995" s="1"/>
      <c r="BU995" s="1"/>
      <c r="BV995" s="1"/>
      <c r="BW995" s="1"/>
      <c r="BX995" s="1"/>
      <c r="BY995" s="1"/>
      <c r="BZ995" s="1"/>
      <c r="CA995" s="1"/>
      <c r="CB995" s="1"/>
      <c r="CC995" s="1"/>
      <c r="CD995" s="1"/>
      <c r="CE995" s="1"/>
      <c r="CF995" s="1"/>
      <c r="CG995" s="1"/>
      <c r="CH995" s="1"/>
      <c r="CI995" s="1"/>
      <c r="CJ995" s="1"/>
      <c r="CK995" s="1"/>
      <c r="CL995" s="1"/>
    </row>
    <row r="996" spans="1:90" s="1061" customFormat="1" ht="15" customHeight="1">
      <c r="A996" s="417">
        <v>120</v>
      </c>
      <c r="B996" s="417" t="s">
        <v>207</v>
      </c>
      <c r="C996" s="2" t="s">
        <v>203</v>
      </c>
      <c r="D996" s="2" t="s">
        <v>2901</v>
      </c>
      <c r="E996" s="3">
        <v>1580</v>
      </c>
      <c r="F996" s="4" t="s">
        <v>2826</v>
      </c>
      <c r="G996" s="4">
        <f t="shared" si="121"/>
        <v>0.65</v>
      </c>
      <c r="H996" s="4">
        <f t="shared" si="122"/>
        <v>0.56999999999999995</v>
      </c>
      <c r="I996" s="4">
        <f t="shared" si="130"/>
        <v>0.48</v>
      </c>
      <c r="J996" s="4">
        <f t="shared" si="131"/>
        <v>0.4</v>
      </c>
      <c r="K996" s="4">
        <f t="shared" si="123"/>
        <v>0.34</v>
      </c>
      <c r="L996" s="441">
        <v>0.05</v>
      </c>
      <c r="M996" s="2" t="s">
        <v>328</v>
      </c>
      <c r="N996" s="443">
        <v>0.05</v>
      </c>
      <c r="O996" s="296">
        <v>6.0000000000000001E-3</v>
      </c>
      <c r="P996" s="296"/>
      <c r="Q996" s="444"/>
      <c r="R996" s="633" t="str">
        <f t="shared" si="117"/>
        <v>선보</v>
      </c>
      <c r="S996" s="633" t="s">
        <v>2870</v>
      </c>
      <c r="T996" s="633" t="str">
        <f t="shared" si="132"/>
        <v>N</v>
      </c>
      <c r="U996" s="633">
        <v>0</v>
      </c>
      <c r="V996" s="633">
        <v>0</v>
      </c>
      <c r="W996" s="633">
        <v>0</v>
      </c>
      <c r="X996" s="633" t="s">
        <v>2747</v>
      </c>
      <c r="Y996" s="633" t="s">
        <v>2731</v>
      </c>
      <c r="Z996" s="296"/>
      <c r="AA996" s="633" t="s">
        <v>2768</v>
      </c>
      <c r="AB996" s="1" t="s">
        <v>2731</v>
      </c>
      <c r="AC996" s="736"/>
      <c r="AD996" s="1"/>
      <c r="AE996" s="1"/>
      <c r="AF996" s="1" t="s">
        <v>2731</v>
      </c>
      <c r="AG996" s="1"/>
      <c r="AH996" s="1"/>
      <c r="AI996" s="1" t="s">
        <v>3095</v>
      </c>
      <c r="AJ996" s="1091"/>
      <c r="AK996" s="1" t="s">
        <v>612</v>
      </c>
      <c r="AL996" s="736"/>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c r="BP996" s="1"/>
      <c r="BQ996" s="1"/>
      <c r="BR996" s="1"/>
      <c r="BS996" s="1"/>
      <c r="BT996" s="1"/>
      <c r="BU996" s="1"/>
      <c r="BV996" s="1"/>
      <c r="BW996" s="1"/>
      <c r="BX996" s="1"/>
      <c r="BY996" s="1"/>
      <c r="BZ996" s="1"/>
      <c r="CA996" s="1"/>
      <c r="CB996" s="1"/>
      <c r="CC996" s="1"/>
      <c r="CD996" s="1"/>
      <c r="CE996" s="1"/>
      <c r="CF996" s="1"/>
      <c r="CG996" s="1"/>
      <c r="CH996" s="1"/>
      <c r="CI996" s="1"/>
      <c r="CJ996" s="1"/>
      <c r="CK996" s="1"/>
      <c r="CL996" s="1"/>
    </row>
    <row r="997" spans="1:90" ht="15" customHeight="1">
      <c r="A997" s="417">
        <v>121</v>
      </c>
      <c r="B997" s="417" t="s">
        <v>207</v>
      </c>
      <c r="C997" s="2" t="s">
        <v>203</v>
      </c>
      <c r="D997" s="2" t="s">
        <v>2902</v>
      </c>
      <c r="E997" s="3">
        <v>1580</v>
      </c>
      <c r="F997" s="4" t="s">
        <v>2826</v>
      </c>
      <c r="G997" s="4">
        <f t="shared" ref="G997:G1038" si="133">+INDEX($BD$4:$CK$8,MATCH($G$3,$BC$4:$BC$8,0),MATCH(M997,$BD$3:$CK$3,0))</f>
        <v>0.71</v>
      </c>
      <c r="H997" s="4">
        <f t="shared" ref="H997:H1038" si="134">+INDEX($BD$4:$CK$8,MATCH($H$3,$BC$4:$BC$8,0),MATCH(M997,$BD$3:$CK$3,0))</f>
        <v>0.63</v>
      </c>
      <c r="I997" s="4">
        <f t="shared" si="130"/>
        <v>0.54</v>
      </c>
      <c r="J997" s="4">
        <f t="shared" si="131"/>
        <v>0.46</v>
      </c>
      <c r="K997" s="4">
        <f t="shared" ref="K997:K1038" si="135">+INDEX($BD$4:$CK$8,MATCH($K$3,$BC$4:$BC$8,0),MATCH(M997,$BD$3:$CK$3,0))</f>
        <v>0.4</v>
      </c>
      <c r="L997" s="441">
        <v>0.05</v>
      </c>
      <c r="M997" s="2" t="s">
        <v>323</v>
      </c>
      <c r="N997" s="443">
        <v>0.05</v>
      </c>
      <c r="O997" s="296">
        <v>6.0000000000000001E-3</v>
      </c>
      <c r="P997" s="296"/>
      <c r="Q997" s="444"/>
      <c r="R997" s="633" t="str">
        <f t="shared" si="117"/>
        <v>선보</v>
      </c>
      <c r="S997" s="633" t="s">
        <v>2870</v>
      </c>
      <c r="T997" s="633" t="str">
        <f t="shared" si="132"/>
        <v>N</v>
      </c>
      <c r="U997" s="633">
        <v>0</v>
      </c>
      <c r="V997" s="633">
        <v>0</v>
      </c>
      <c r="W997" s="633">
        <v>0</v>
      </c>
      <c r="X997" s="633" t="s">
        <v>2747</v>
      </c>
      <c r="Y997" s="633" t="s">
        <v>2742</v>
      </c>
      <c r="Z997" s="296"/>
      <c r="AA997" s="633" t="s">
        <v>2768</v>
      </c>
      <c r="AB997" s="1" t="s">
        <v>2731</v>
      </c>
      <c r="AC997" s="736"/>
      <c r="AF997" s="1" t="s">
        <v>2731</v>
      </c>
      <c r="AI997" s="1" t="s">
        <v>3096</v>
      </c>
      <c r="AJ997" s="1091"/>
      <c r="AK997" s="1" t="s">
        <v>2947</v>
      </c>
      <c r="AL997" s="736"/>
    </row>
    <row r="998" spans="1:90" ht="15" customHeight="1">
      <c r="A998" s="417">
        <v>122</v>
      </c>
      <c r="B998" s="417" t="s">
        <v>207</v>
      </c>
      <c r="C998" s="2" t="s">
        <v>203</v>
      </c>
      <c r="D998" s="2" t="s">
        <v>2903</v>
      </c>
      <c r="E998" s="3">
        <v>0</v>
      </c>
      <c r="F998" s="4" t="s">
        <v>2749</v>
      </c>
      <c r="G998" s="4" t="e">
        <f t="shared" si="133"/>
        <v>#N/A</v>
      </c>
      <c r="H998" s="4" t="e">
        <f t="shared" si="134"/>
        <v>#N/A</v>
      </c>
      <c r="I998" s="4" t="e">
        <f t="shared" si="130"/>
        <v>#N/A</v>
      </c>
      <c r="J998" s="4" t="e">
        <f t="shared" si="131"/>
        <v>#N/A</v>
      </c>
      <c r="K998" s="4" t="e">
        <f t="shared" si="135"/>
        <v>#N/A</v>
      </c>
      <c r="L998" s="441">
        <v>0</v>
      </c>
      <c r="M998" s="2"/>
      <c r="N998" s="443">
        <v>0.05</v>
      </c>
      <c r="O998" s="296">
        <v>6.0000000000000001E-3</v>
      </c>
      <c r="P998" s="296"/>
      <c r="Q998" s="444"/>
      <c r="R998" s="633" t="str">
        <f t="shared" si="117"/>
        <v>선보</v>
      </c>
      <c r="S998" s="633" t="s">
        <v>2870</v>
      </c>
      <c r="T998" s="633" t="str">
        <f t="shared" si="132"/>
        <v>N</v>
      </c>
      <c r="U998" s="633">
        <v>0</v>
      </c>
      <c r="V998" s="633">
        <v>0</v>
      </c>
      <c r="W998" s="633">
        <v>0</v>
      </c>
      <c r="X998" s="633" t="s">
        <v>2747</v>
      </c>
      <c r="Y998" s="633" t="s">
        <v>2742</v>
      </c>
      <c r="Z998" s="296"/>
      <c r="AA998" s="633" t="s">
        <v>2904</v>
      </c>
      <c r="AB998" s="1" t="s">
        <v>2731</v>
      </c>
      <c r="AC998" s="736"/>
      <c r="AF998" s="1" t="s">
        <v>2731</v>
      </c>
      <c r="AI998" s="1" t="s">
        <v>3251</v>
      </c>
      <c r="AJ998" s="1091"/>
      <c r="AK998" s="1" t="s">
        <v>612</v>
      </c>
      <c r="AL998" s="736"/>
    </row>
    <row r="999" spans="1:90" ht="15" customHeight="1">
      <c r="A999" s="417">
        <v>123</v>
      </c>
      <c r="B999" s="417" t="s">
        <v>207</v>
      </c>
      <c r="C999" s="2" t="s">
        <v>203</v>
      </c>
      <c r="D999" s="2" t="s">
        <v>2905</v>
      </c>
      <c r="E999" s="3">
        <v>0</v>
      </c>
      <c r="F999" s="4" t="s">
        <v>2749</v>
      </c>
      <c r="G999" s="4" t="e">
        <f t="shared" si="133"/>
        <v>#N/A</v>
      </c>
      <c r="H999" s="4" t="e">
        <f t="shared" si="134"/>
        <v>#N/A</v>
      </c>
      <c r="I999" s="4">
        <f>+IF(운용리스_단일!$AS$40=20000,42%,37%)</f>
        <v>0.42</v>
      </c>
      <c r="J999" s="4">
        <f>+IF(운용리스_단일!$AS$40=20000,35%,30%)</f>
        <v>0.35</v>
      </c>
      <c r="K999" s="4" t="e">
        <f t="shared" si="135"/>
        <v>#N/A</v>
      </c>
      <c r="L999" s="441">
        <f>+IF(AND(계산_운용리스_단일!$C$4="전기",계산_운용리스_단일!$D$4="국산",계산_운용리스_단일!$C$17=20000),5%,3%)</f>
        <v>0.03</v>
      </c>
      <c r="M999" s="2"/>
      <c r="N999" s="443">
        <v>0.05</v>
      </c>
      <c r="O999" s="296">
        <v>6.0000000000000001E-3</v>
      </c>
      <c r="P999" s="296"/>
      <c r="Q999" s="444"/>
      <c r="R999" s="633" t="str">
        <f t="shared" ref="R999:R1004" si="136">IF(OR(S999="서산",S999="광주",S999="화성"),"선보","유림로지스")</f>
        <v>선보</v>
      </c>
      <c r="S999" s="633" t="s">
        <v>2870</v>
      </c>
      <c r="T999" s="633" t="str">
        <f t="shared" si="132"/>
        <v>N</v>
      </c>
      <c r="U999" s="633">
        <v>0</v>
      </c>
      <c r="V999" s="633">
        <v>0</v>
      </c>
      <c r="W999" s="633">
        <v>0</v>
      </c>
      <c r="X999" s="633" t="s">
        <v>2747</v>
      </c>
      <c r="Y999" s="633" t="s">
        <v>2731</v>
      </c>
      <c r="Z999" s="296"/>
      <c r="AA999" s="633" t="s">
        <v>2749</v>
      </c>
      <c r="AB999" s="1" t="s">
        <v>2731</v>
      </c>
      <c r="AC999" s="736"/>
      <c r="AF999" s="1" t="s">
        <v>2731</v>
      </c>
      <c r="AI999" s="1" t="s">
        <v>3251</v>
      </c>
      <c r="AJ999" s="1091"/>
      <c r="AK999" s="1" t="s">
        <v>2968</v>
      </c>
      <c r="AL999" s="736"/>
    </row>
    <row r="1000" spans="1:90" s="1160" customFormat="1" ht="15" customHeight="1">
      <c r="A1000" s="417">
        <v>124</v>
      </c>
      <c r="B1000" s="417" t="s">
        <v>207</v>
      </c>
      <c r="C1000" s="2" t="s">
        <v>203</v>
      </c>
      <c r="D1000" s="2" t="s">
        <v>2906</v>
      </c>
      <c r="E1000" s="3">
        <v>0</v>
      </c>
      <c r="F1000" s="4" t="s">
        <v>2749</v>
      </c>
      <c r="G1000" s="4" t="e">
        <f t="shared" si="133"/>
        <v>#N/A</v>
      </c>
      <c r="H1000" s="4" t="e">
        <f t="shared" si="134"/>
        <v>#N/A</v>
      </c>
      <c r="I1000" s="4">
        <f>+IF(운용리스_단일!$AS$40=20000,42%,37%)</f>
        <v>0.42</v>
      </c>
      <c r="J1000" s="4">
        <f>+IF(운용리스_단일!$AS$40=20000,35%,30%)</f>
        <v>0.35</v>
      </c>
      <c r="K1000" s="4" t="e">
        <f t="shared" si="135"/>
        <v>#N/A</v>
      </c>
      <c r="L1000" s="441">
        <f>+IF(AND(계산_운용리스_단일!$C$4="전기",계산_운용리스_단일!$D$4="국산",계산_운용리스_단일!$C$17=20000),5%,3%)</f>
        <v>0.03</v>
      </c>
      <c r="M1000" s="2"/>
      <c r="N1000" s="443">
        <v>0.05</v>
      </c>
      <c r="O1000" s="296">
        <v>6.0000000000000001E-3</v>
      </c>
      <c r="P1000" s="296"/>
      <c r="Q1000" s="444"/>
      <c r="R1000" s="633" t="str">
        <f t="shared" si="136"/>
        <v>선보</v>
      </c>
      <c r="S1000" s="633" t="s">
        <v>2870</v>
      </c>
      <c r="T1000" s="633" t="str">
        <f t="shared" si="132"/>
        <v>N</v>
      </c>
      <c r="U1000" s="633">
        <v>0</v>
      </c>
      <c r="V1000" s="633">
        <v>0</v>
      </c>
      <c r="W1000" s="633">
        <v>0</v>
      </c>
      <c r="X1000" s="633" t="s">
        <v>2747</v>
      </c>
      <c r="Y1000" s="633" t="s">
        <v>2731</v>
      </c>
      <c r="Z1000" s="296"/>
      <c r="AA1000" s="633" t="s">
        <v>2749</v>
      </c>
      <c r="AB1000" s="1" t="s">
        <v>2731</v>
      </c>
      <c r="AC1000" s="736"/>
      <c r="AD1000" s="1"/>
      <c r="AE1000" s="1"/>
      <c r="AF1000" s="1" t="s">
        <v>2731</v>
      </c>
      <c r="AG1000" s="1"/>
      <c r="AH1000" s="1"/>
      <c r="AI1000" s="1" t="s">
        <v>3251</v>
      </c>
      <c r="AJ1000" s="1091"/>
      <c r="AK1000" s="1" t="s">
        <v>2968</v>
      </c>
      <c r="AL1000" s="736"/>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c r="BP1000" s="1"/>
      <c r="BQ1000" s="1"/>
      <c r="BR1000" s="1"/>
      <c r="BS1000" s="1"/>
      <c r="BT1000" s="1"/>
      <c r="BU1000" s="1"/>
      <c r="BV1000" s="1"/>
      <c r="BW1000" s="1"/>
      <c r="BX1000" s="1"/>
      <c r="BY1000" s="1"/>
      <c r="BZ1000" s="1"/>
      <c r="CA1000" s="1"/>
      <c r="CB1000" s="1"/>
      <c r="CC1000" s="1"/>
      <c r="CD1000" s="1"/>
      <c r="CE1000" s="1"/>
      <c r="CF1000" s="1"/>
      <c r="CG1000" s="1"/>
      <c r="CH1000" s="1"/>
      <c r="CI1000" s="1"/>
      <c r="CJ1000" s="1"/>
      <c r="CK1000" s="1"/>
      <c r="CL1000" s="1"/>
    </row>
    <row r="1001" spans="1:90" s="1160" customFormat="1" ht="15" customHeight="1">
      <c r="A1001" s="417">
        <v>125</v>
      </c>
      <c r="B1001" s="417" t="s">
        <v>207</v>
      </c>
      <c r="C1001" s="2" t="s">
        <v>203</v>
      </c>
      <c r="D1001" s="2" t="s">
        <v>2907</v>
      </c>
      <c r="E1001" s="3">
        <v>0</v>
      </c>
      <c r="F1001" s="4" t="s">
        <v>2749</v>
      </c>
      <c r="G1001" s="4" t="e">
        <f t="shared" si="133"/>
        <v>#N/A</v>
      </c>
      <c r="H1001" s="4" t="e">
        <f t="shared" si="134"/>
        <v>#N/A</v>
      </c>
      <c r="I1001" s="4">
        <f>+IF(운용리스_단일!$AS$40=20000,42%,37%)</f>
        <v>0.42</v>
      </c>
      <c r="J1001" s="4">
        <f>+IF(운용리스_단일!$AS$40=20000,35%,30%)</f>
        <v>0.35</v>
      </c>
      <c r="K1001" s="4" t="e">
        <f t="shared" si="135"/>
        <v>#N/A</v>
      </c>
      <c r="L1001" s="441">
        <f>+IF(AND(계산_운용리스_단일!$C$4="전기",계산_운용리스_단일!$D$4="국산",계산_운용리스_단일!$C$17=20000),5%,3%)</f>
        <v>0.03</v>
      </c>
      <c r="M1001" s="2"/>
      <c r="N1001" s="443">
        <v>0.05</v>
      </c>
      <c r="O1001" s="296">
        <v>6.0000000000000001E-3</v>
      </c>
      <c r="P1001" s="296"/>
      <c r="Q1001" s="444"/>
      <c r="R1001" s="633" t="str">
        <f t="shared" si="136"/>
        <v>선보</v>
      </c>
      <c r="S1001" s="633" t="s">
        <v>2870</v>
      </c>
      <c r="T1001" s="633" t="str">
        <f t="shared" si="132"/>
        <v>N</v>
      </c>
      <c r="U1001" s="633">
        <v>0</v>
      </c>
      <c r="V1001" s="633">
        <v>0</v>
      </c>
      <c r="W1001" s="633">
        <v>0</v>
      </c>
      <c r="X1001" s="633" t="s">
        <v>2747</v>
      </c>
      <c r="Y1001" s="633" t="s">
        <v>2731</v>
      </c>
      <c r="Z1001" s="296"/>
      <c r="AA1001" s="633" t="s">
        <v>2749</v>
      </c>
      <c r="AB1001" s="1" t="s">
        <v>2731</v>
      </c>
      <c r="AC1001" s="736"/>
      <c r="AD1001" s="1"/>
      <c r="AE1001" s="1"/>
      <c r="AF1001" s="1" t="s">
        <v>2731</v>
      </c>
      <c r="AG1001" s="1"/>
      <c r="AH1001" s="1"/>
      <c r="AI1001" s="1" t="s">
        <v>3251</v>
      </c>
      <c r="AJ1001" s="1091"/>
      <c r="AK1001" s="1" t="s">
        <v>612</v>
      </c>
      <c r="AL1001" s="736"/>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c r="BP1001" s="1"/>
      <c r="BQ1001" s="1"/>
      <c r="BR1001" s="1"/>
      <c r="BS1001" s="1"/>
      <c r="BT1001" s="1"/>
      <c r="BU1001" s="1"/>
      <c r="BV1001" s="1"/>
      <c r="BW1001" s="1"/>
      <c r="BX1001" s="1"/>
      <c r="BY1001" s="1"/>
      <c r="BZ1001" s="1"/>
      <c r="CA1001" s="1"/>
      <c r="CB1001" s="1"/>
      <c r="CC1001" s="1"/>
      <c r="CD1001" s="1"/>
      <c r="CE1001" s="1"/>
      <c r="CF1001" s="1"/>
      <c r="CG1001" s="1"/>
      <c r="CH1001" s="1"/>
      <c r="CI1001" s="1"/>
      <c r="CJ1001" s="1"/>
      <c r="CK1001" s="1"/>
      <c r="CL1001" s="1"/>
    </row>
    <row r="1002" spans="1:90" s="1061" customFormat="1" ht="15" customHeight="1">
      <c r="A1002" s="417">
        <v>126</v>
      </c>
      <c r="B1002" s="417" t="s">
        <v>207</v>
      </c>
      <c r="C1002" s="2" t="s">
        <v>203</v>
      </c>
      <c r="D1002" s="2" t="s">
        <v>2908</v>
      </c>
      <c r="E1002" s="3">
        <v>0</v>
      </c>
      <c r="F1002" s="4" t="s">
        <v>2749</v>
      </c>
      <c r="G1002" s="4" t="e">
        <f t="shared" si="133"/>
        <v>#N/A</v>
      </c>
      <c r="H1002" s="4" t="e">
        <f t="shared" si="134"/>
        <v>#N/A</v>
      </c>
      <c r="I1002" s="4">
        <f>+IF(운용리스_단일!$AS$40=20000,42%,37%)</f>
        <v>0.42</v>
      </c>
      <c r="J1002" s="4">
        <f>+IF(운용리스_단일!$AS$40=20000,35%,30%)</f>
        <v>0.35</v>
      </c>
      <c r="K1002" s="4" t="e">
        <f t="shared" si="135"/>
        <v>#N/A</v>
      </c>
      <c r="L1002" s="441">
        <f>+IF(AND(계산_운용리스_단일!$C$4="전기",계산_운용리스_단일!$D$4="국산",계산_운용리스_단일!$C$17=20000),5%,3%)</f>
        <v>0.03</v>
      </c>
      <c r="M1002" s="2"/>
      <c r="N1002" s="443">
        <v>0.05</v>
      </c>
      <c r="O1002" s="296">
        <v>6.0000000000000001E-3</v>
      </c>
      <c r="P1002" s="296"/>
      <c r="Q1002" s="444"/>
      <c r="R1002" s="633" t="str">
        <f t="shared" si="136"/>
        <v>선보</v>
      </c>
      <c r="S1002" s="633" t="s">
        <v>2870</v>
      </c>
      <c r="T1002" s="633" t="str">
        <f t="shared" si="132"/>
        <v>N</v>
      </c>
      <c r="U1002" s="633">
        <v>0</v>
      </c>
      <c r="V1002" s="633">
        <v>0</v>
      </c>
      <c r="W1002" s="633">
        <v>0</v>
      </c>
      <c r="X1002" s="633" t="s">
        <v>2747</v>
      </c>
      <c r="Y1002" s="633" t="s">
        <v>2731</v>
      </c>
      <c r="Z1002" s="296"/>
      <c r="AA1002" s="633" t="s">
        <v>2749</v>
      </c>
      <c r="AB1002" s="1" t="s">
        <v>2731</v>
      </c>
      <c r="AC1002" s="736"/>
      <c r="AD1002" s="1"/>
      <c r="AE1002" s="1"/>
      <c r="AF1002" s="1" t="s">
        <v>2731</v>
      </c>
      <c r="AG1002" s="1"/>
      <c r="AH1002" s="1"/>
      <c r="AI1002" s="1" t="s">
        <v>3251</v>
      </c>
      <c r="AJ1002" s="1091"/>
      <c r="AK1002" s="1" t="s">
        <v>2949</v>
      </c>
      <c r="AL1002" s="736"/>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c r="BP1002" s="1"/>
      <c r="BQ1002" s="1"/>
      <c r="BR1002" s="1"/>
      <c r="BS1002" s="1"/>
      <c r="BT1002" s="1"/>
      <c r="BU1002" s="1"/>
      <c r="BV1002" s="1"/>
      <c r="BW1002" s="1"/>
      <c r="BX1002" s="1"/>
      <c r="BY1002" s="1"/>
      <c r="BZ1002" s="1"/>
      <c r="CA1002" s="1"/>
      <c r="CB1002" s="1"/>
      <c r="CC1002" s="1"/>
      <c r="CD1002" s="1"/>
      <c r="CE1002" s="1"/>
      <c r="CF1002" s="1"/>
      <c r="CG1002" s="1"/>
      <c r="CH1002" s="1"/>
      <c r="CI1002" s="1"/>
      <c r="CJ1002" s="1"/>
      <c r="CK1002" s="1"/>
      <c r="CL1002" s="1"/>
    </row>
    <row r="1003" spans="1:90" s="1061" customFormat="1" ht="15" customHeight="1">
      <c r="A1003" s="417">
        <v>127</v>
      </c>
      <c r="B1003" s="417" t="s">
        <v>207</v>
      </c>
      <c r="C1003" s="2" t="s">
        <v>203</v>
      </c>
      <c r="D1003" s="2" t="s">
        <v>2909</v>
      </c>
      <c r="E1003" s="3">
        <v>0</v>
      </c>
      <c r="F1003" s="4" t="s">
        <v>2749</v>
      </c>
      <c r="G1003" s="4" t="e">
        <f t="shared" si="133"/>
        <v>#N/A</v>
      </c>
      <c r="H1003" s="4" t="e">
        <f t="shared" si="134"/>
        <v>#N/A</v>
      </c>
      <c r="I1003" s="4">
        <f>+IF(운용리스_단일!$AS$40=20000,42%,37%)</f>
        <v>0.42</v>
      </c>
      <c r="J1003" s="4">
        <f>+IF(운용리스_단일!$AS$40=20000,35%,30%)</f>
        <v>0.35</v>
      </c>
      <c r="K1003" s="4" t="e">
        <f t="shared" si="135"/>
        <v>#N/A</v>
      </c>
      <c r="L1003" s="441">
        <f>+IF(AND(계산_운용리스_단일!$C$4="전기",계산_운용리스_단일!$D$4="국산",계산_운용리스_단일!$C$17=20000),5%,3%)</f>
        <v>0.03</v>
      </c>
      <c r="M1003" s="2"/>
      <c r="N1003" s="443">
        <v>0.05</v>
      </c>
      <c r="O1003" s="296">
        <v>6.0000000000000001E-3</v>
      </c>
      <c r="P1003" s="296"/>
      <c r="Q1003" s="444"/>
      <c r="R1003" s="633" t="str">
        <f t="shared" si="136"/>
        <v>선보</v>
      </c>
      <c r="S1003" s="633" t="s">
        <v>2870</v>
      </c>
      <c r="T1003" s="633" t="str">
        <f t="shared" si="132"/>
        <v>N</v>
      </c>
      <c r="U1003" s="633">
        <v>0</v>
      </c>
      <c r="V1003" s="633">
        <v>0</v>
      </c>
      <c r="W1003" s="633">
        <v>0</v>
      </c>
      <c r="X1003" s="633" t="s">
        <v>2747</v>
      </c>
      <c r="Y1003" s="633" t="s">
        <v>2731</v>
      </c>
      <c r="Z1003" s="296"/>
      <c r="AA1003" s="633" t="s">
        <v>2749</v>
      </c>
      <c r="AB1003" s="1" t="s">
        <v>2731</v>
      </c>
      <c r="AC1003" s="736"/>
      <c r="AD1003" s="1"/>
      <c r="AE1003" s="1"/>
      <c r="AF1003" s="1" t="s">
        <v>2731</v>
      </c>
      <c r="AG1003" s="1"/>
      <c r="AH1003" s="1"/>
      <c r="AI1003" s="1" t="s">
        <v>3251</v>
      </c>
      <c r="AJ1003" s="1091"/>
      <c r="AK1003" s="1" t="s">
        <v>612</v>
      </c>
      <c r="AL1003" s="736"/>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c r="BP1003" s="1"/>
      <c r="BQ1003" s="1"/>
      <c r="BR1003" s="1"/>
      <c r="BS1003" s="1"/>
      <c r="BT1003" s="1"/>
      <c r="BU1003" s="1"/>
      <c r="BV1003" s="1"/>
      <c r="BW1003" s="1"/>
      <c r="BX1003" s="1"/>
      <c r="BY1003" s="1"/>
      <c r="BZ1003" s="1"/>
      <c r="CA1003" s="1"/>
      <c r="CB1003" s="1"/>
      <c r="CC1003" s="1"/>
      <c r="CD1003" s="1"/>
      <c r="CE1003" s="1"/>
      <c r="CF1003" s="1"/>
      <c r="CG1003" s="1"/>
      <c r="CH1003" s="1"/>
      <c r="CI1003" s="1"/>
      <c r="CJ1003" s="1"/>
      <c r="CK1003" s="1"/>
      <c r="CL1003" s="1"/>
    </row>
    <row r="1004" spans="1:90" s="1061" customFormat="1" ht="15" customHeight="1">
      <c r="A1004" s="417">
        <v>128</v>
      </c>
      <c r="B1004" s="417" t="s">
        <v>207</v>
      </c>
      <c r="C1004" s="2" t="s">
        <v>203</v>
      </c>
      <c r="D1004" s="2" t="s">
        <v>2910</v>
      </c>
      <c r="E1004" s="3">
        <v>0</v>
      </c>
      <c r="F1004" s="4" t="s">
        <v>2749</v>
      </c>
      <c r="G1004" s="4" t="e">
        <f t="shared" si="133"/>
        <v>#N/A</v>
      </c>
      <c r="H1004" s="4" t="e">
        <f t="shared" si="134"/>
        <v>#N/A</v>
      </c>
      <c r="I1004" s="4">
        <f>+IF(운용리스_단일!$AS$40=20000,42%,37%)</f>
        <v>0.42</v>
      </c>
      <c r="J1004" s="4">
        <f>+IF(운용리스_단일!$AS$40=20000,35%,30%)</f>
        <v>0.35</v>
      </c>
      <c r="K1004" s="4" t="e">
        <f t="shared" si="135"/>
        <v>#N/A</v>
      </c>
      <c r="L1004" s="441">
        <f>+IF(AND(계산_운용리스_단일!$C$4="전기",계산_운용리스_단일!$D$4="국산",계산_운용리스_단일!$C$17=20000),5%,3%)</f>
        <v>0.03</v>
      </c>
      <c r="M1004" s="2"/>
      <c r="N1004" s="443">
        <v>0.05</v>
      </c>
      <c r="O1004" s="296">
        <v>6.0000000000000001E-3</v>
      </c>
      <c r="P1004" s="296"/>
      <c r="Q1004" s="444"/>
      <c r="R1004" s="633" t="str">
        <f t="shared" si="136"/>
        <v>선보</v>
      </c>
      <c r="S1004" s="633" t="s">
        <v>2870</v>
      </c>
      <c r="T1004" s="633" t="str">
        <f t="shared" si="132"/>
        <v>N</v>
      </c>
      <c r="U1004" s="633">
        <v>0</v>
      </c>
      <c r="V1004" s="633">
        <v>0</v>
      </c>
      <c r="W1004" s="633">
        <v>0</v>
      </c>
      <c r="X1004" s="633" t="s">
        <v>2747</v>
      </c>
      <c r="Y1004" s="633" t="s">
        <v>2731</v>
      </c>
      <c r="Z1004" s="296"/>
      <c r="AA1004" s="633" t="s">
        <v>2749</v>
      </c>
      <c r="AB1004" s="1" t="s">
        <v>2731</v>
      </c>
      <c r="AC1004" s="736"/>
      <c r="AD1004" s="1"/>
      <c r="AE1004" s="1"/>
      <c r="AF1004" s="1" t="s">
        <v>2731</v>
      </c>
      <c r="AG1004" s="1"/>
      <c r="AH1004" s="1"/>
      <c r="AI1004" s="1" t="s">
        <v>3251</v>
      </c>
      <c r="AJ1004" s="1091"/>
      <c r="AK1004" s="1" t="s">
        <v>2943</v>
      </c>
      <c r="AL1004" s="736"/>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c r="BP1004" s="1"/>
      <c r="BQ1004" s="1"/>
      <c r="BR1004" s="1"/>
      <c r="BS1004" s="1"/>
      <c r="BT1004" s="1"/>
      <c r="BU1004" s="1"/>
      <c r="BV1004" s="1"/>
      <c r="BW1004" s="1"/>
      <c r="BX1004" s="1"/>
      <c r="BY1004" s="1"/>
      <c r="BZ1004" s="1"/>
      <c r="CA1004" s="1"/>
      <c r="CB1004" s="1"/>
      <c r="CC1004" s="1"/>
      <c r="CD1004" s="1"/>
      <c r="CE1004" s="1"/>
      <c r="CF1004" s="1"/>
      <c r="CG1004" s="1"/>
      <c r="CH1004" s="1"/>
      <c r="CI1004" s="1"/>
      <c r="CJ1004" s="1"/>
      <c r="CK1004" s="1"/>
      <c r="CL1004" s="1"/>
    </row>
    <row r="1005" spans="1:90" s="1061" customFormat="1" ht="15" customHeight="1">
      <c r="A1005" s="417">
        <v>129</v>
      </c>
      <c r="B1005" s="417" t="s">
        <v>207</v>
      </c>
      <c r="C1005" s="2" t="s">
        <v>203</v>
      </c>
      <c r="D1005" s="2" t="s">
        <v>2911</v>
      </c>
      <c r="E1005" s="3">
        <v>2151</v>
      </c>
      <c r="F1005" s="4" t="s">
        <v>2796</v>
      </c>
      <c r="G1005" s="4">
        <f t="shared" si="133"/>
        <v>0.79</v>
      </c>
      <c r="H1005" s="4">
        <f t="shared" si="134"/>
        <v>0.71</v>
      </c>
      <c r="I1005" s="4">
        <f t="shared" ref="I1005:I1060" si="137">+INDEX($BD$4:$CK$8,MATCH($I$3,$BC$4:$BC$8,0),MATCH(M1005,$BD$3:$CK$3,0))</f>
        <v>0.62</v>
      </c>
      <c r="J1005" s="4">
        <f t="shared" ref="J1005:J1060" si="138">+INDEX($BD$4:$CK$8,MATCH($J$3,$BC$4:$BC$8,0),MATCH(M1005,$BD$3:$CK$3,0))</f>
        <v>0.54</v>
      </c>
      <c r="K1005" s="4">
        <f t="shared" si="135"/>
        <v>0.48</v>
      </c>
      <c r="L1005" s="441">
        <v>0</v>
      </c>
      <c r="M1005" s="2" t="s">
        <v>163</v>
      </c>
      <c r="N1005" s="443">
        <v>0.05</v>
      </c>
      <c r="O1005" s="296">
        <v>6.0000000000000001E-3</v>
      </c>
      <c r="P1005" s="296"/>
      <c r="Q1005" s="444"/>
      <c r="R1005" s="633" t="str">
        <f t="shared" si="117"/>
        <v>선보</v>
      </c>
      <c r="S1005" s="633" t="s">
        <v>2870</v>
      </c>
      <c r="T1005" s="633" t="str">
        <f t="shared" si="132"/>
        <v>N</v>
      </c>
      <c r="U1005" s="633">
        <v>0</v>
      </c>
      <c r="V1005" s="633">
        <v>0</v>
      </c>
      <c r="W1005" s="633">
        <v>0</v>
      </c>
      <c r="X1005" s="633" t="s">
        <v>2747</v>
      </c>
      <c r="Y1005" s="633" t="s">
        <v>2772</v>
      </c>
      <c r="Z1005" s="296"/>
      <c r="AA1005" s="633" t="s">
        <v>2783</v>
      </c>
      <c r="AB1005" s="1" t="s">
        <v>2731</v>
      </c>
      <c r="AC1005" s="736"/>
      <c r="AD1005" s="1"/>
      <c r="AE1005" s="1"/>
      <c r="AF1005" s="1" t="s">
        <v>2731</v>
      </c>
      <c r="AG1005" s="1"/>
      <c r="AH1005" s="1"/>
      <c r="AI1005" s="1" t="s">
        <v>3092</v>
      </c>
      <c r="AJ1005" s="1091"/>
      <c r="AK1005" s="1" t="s">
        <v>612</v>
      </c>
      <c r="AL1005" s="736"/>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c r="BP1005" s="1"/>
      <c r="BQ1005" s="1"/>
      <c r="BR1005" s="1"/>
      <c r="BS1005" s="1"/>
      <c r="BT1005" s="1"/>
      <c r="BU1005" s="1"/>
      <c r="BV1005" s="1"/>
      <c r="BW1005" s="1"/>
      <c r="BX1005" s="1"/>
      <c r="BY1005" s="1"/>
      <c r="BZ1005" s="1"/>
      <c r="CA1005" s="1"/>
      <c r="CB1005" s="1"/>
      <c r="CC1005" s="1"/>
      <c r="CD1005" s="1"/>
      <c r="CE1005" s="1"/>
      <c r="CF1005" s="1"/>
      <c r="CG1005" s="1"/>
      <c r="CH1005" s="1"/>
      <c r="CI1005" s="1"/>
      <c r="CJ1005" s="1"/>
      <c r="CK1005" s="1"/>
      <c r="CL1005" s="1"/>
    </row>
    <row r="1006" spans="1:90" s="1160" customFormat="1" ht="15" customHeight="1">
      <c r="A1006" s="417">
        <v>130</v>
      </c>
      <c r="B1006" s="417" t="s">
        <v>207</v>
      </c>
      <c r="C1006" s="2" t="s">
        <v>203</v>
      </c>
      <c r="D1006" s="2" t="s">
        <v>2912</v>
      </c>
      <c r="E1006" s="3">
        <v>2151</v>
      </c>
      <c r="F1006" s="4" t="s">
        <v>2796</v>
      </c>
      <c r="G1006" s="4">
        <f>+INDEX($BD$4:$CK$8,MATCH($G$3,$BC$4:$BC$8,0),MATCH(M1006,$BD$3:$CK$3,0))</f>
        <v>0.79</v>
      </c>
      <c r="H1006" s="4">
        <f>+INDEX($BD$4:$CK$8,MATCH($H$3,$BC$4:$BC$8,0),MATCH(M1006,$BD$3:$CK$3,0))</f>
        <v>0.71</v>
      </c>
      <c r="I1006" s="4">
        <f>+INDEX($BD$4:$CK$8,MATCH($I$3,$BC$4:$BC$8,0),MATCH(M1006,$BD$3:$CK$3,0))</f>
        <v>0.62</v>
      </c>
      <c r="J1006" s="4">
        <f>+INDEX($BD$4:$CK$8,MATCH($J$3,$BC$4:$BC$8,0),MATCH(M1006,$BD$3:$CK$3,0))</f>
        <v>0.54</v>
      </c>
      <c r="K1006" s="4">
        <f>+INDEX($BD$4:$CK$8,MATCH($K$3,$BC$4:$BC$8,0),MATCH(M1006,$BD$3:$CK$3,0))</f>
        <v>0.48</v>
      </c>
      <c r="L1006" s="441">
        <v>0</v>
      </c>
      <c r="M1006" s="2" t="s">
        <v>163</v>
      </c>
      <c r="N1006" s="443">
        <v>0.05</v>
      </c>
      <c r="O1006" s="296">
        <v>6.0000000000000001E-3</v>
      </c>
      <c r="P1006" s="296"/>
      <c r="Q1006" s="444"/>
      <c r="R1006" s="633" t="str">
        <f>IF(OR(S1006="서산",S1006="광주",S1006="화성"),"선보","유림로지스")</f>
        <v>선보</v>
      </c>
      <c r="S1006" s="633" t="s">
        <v>2870</v>
      </c>
      <c r="T1006" s="633" t="str">
        <f>+IF(LEFT(D1006,1)="G","Y","N")</f>
        <v>N</v>
      </c>
      <c r="U1006" s="633">
        <v>0</v>
      </c>
      <c r="V1006" s="633">
        <v>0</v>
      </c>
      <c r="W1006" s="633">
        <v>0</v>
      </c>
      <c r="X1006" s="633" t="s">
        <v>2747</v>
      </c>
      <c r="Y1006" s="633" t="s">
        <v>2772</v>
      </c>
      <c r="Z1006" s="296"/>
      <c r="AA1006" s="633" t="s">
        <v>2783</v>
      </c>
      <c r="AB1006" s="1" t="s">
        <v>2731</v>
      </c>
      <c r="AC1006" s="736"/>
      <c r="AD1006" s="1"/>
      <c r="AE1006" s="1"/>
      <c r="AF1006" s="1" t="s">
        <v>2731</v>
      </c>
      <c r="AG1006" s="1"/>
      <c r="AH1006" s="1"/>
      <c r="AI1006" s="1" t="s">
        <v>3083</v>
      </c>
      <c r="AJ1006" s="1091"/>
      <c r="AK1006" s="1" t="s">
        <v>612</v>
      </c>
      <c r="AL1006" s="736"/>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c r="BP1006" s="1"/>
      <c r="BQ1006" s="1"/>
      <c r="BR1006" s="1"/>
      <c r="BS1006" s="1"/>
      <c r="BT1006" s="1"/>
      <c r="BU1006" s="1"/>
      <c r="BV1006" s="1"/>
      <c r="BW1006" s="1"/>
      <c r="BX1006" s="1"/>
      <c r="BY1006" s="1"/>
      <c r="BZ1006" s="1"/>
      <c r="CA1006" s="1"/>
      <c r="CB1006" s="1"/>
      <c r="CC1006" s="1"/>
      <c r="CD1006" s="1"/>
      <c r="CE1006" s="1"/>
      <c r="CF1006" s="1"/>
      <c r="CG1006" s="1"/>
      <c r="CH1006" s="1"/>
      <c r="CI1006" s="1"/>
      <c r="CJ1006" s="1"/>
      <c r="CK1006" s="1"/>
      <c r="CL1006" s="1"/>
    </row>
    <row r="1007" spans="1:90" s="1160" customFormat="1" ht="15" customHeight="1">
      <c r="A1007" s="417">
        <v>131</v>
      </c>
      <c r="B1007" s="417" t="s">
        <v>207</v>
      </c>
      <c r="C1007" s="2" t="s">
        <v>203</v>
      </c>
      <c r="D1007" s="2" t="s">
        <v>2913</v>
      </c>
      <c r="E1007" s="3">
        <v>2151</v>
      </c>
      <c r="F1007" s="4" t="s">
        <v>2804</v>
      </c>
      <c r="G1007" s="4">
        <f t="shared" si="133"/>
        <v>0.79</v>
      </c>
      <c r="H1007" s="4">
        <f t="shared" si="134"/>
        <v>0.71</v>
      </c>
      <c r="I1007" s="4">
        <f t="shared" si="137"/>
        <v>0.62</v>
      </c>
      <c r="J1007" s="4">
        <f t="shared" si="138"/>
        <v>0.54</v>
      </c>
      <c r="K1007" s="4">
        <f t="shared" si="135"/>
        <v>0.48</v>
      </c>
      <c r="L1007" s="441">
        <v>0</v>
      </c>
      <c r="M1007" s="2" t="s">
        <v>163</v>
      </c>
      <c r="N1007" s="443">
        <v>0.05</v>
      </c>
      <c r="O1007" s="296">
        <v>6.0000000000000001E-3</v>
      </c>
      <c r="P1007" s="296"/>
      <c r="Q1007" s="444"/>
      <c r="R1007" s="633" t="str">
        <f t="shared" si="117"/>
        <v>선보</v>
      </c>
      <c r="S1007" s="633" t="s">
        <v>2870</v>
      </c>
      <c r="T1007" s="633" t="str">
        <f t="shared" si="132"/>
        <v>N</v>
      </c>
      <c r="U1007" s="633">
        <v>0</v>
      </c>
      <c r="V1007" s="633">
        <v>0</v>
      </c>
      <c r="W1007" s="633">
        <v>0</v>
      </c>
      <c r="X1007" s="633" t="s">
        <v>2747</v>
      </c>
      <c r="Y1007" s="633" t="s">
        <v>2772</v>
      </c>
      <c r="Z1007" s="296"/>
      <c r="AA1007" s="633" t="s">
        <v>2783</v>
      </c>
      <c r="AB1007" s="1" t="s">
        <v>2731</v>
      </c>
      <c r="AC1007" s="736"/>
      <c r="AD1007" s="1"/>
      <c r="AE1007" s="1"/>
      <c r="AF1007" s="1" t="s">
        <v>2731</v>
      </c>
      <c r="AG1007" s="1"/>
      <c r="AH1007" s="1"/>
      <c r="AI1007" s="1" t="s">
        <v>3081</v>
      </c>
      <c r="AJ1007" s="1091"/>
      <c r="AK1007" s="1" t="s">
        <v>612</v>
      </c>
      <c r="AL1007" s="736"/>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c r="BP1007" s="1"/>
      <c r="BQ1007" s="1"/>
      <c r="BR1007" s="1"/>
      <c r="BS1007" s="1"/>
      <c r="BT1007" s="1"/>
      <c r="BU1007" s="1"/>
      <c r="BV1007" s="1"/>
      <c r="BW1007" s="1"/>
      <c r="BX1007" s="1"/>
      <c r="BY1007" s="1"/>
      <c r="BZ1007" s="1"/>
      <c r="CA1007" s="1"/>
      <c r="CB1007" s="1"/>
      <c r="CC1007" s="1"/>
      <c r="CD1007" s="1"/>
      <c r="CE1007" s="1"/>
      <c r="CF1007" s="1"/>
      <c r="CG1007" s="1"/>
      <c r="CH1007" s="1"/>
      <c r="CI1007" s="1"/>
      <c r="CJ1007" s="1"/>
      <c r="CK1007" s="1"/>
      <c r="CL1007" s="1"/>
    </row>
    <row r="1008" spans="1:90" s="1160" customFormat="1" ht="15" customHeight="1">
      <c r="A1008" s="417">
        <v>132</v>
      </c>
      <c r="B1008" s="1123" t="s">
        <v>207</v>
      </c>
      <c r="C1008" s="973" t="s">
        <v>203</v>
      </c>
      <c r="D1008" s="973" t="s">
        <v>2914</v>
      </c>
      <c r="E1008" s="974">
        <v>2497</v>
      </c>
      <c r="F1008" s="975" t="s">
        <v>2796</v>
      </c>
      <c r="G1008" s="975">
        <f t="shared" si="133"/>
        <v>0.72</v>
      </c>
      <c r="H1008" s="975">
        <f t="shared" si="134"/>
        <v>0.64</v>
      </c>
      <c r="I1008" s="975">
        <f t="shared" si="137"/>
        <v>0.55000000000000004</v>
      </c>
      <c r="J1008" s="975">
        <f t="shared" si="138"/>
        <v>0.47</v>
      </c>
      <c r="K1008" s="975">
        <f t="shared" si="135"/>
        <v>0.41</v>
      </c>
      <c r="L1008" s="1076">
        <v>0.05</v>
      </c>
      <c r="M1008" s="973" t="s">
        <v>322</v>
      </c>
      <c r="N1008" s="1077">
        <v>0.05</v>
      </c>
      <c r="O1008" s="1078">
        <v>6.0000000000000001E-3</v>
      </c>
      <c r="P1008" s="1078"/>
      <c r="Q1008" s="1079"/>
      <c r="R1008" s="1080" t="str">
        <f t="shared" si="117"/>
        <v>선보</v>
      </c>
      <c r="S1008" s="1080" t="s">
        <v>2870</v>
      </c>
      <c r="T1008" s="1080" t="str">
        <f t="shared" si="132"/>
        <v>N</v>
      </c>
      <c r="U1008" s="1080">
        <v>0.03</v>
      </c>
      <c r="V1008" s="1080">
        <v>0.04</v>
      </c>
      <c r="W1008" s="1080">
        <v>0.02</v>
      </c>
      <c r="X1008" s="1080" t="s">
        <v>2747</v>
      </c>
      <c r="Y1008" s="1080" t="s">
        <v>2772</v>
      </c>
      <c r="Z1008" s="1078"/>
      <c r="AA1008" s="1080" t="s">
        <v>2737</v>
      </c>
      <c r="AB1008" s="1061" t="s">
        <v>2772</v>
      </c>
      <c r="AC1008" s="1082"/>
      <c r="AD1008" s="1061"/>
      <c r="AE1008" s="1061"/>
      <c r="AF1008" s="1061" t="s">
        <v>2915</v>
      </c>
      <c r="AG1008" s="1061"/>
      <c r="AH1008" s="1061"/>
      <c r="AI1008" s="1061" t="s">
        <v>3081</v>
      </c>
      <c r="AJ1008" s="1061"/>
      <c r="AK1008" s="1061" t="s">
        <v>2969</v>
      </c>
      <c r="AL1008" s="736"/>
      <c r="AM1008" s="1061"/>
      <c r="AN1008" s="1061"/>
      <c r="AO1008" s="1061"/>
      <c r="AP1008" s="1061"/>
      <c r="AQ1008" s="1061"/>
      <c r="AR1008" s="1061"/>
      <c r="AS1008" s="1061"/>
      <c r="AT1008" s="1061"/>
      <c r="AU1008" s="1061"/>
      <c r="AV1008" s="1061"/>
      <c r="AW1008" s="1061"/>
      <c r="AX1008" s="1061"/>
      <c r="AY1008" s="1061"/>
      <c r="AZ1008" s="1061"/>
      <c r="BA1008" s="1061"/>
      <c r="BB1008" s="1061"/>
      <c r="BC1008" s="1061"/>
      <c r="BD1008" s="1061"/>
      <c r="BE1008" s="1061"/>
      <c r="BF1008" s="1061"/>
      <c r="BG1008" s="1061"/>
      <c r="BH1008" s="1061"/>
      <c r="BI1008" s="1061"/>
      <c r="BJ1008" s="1061"/>
      <c r="BK1008" s="1061"/>
      <c r="BL1008" s="1061"/>
      <c r="BM1008" s="1061"/>
      <c r="BN1008" s="1061"/>
      <c r="BO1008" s="1061"/>
      <c r="BP1008" s="1061"/>
      <c r="BQ1008" s="1061"/>
      <c r="BR1008" s="1061"/>
      <c r="BS1008" s="1061"/>
      <c r="BT1008" s="1061"/>
      <c r="BU1008" s="1061"/>
      <c r="BV1008" s="1061"/>
      <c r="BW1008" s="1061"/>
      <c r="BX1008" s="1061"/>
      <c r="BY1008" s="1061"/>
      <c r="BZ1008" s="1061"/>
      <c r="CA1008" s="1061"/>
      <c r="CB1008" s="1061"/>
      <c r="CC1008" s="1061"/>
      <c r="CD1008" s="1061"/>
      <c r="CE1008" s="1061"/>
      <c r="CF1008" s="1061"/>
      <c r="CG1008" s="1061"/>
      <c r="CH1008" s="1061"/>
      <c r="CI1008" s="1061"/>
      <c r="CJ1008" s="1061"/>
      <c r="CK1008" s="1061"/>
      <c r="CL1008" s="1061"/>
    </row>
    <row r="1009" spans="1:90" s="1160" customFormat="1" ht="15" customHeight="1">
      <c r="A1009" s="417">
        <v>133</v>
      </c>
      <c r="B1009" s="1123" t="s">
        <v>207</v>
      </c>
      <c r="C1009" s="973" t="s">
        <v>203</v>
      </c>
      <c r="D1009" s="973" t="s">
        <v>2916</v>
      </c>
      <c r="E1009" s="974">
        <v>2497</v>
      </c>
      <c r="F1009" s="975" t="s">
        <v>2796</v>
      </c>
      <c r="G1009" s="975">
        <f>+INDEX($BD$4:$CK$8,MATCH($G$3,$BC$4:$BC$8,0),MATCH(M1009,$BD$3:$CK$3,0))</f>
        <v>0.72</v>
      </c>
      <c r="H1009" s="975">
        <f>+INDEX($BD$4:$CK$8,MATCH($H$3,$BC$4:$BC$8,0),MATCH(M1009,$BD$3:$CK$3,0))</f>
        <v>0.64</v>
      </c>
      <c r="I1009" s="975">
        <f>+INDEX($BD$4:$CK$8,MATCH($I$3,$BC$4:$BC$8,0),MATCH(M1009,$BD$3:$CK$3,0))</f>
        <v>0.55000000000000004</v>
      </c>
      <c r="J1009" s="975">
        <f>+INDEX($BD$4:$CK$8,MATCH($J$3,$BC$4:$BC$8,0),MATCH(M1009,$BD$3:$CK$3,0))</f>
        <v>0.47</v>
      </c>
      <c r="K1009" s="975">
        <f>+INDEX($BD$4:$CK$8,MATCH($K$3,$BC$4:$BC$8,0),MATCH(M1009,$BD$3:$CK$3,0))</f>
        <v>0.41</v>
      </c>
      <c r="L1009" s="1076">
        <v>0.05</v>
      </c>
      <c r="M1009" s="973" t="s">
        <v>322</v>
      </c>
      <c r="N1009" s="1077">
        <v>0.05</v>
      </c>
      <c r="O1009" s="1078">
        <v>6.0000000000000001E-3</v>
      </c>
      <c r="P1009" s="1078"/>
      <c r="Q1009" s="1079"/>
      <c r="R1009" s="1080" t="str">
        <f>IF(OR(S1009="서산",S1009="광주",S1009="화성"),"선보","유림로지스")</f>
        <v>선보</v>
      </c>
      <c r="S1009" s="1080" t="s">
        <v>2870</v>
      </c>
      <c r="T1009" s="1080" t="str">
        <f>+IF(LEFT(D1009,1)="G","Y","N")</f>
        <v>N</v>
      </c>
      <c r="U1009" s="1080">
        <v>0.03</v>
      </c>
      <c r="V1009" s="1080">
        <v>0.04</v>
      </c>
      <c r="W1009" s="1080">
        <v>0.02</v>
      </c>
      <c r="X1009" s="1080" t="s">
        <v>2747</v>
      </c>
      <c r="Y1009" s="1080" t="s">
        <v>2772</v>
      </c>
      <c r="Z1009" s="1078"/>
      <c r="AA1009" s="1080" t="s">
        <v>2737</v>
      </c>
      <c r="AB1009" s="1061" t="s">
        <v>2772</v>
      </c>
      <c r="AC1009" s="1082"/>
      <c r="AD1009" s="1061"/>
      <c r="AE1009" s="1061"/>
      <c r="AF1009" s="1061" t="s">
        <v>2915</v>
      </c>
      <c r="AG1009" s="1061"/>
      <c r="AH1009" s="1061"/>
      <c r="AI1009" s="1061" t="s">
        <v>3081</v>
      </c>
      <c r="AJ1009" s="1061"/>
      <c r="AK1009" s="1061" t="s">
        <v>587</v>
      </c>
      <c r="AL1009" s="736"/>
      <c r="AM1009" s="1061"/>
      <c r="AN1009" s="1061"/>
      <c r="AO1009" s="1061"/>
      <c r="AP1009" s="1061"/>
      <c r="AQ1009" s="1061"/>
      <c r="AR1009" s="1061"/>
      <c r="AS1009" s="1061"/>
      <c r="AT1009" s="1061"/>
      <c r="AU1009" s="1061"/>
      <c r="AV1009" s="1061"/>
      <c r="AW1009" s="1061"/>
      <c r="AX1009" s="1061"/>
      <c r="AY1009" s="1061"/>
      <c r="AZ1009" s="1061"/>
      <c r="BA1009" s="1061"/>
      <c r="BB1009" s="1061"/>
      <c r="BC1009" s="1061"/>
      <c r="BD1009" s="1061"/>
      <c r="BE1009" s="1061"/>
      <c r="BF1009" s="1061"/>
      <c r="BG1009" s="1061"/>
      <c r="BH1009" s="1061"/>
      <c r="BI1009" s="1061"/>
      <c r="BJ1009" s="1061"/>
      <c r="BK1009" s="1061"/>
      <c r="BL1009" s="1061"/>
      <c r="BM1009" s="1061"/>
      <c r="BN1009" s="1061"/>
      <c r="BO1009" s="1061"/>
      <c r="BP1009" s="1061"/>
      <c r="BQ1009" s="1061"/>
      <c r="BR1009" s="1061"/>
      <c r="BS1009" s="1061"/>
      <c r="BT1009" s="1061"/>
      <c r="BU1009" s="1061"/>
      <c r="BV1009" s="1061"/>
      <c r="BW1009" s="1061"/>
      <c r="BX1009" s="1061"/>
      <c r="BY1009" s="1061"/>
      <c r="BZ1009" s="1061"/>
      <c r="CA1009" s="1061"/>
      <c r="CB1009" s="1061"/>
      <c r="CC1009" s="1061"/>
      <c r="CD1009" s="1061"/>
      <c r="CE1009" s="1061"/>
      <c r="CF1009" s="1061"/>
      <c r="CG1009" s="1061"/>
      <c r="CH1009" s="1061"/>
      <c r="CI1009" s="1061"/>
      <c r="CJ1009" s="1061"/>
      <c r="CK1009" s="1061"/>
      <c r="CL1009" s="1061"/>
    </row>
    <row r="1010" spans="1:90" s="1160" customFormat="1" ht="15" customHeight="1">
      <c r="A1010" s="417">
        <v>134</v>
      </c>
      <c r="B1010" s="1123" t="s">
        <v>207</v>
      </c>
      <c r="C1010" s="973" t="s">
        <v>203</v>
      </c>
      <c r="D1010" s="973" t="s">
        <v>2917</v>
      </c>
      <c r="E1010" s="974">
        <v>2497</v>
      </c>
      <c r="F1010" s="975" t="s">
        <v>2804</v>
      </c>
      <c r="G1010" s="975">
        <f t="shared" si="133"/>
        <v>0.72</v>
      </c>
      <c r="H1010" s="975">
        <f t="shared" si="134"/>
        <v>0.64</v>
      </c>
      <c r="I1010" s="975">
        <f t="shared" si="137"/>
        <v>0.55000000000000004</v>
      </c>
      <c r="J1010" s="975">
        <f t="shared" si="138"/>
        <v>0.47</v>
      </c>
      <c r="K1010" s="975">
        <f t="shared" si="135"/>
        <v>0.41</v>
      </c>
      <c r="L1010" s="1076">
        <v>0.05</v>
      </c>
      <c r="M1010" s="973" t="s">
        <v>322</v>
      </c>
      <c r="N1010" s="1077">
        <v>0.05</v>
      </c>
      <c r="O1010" s="1078">
        <v>6.0000000000000001E-3</v>
      </c>
      <c r="P1010" s="1078"/>
      <c r="Q1010" s="1079"/>
      <c r="R1010" s="1080" t="str">
        <f t="shared" si="117"/>
        <v>선보</v>
      </c>
      <c r="S1010" s="1080" t="s">
        <v>2870</v>
      </c>
      <c r="T1010" s="1080" t="str">
        <f t="shared" si="132"/>
        <v>N</v>
      </c>
      <c r="U1010" s="1080">
        <v>0.03</v>
      </c>
      <c r="V1010" s="1080">
        <v>0.04</v>
      </c>
      <c r="W1010" s="1080">
        <v>0.02</v>
      </c>
      <c r="X1010" s="1080" t="s">
        <v>2747</v>
      </c>
      <c r="Y1010" s="1080" t="s">
        <v>2772</v>
      </c>
      <c r="Z1010" s="1078"/>
      <c r="AA1010" s="1080" t="s">
        <v>2737</v>
      </c>
      <c r="AB1010" s="1061" t="s">
        <v>2772</v>
      </c>
      <c r="AC1010" s="1082"/>
      <c r="AD1010" s="1061"/>
      <c r="AE1010" s="1061"/>
      <c r="AF1010" s="1061" t="s">
        <v>2915</v>
      </c>
      <c r="AG1010" s="1061"/>
      <c r="AH1010" s="1061"/>
      <c r="AI1010" s="1061" t="s">
        <v>3082</v>
      </c>
      <c r="AJ1010" s="1061"/>
      <c r="AK1010" s="1061" t="s">
        <v>2957</v>
      </c>
      <c r="AL1010" s="736"/>
      <c r="AM1010" s="1061"/>
      <c r="AN1010" s="1061"/>
      <c r="AO1010" s="1061"/>
      <c r="AP1010" s="1061"/>
      <c r="AQ1010" s="1061"/>
      <c r="AR1010" s="1061"/>
      <c r="AS1010" s="1061"/>
      <c r="AT1010" s="1061"/>
      <c r="AU1010" s="1061"/>
      <c r="AV1010" s="1061"/>
      <c r="AW1010" s="1061"/>
      <c r="AX1010" s="1061"/>
      <c r="AY1010" s="1061"/>
      <c r="AZ1010" s="1061"/>
      <c r="BA1010" s="1061"/>
      <c r="BB1010" s="1061"/>
      <c r="BC1010" s="1061"/>
      <c r="BD1010" s="1061"/>
      <c r="BE1010" s="1061"/>
      <c r="BF1010" s="1061"/>
      <c r="BG1010" s="1061"/>
      <c r="BH1010" s="1061"/>
      <c r="BI1010" s="1061"/>
      <c r="BJ1010" s="1061"/>
      <c r="BK1010" s="1061"/>
      <c r="BL1010" s="1061"/>
      <c r="BM1010" s="1061"/>
      <c r="BN1010" s="1061"/>
      <c r="BO1010" s="1061"/>
      <c r="BP1010" s="1061"/>
      <c r="BQ1010" s="1061"/>
      <c r="BR1010" s="1061"/>
      <c r="BS1010" s="1061"/>
      <c r="BT1010" s="1061"/>
      <c r="BU1010" s="1061"/>
      <c r="BV1010" s="1061"/>
      <c r="BW1010" s="1061"/>
      <c r="BX1010" s="1061"/>
      <c r="BY1010" s="1061"/>
      <c r="BZ1010" s="1061"/>
      <c r="CA1010" s="1061"/>
      <c r="CB1010" s="1061"/>
      <c r="CC1010" s="1061"/>
      <c r="CD1010" s="1061"/>
      <c r="CE1010" s="1061"/>
      <c r="CF1010" s="1061"/>
      <c r="CG1010" s="1061"/>
      <c r="CH1010" s="1061"/>
      <c r="CI1010" s="1061"/>
      <c r="CJ1010" s="1061"/>
      <c r="CK1010" s="1061"/>
      <c r="CL1010" s="1061"/>
    </row>
    <row r="1011" spans="1:90" s="1171" customFormat="1" ht="15" customHeight="1" thickBot="1">
      <c r="A1011" s="417">
        <v>135</v>
      </c>
      <c r="B1011" s="1123" t="s">
        <v>207</v>
      </c>
      <c r="C1011" s="973" t="s">
        <v>203</v>
      </c>
      <c r="D1011" s="973" t="s">
        <v>2918</v>
      </c>
      <c r="E1011" s="974">
        <v>1598</v>
      </c>
      <c r="F1011" s="975" t="s">
        <v>2826</v>
      </c>
      <c r="G1011" s="975">
        <f t="shared" si="133"/>
        <v>0.73</v>
      </c>
      <c r="H1011" s="975">
        <f t="shared" si="134"/>
        <v>0.65</v>
      </c>
      <c r="I1011" s="975">
        <f t="shared" si="137"/>
        <v>0.56000000000000005</v>
      </c>
      <c r="J1011" s="975">
        <f t="shared" si="138"/>
        <v>0.48</v>
      </c>
      <c r="K1011" s="975">
        <f t="shared" si="135"/>
        <v>0.42</v>
      </c>
      <c r="L1011" s="1076">
        <v>0.05</v>
      </c>
      <c r="M1011" s="973" t="s">
        <v>321</v>
      </c>
      <c r="N1011" s="1077">
        <v>0.05</v>
      </c>
      <c r="O1011" s="1078">
        <v>6.0000000000000001E-3</v>
      </c>
      <c r="P1011" s="1078"/>
      <c r="Q1011" s="1079"/>
      <c r="R1011" s="1080" t="str">
        <f t="shared" si="117"/>
        <v>선보</v>
      </c>
      <c r="S1011" s="1080" t="s">
        <v>2870</v>
      </c>
      <c r="T1011" s="1080" t="str">
        <f t="shared" si="132"/>
        <v>N</v>
      </c>
      <c r="U1011" s="1080">
        <v>0.02</v>
      </c>
      <c r="V1011" s="1080">
        <v>0.03</v>
      </c>
      <c r="W1011" s="1080">
        <v>0.01</v>
      </c>
      <c r="X1011" s="1080" t="s">
        <v>2747</v>
      </c>
      <c r="Y1011" s="1080" t="s">
        <v>2772</v>
      </c>
      <c r="Z1011" s="1078"/>
      <c r="AA1011" s="1080" t="s">
        <v>2768</v>
      </c>
      <c r="AB1011" s="1061" t="s">
        <v>2772</v>
      </c>
      <c r="AC1011" s="1082"/>
      <c r="AD1011" s="1061"/>
      <c r="AE1011" s="1061"/>
      <c r="AF1011" s="1061" t="s">
        <v>2772</v>
      </c>
      <c r="AG1011" s="1061"/>
      <c r="AH1011" s="1061"/>
      <c r="AI1011" s="1061" t="s">
        <v>3081</v>
      </c>
      <c r="AJ1011" s="1061"/>
      <c r="AK1011" s="1061" t="s">
        <v>587</v>
      </c>
      <c r="AL1011" s="736"/>
      <c r="AM1011" s="1061"/>
      <c r="AN1011" s="1061"/>
      <c r="AO1011" s="1061"/>
      <c r="AP1011" s="1061"/>
      <c r="AQ1011" s="1061"/>
      <c r="AR1011" s="1061"/>
      <c r="AS1011" s="1061"/>
      <c r="AT1011" s="1061"/>
      <c r="AU1011" s="1061"/>
      <c r="AV1011" s="1061"/>
      <c r="AW1011" s="1061"/>
      <c r="AX1011" s="1061"/>
      <c r="AY1011" s="1061"/>
      <c r="AZ1011" s="1061"/>
      <c r="BA1011" s="1061"/>
      <c r="BB1011" s="1061"/>
      <c r="BC1011" s="1061"/>
      <c r="BD1011" s="1061"/>
      <c r="BE1011" s="1061"/>
      <c r="BF1011" s="1061"/>
      <c r="BG1011" s="1061"/>
      <c r="BH1011" s="1061"/>
      <c r="BI1011" s="1061"/>
      <c r="BJ1011" s="1061"/>
      <c r="BK1011" s="1061"/>
      <c r="BL1011" s="1061"/>
      <c r="BM1011" s="1061"/>
      <c r="BN1011" s="1061"/>
      <c r="BO1011" s="1061"/>
      <c r="BP1011" s="1061"/>
      <c r="BQ1011" s="1061"/>
      <c r="BR1011" s="1061"/>
      <c r="BS1011" s="1061"/>
      <c r="BT1011" s="1061"/>
      <c r="BU1011" s="1061"/>
      <c r="BV1011" s="1061"/>
      <c r="BW1011" s="1061"/>
      <c r="BX1011" s="1061"/>
      <c r="BY1011" s="1061"/>
      <c r="BZ1011" s="1061"/>
      <c r="CA1011" s="1061"/>
      <c r="CB1011" s="1061"/>
      <c r="CC1011" s="1061"/>
      <c r="CD1011" s="1061"/>
      <c r="CE1011" s="1061"/>
      <c r="CF1011" s="1061"/>
      <c r="CG1011" s="1061"/>
      <c r="CH1011" s="1061"/>
      <c r="CI1011" s="1061"/>
      <c r="CJ1011" s="1061"/>
      <c r="CK1011" s="1061"/>
      <c r="CL1011" s="1061"/>
    </row>
    <row r="1012" spans="1:90" ht="15" customHeight="1">
      <c r="A1012" s="417">
        <v>136</v>
      </c>
      <c r="B1012" s="1123" t="s">
        <v>207</v>
      </c>
      <c r="C1012" s="973" t="s">
        <v>203</v>
      </c>
      <c r="D1012" s="973" t="s">
        <v>2919</v>
      </c>
      <c r="E1012" s="974">
        <v>1598</v>
      </c>
      <c r="F1012" s="975" t="s">
        <v>2826</v>
      </c>
      <c r="G1012" s="975">
        <f>+INDEX($BD$4:$CK$8,MATCH($G$3,$BC$4:$BC$8,0),MATCH(M1012,$BD$3:$CK$3,0))</f>
        <v>0.73</v>
      </c>
      <c r="H1012" s="975">
        <f>+INDEX($BD$4:$CK$8,MATCH($H$3,$BC$4:$BC$8,0),MATCH(M1012,$BD$3:$CK$3,0))</f>
        <v>0.65</v>
      </c>
      <c r="I1012" s="975">
        <f>+INDEX($BD$4:$CK$8,MATCH($I$3,$BC$4:$BC$8,0),MATCH(M1012,$BD$3:$CK$3,0))</f>
        <v>0.56000000000000005</v>
      </c>
      <c r="J1012" s="975">
        <f>+INDEX($BD$4:$CK$8,MATCH($J$3,$BC$4:$BC$8,0),MATCH(M1012,$BD$3:$CK$3,0))</f>
        <v>0.48</v>
      </c>
      <c r="K1012" s="975">
        <f>+INDEX($BD$4:$CK$8,MATCH($K$3,$BC$4:$BC$8,0),MATCH(M1012,$BD$3:$CK$3,0))</f>
        <v>0.42</v>
      </c>
      <c r="L1012" s="1076">
        <v>0.05</v>
      </c>
      <c r="M1012" s="973" t="s">
        <v>321</v>
      </c>
      <c r="N1012" s="1077">
        <v>0.05</v>
      </c>
      <c r="O1012" s="1078">
        <v>6.0000000000000001E-3</v>
      </c>
      <c r="P1012" s="1078"/>
      <c r="Q1012" s="1079"/>
      <c r="R1012" s="1080" t="str">
        <f>IF(OR(S1012="서산",S1012="광주",S1012="화성"),"선보","유림로지스")</f>
        <v>선보</v>
      </c>
      <c r="S1012" s="1080" t="s">
        <v>2870</v>
      </c>
      <c r="T1012" s="1080" t="str">
        <f>+IF(LEFT(D1012,1)="G","Y","N")</f>
        <v>N</v>
      </c>
      <c r="U1012" s="1080">
        <v>0.02</v>
      </c>
      <c r="V1012" s="1080">
        <v>0.03</v>
      </c>
      <c r="W1012" s="1080">
        <v>0.01</v>
      </c>
      <c r="X1012" s="1080" t="s">
        <v>2747</v>
      </c>
      <c r="Y1012" s="1080" t="s">
        <v>2772</v>
      </c>
      <c r="Z1012" s="1078"/>
      <c r="AA1012" s="1080" t="s">
        <v>2768</v>
      </c>
      <c r="AB1012" s="1061" t="s">
        <v>2772</v>
      </c>
      <c r="AC1012" s="1082"/>
      <c r="AD1012" s="1061"/>
      <c r="AE1012" s="1061"/>
      <c r="AF1012" s="1061" t="s">
        <v>2772</v>
      </c>
      <c r="AG1012" s="1061"/>
      <c r="AH1012" s="1061"/>
      <c r="AI1012" s="1061" t="s">
        <v>3081</v>
      </c>
      <c r="AJ1012" s="1061"/>
      <c r="AK1012" s="1061" t="s">
        <v>2957</v>
      </c>
      <c r="AL1012" s="736"/>
      <c r="AM1012" s="1061"/>
      <c r="AN1012" s="1061"/>
      <c r="AO1012" s="1061"/>
      <c r="AP1012" s="1061"/>
      <c r="AQ1012" s="1061"/>
      <c r="AR1012" s="1061"/>
      <c r="AS1012" s="1061"/>
      <c r="AT1012" s="1061"/>
      <c r="AU1012" s="1061"/>
      <c r="AV1012" s="1061"/>
      <c r="AW1012" s="1061"/>
      <c r="AX1012" s="1061"/>
      <c r="AY1012" s="1061"/>
      <c r="AZ1012" s="1061"/>
      <c r="BA1012" s="1061"/>
      <c r="BB1012" s="1061"/>
      <c r="BC1012" s="1061"/>
      <c r="BD1012" s="1061"/>
      <c r="BE1012" s="1061"/>
      <c r="BF1012" s="1061"/>
      <c r="BG1012" s="1061"/>
      <c r="BH1012" s="1061"/>
      <c r="BI1012" s="1061"/>
      <c r="BJ1012" s="1061"/>
      <c r="BK1012" s="1061"/>
      <c r="BL1012" s="1061"/>
      <c r="BM1012" s="1061"/>
      <c r="BN1012" s="1061"/>
      <c r="BO1012" s="1061"/>
      <c r="BP1012" s="1061"/>
      <c r="BQ1012" s="1061"/>
      <c r="BR1012" s="1061"/>
      <c r="BS1012" s="1061"/>
      <c r="BT1012" s="1061"/>
      <c r="BU1012" s="1061"/>
      <c r="BV1012" s="1061"/>
      <c r="BW1012" s="1061"/>
      <c r="BX1012" s="1061"/>
      <c r="BY1012" s="1061"/>
      <c r="BZ1012" s="1061"/>
      <c r="CA1012" s="1061"/>
      <c r="CB1012" s="1061"/>
      <c r="CC1012" s="1061"/>
      <c r="CD1012" s="1061"/>
      <c r="CE1012" s="1061"/>
      <c r="CF1012" s="1061"/>
      <c r="CG1012" s="1061"/>
      <c r="CH1012" s="1061"/>
      <c r="CI1012" s="1061"/>
      <c r="CJ1012" s="1061"/>
      <c r="CK1012" s="1061"/>
      <c r="CL1012" s="1061"/>
    </row>
    <row r="1013" spans="1:90" ht="15" customHeight="1">
      <c r="A1013" s="417">
        <v>137</v>
      </c>
      <c r="B1013" s="1123" t="s">
        <v>207</v>
      </c>
      <c r="C1013" s="973" t="s">
        <v>203</v>
      </c>
      <c r="D1013" s="973" t="s">
        <v>2920</v>
      </c>
      <c r="E1013" s="974">
        <v>1598</v>
      </c>
      <c r="F1013" s="975" t="s">
        <v>2826</v>
      </c>
      <c r="G1013" s="975">
        <f>+INDEX($BD$4:$CK$8,MATCH($G$3,$BC$4:$BC$8,0),MATCH(M1013,$BD$3:$CK$3,0))</f>
        <v>0.73</v>
      </c>
      <c r="H1013" s="975">
        <f>+INDEX($BD$4:$CK$8,MATCH($H$3,$BC$4:$BC$8,0),MATCH(M1013,$BD$3:$CK$3,0))</f>
        <v>0.65</v>
      </c>
      <c r="I1013" s="975">
        <f>+INDEX($BD$4:$CK$8,MATCH($I$3,$BC$4:$BC$8,0),MATCH(M1013,$BD$3:$CK$3,0))</f>
        <v>0.56000000000000005</v>
      </c>
      <c r="J1013" s="975">
        <f>+INDEX($BD$4:$CK$8,MATCH($J$3,$BC$4:$BC$8,0),MATCH(M1013,$BD$3:$CK$3,0))</f>
        <v>0.48</v>
      </c>
      <c r="K1013" s="975">
        <f>+INDEX($BD$4:$CK$8,MATCH($K$3,$BC$4:$BC$8,0),MATCH(M1013,$BD$3:$CK$3,0))</f>
        <v>0.42</v>
      </c>
      <c r="L1013" s="1076">
        <v>0.05</v>
      </c>
      <c r="M1013" s="973" t="s">
        <v>321</v>
      </c>
      <c r="N1013" s="1077">
        <v>0.05</v>
      </c>
      <c r="O1013" s="1078">
        <v>6.0000000000000001E-3</v>
      </c>
      <c r="P1013" s="1078"/>
      <c r="Q1013" s="1079"/>
      <c r="R1013" s="1080" t="str">
        <f>IF(OR(S1013="서산",S1013="광주",S1013="화성"),"선보","유림로지스")</f>
        <v>선보</v>
      </c>
      <c r="S1013" s="1080" t="s">
        <v>2870</v>
      </c>
      <c r="T1013" s="1080" t="str">
        <f>+IF(LEFT(D1013,1)="G","Y","N")</f>
        <v>N</v>
      </c>
      <c r="U1013" s="1080">
        <v>0.02</v>
      </c>
      <c r="V1013" s="1080">
        <v>0.03</v>
      </c>
      <c r="W1013" s="1080">
        <v>0.01</v>
      </c>
      <c r="X1013" s="1080" t="s">
        <v>2747</v>
      </c>
      <c r="Y1013" s="1080" t="s">
        <v>2772</v>
      </c>
      <c r="Z1013" s="1078"/>
      <c r="AA1013" s="1080" t="s">
        <v>2768</v>
      </c>
      <c r="AB1013" s="1061" t="s">
        <v>2772</v>
      </c>
      <c r="AC1013" s="1082"/>
      <c r="AD1013" s="1061"/>
      <c r="AE1013" s="1061"/>
      <c r="AF1013" s="1061" t="s">
        <v>2772</v>
      </c>
      <c r="AG1013" s="1061"/>
      <c r="AH1013" s="1061"/>
      <c r="AI1013" s="1061" t="s">
        <v>3081</v>
      </c>
      <c r="AJ1013" s="1061"/>
      <c r="AK1013" s="1061" t="s">
        <v>2940</v>
      </c>
      <c r="AL1013" s="736"/>
      <c r="AM1013" s="1061"/>
      <c r="AN1013" s="1061"/>
      <c r="AO1013" s="1061"/>
      <c r="AP1013" s="1061"/>
      <c r="AQ1013" s="1061"/>
      <c r="AR1013" s="1061"/>
      <c r="AS1013" s="1061"/>
      <c r="AT1013" s="1061"/>
      <c r="AU1013" s="1061"/>
      <c r="AV1013" s="1061"/>
      <c r="AW1013" s="1061"/>
      <c r="AX1013" s="1061"/>
      <c r="AY1013" s="1061"/>
      <c r="AZ1013" s="1061"/>
      <c r="BA1013" s="1061"/>
      <c r="BB1013" s="1061"/>
      <c r="BC1013" s="1061"/>
      <c r="BD1013" s="1061"/>
      <c r="BE1013" s="1061"/>
      <c r="BF1013" s="1061"/>
      <c r="BG1013" s="1061"/>
      <c r="BH1013" s="1061"/>
      <c r="BI1013" s="1061"/>
      <c r="BJ1013" s="1061"/>
      <c r="BK1013" s="1061"/>
      <c r="BL1013" s="1061"/>
      <c r="BM1013" s="1061"/>
      <c r="BN1013" s="1061"/>
      <c r="BO1013" s="1061"/>
      <c r="BP1013" s="1061"/>
      <c r="BQ1013" s="1061"/>
      <c r="BR1013" s="1061"/>
      <c r="BS1013" s="1061"/>
      <c r="BT1013" s="1061"/>
      <c r="BU1013" s="1061"/>
      <c r="BV1013" s="1061"/>
      <c r="BW1013" s="1061"/>
      <c r="BX1013" s="1061"/>
      <c r="BY1013" s="1061"/>
      <c r="BZ1013" s="1061"/>
      <c r="CA1013" s="1061"/>
      <c r="CB1013" s="1061"/>
      <c r="CC1013" s="1061"/>
      <c r="CD1013" s="1061"/>
      <c r="CE1013" s="1061"/>
      <c r="CF1013" s="1061"/>
      <c r="CG1013" s="1061"/>
      <c r="CH1013" s="1061"/>
      <c r="CI1013" s="1061"/>
      <c r="CJ1013" s="1061"/>
      <c r="CK1013" s="1061"/>
      <c r="CL1013" s="1061"/>
    </row>
    <row r="1014" spans="1:90" ht="15" customHeight="1">
      <c r="A1014" s="417">
        <v>138</v>
      </c>
      <c r="B1014" s="1123" t="s">
        <v>207</v>
      </c>
      <c r="C1014" s="973" t="s">
        <v>203</v>
      </c>
      <c r="D1014" s="973" t="s">
        <v>2921</v>
      </c>
      <c r="E1014" s="974">
        <v>1598</v>
      </c>
      <c r="F1014" s="975" t="s">
        <v>2796</v>
      </c>
      <c r="G1014" s="975">
        <f t="shared" si="133"/>
        <v>0.73</v>
      </c>
      <c r="H1014" s="975">
        <f t="shared" si="134"/>
        <v>0.65</v>
      </c>
      <c r="I1014" s="975">
        <f t="shared" si="137"/>
        <v>0.56000000000000005</v>
      </c>
      <c r="J1014" s="975">
        <f t="shared" si="138"/>
        <v>0.48</v>
      </c>
      <c r="K1014" s="975">
        <f t="shared" si="135"/>
        <v>0.42</v>
      </c>
      <c r="L1014" s="1076">
        <v>0.05</v>
      </c>
      <c r="M1014" s="973" t="s">
        <v>321</v>
      </c>
      <c r="N1014" s="1077">
        <v>0.05</v>
      </c>
      <c r="O1014" s="1078">
        <v>6.0000000000000001E-3</v>
      </c>
      <c r="P1014" s="1078"/>
      <c r="Q1014" s="1079"/>
      <c r="R1014" s="1080" t="str">
        <f t="shared" si="117"/>
        <v>선보</v>
      </c>
      <c r="S1014" s="1080" t="s">
        <v>2870</v>
      </c>
      <c r="T1014" s="1080" t="str">
        <f t="shared" si="132"/>
        <v>N</v>
      </c>
      <c r="U1014" s="1080">
        <v>0.02</v>
      </c>
      <c r="V1014" s="1080">
        <v>0.03</v>
      </c>
      <c r="W1014" s="1080">
        <v>0.01</v>
      </c>
      <c r="X1014" s="1080" t="s">
        <v>2747</v>
      </c>
      <c r="Y1014" s="1080" t="s">
        <v>2772</v>
      </c>
      <c r="Z1014" s="1078"/>
      <c r="AA1014" s="1080" t="s">
        <v>2768</v>
      </c>
      <c r="AB1014" s="1061" t="s">
        <v>2772</v>
      </c>
      <c r="AC1014" s="1082"/>
      <c r="AD1014" s="1061"/>
      <c r="AE1014" s="1061"/>
      <c r="AF1014" s="1061" t="s">
        <v>2772</v>
      </c>
      <c r="AG1014" s="1061"/>
      <c r="AH1014" s="1061"/>
      <c r="AI1014" s="1061" t="s">
        <v>3081</v>
      </c>
      <c r="AJ1014" s="1061"/>
      <c r="AK1014" s="1061" t="s">
        <v>2940</v>
      </c>
      <c r="AL1014" s="736"/>
      <c r="AM1014" s="1061"/>
      <c r="AN1014" s="1061"/>
      <c r="AO1014" s="1061"/>
      <c r="AP1014" s="1061"/>
      <c r="AQ1014" s="1061"/>
      <c r="AR1014" s="1061"/>
      <c r="AS1014" s="1061"/>
      <c r="AT1014" s="1061"/>
      <c r="AU1014" s="1061"/>
      <c r="AV1014" s="1061"/>
      <c r="AW1014" s="1061"/>
      <c r="AX1014" s="1061"/>
      <c r="AY1014" s="1061"/>
      <c r="AZ1014" s="1061"/>
      <c r="BA1014" s="1061"/>
      <c r="BB1014" s="1061"/>
      <c r="BC1014" s="1061"/>
      <c r="BD1014" s="1061"/>
      <c r="BE1014" s="1061"/>
      <c r="BF1014" s="1061"/>
      <c r="BG1014" s="1061"/>
      <c r="BH1014" s="1061"/>
      <c r="BI1014" s="1061"/>
      <c r="BJ1014" s="1061"/>
      <c r="BK1014" s="1061"/>
      <c r="BL1014" s="1061"/>
      <c r="BM1014" s="1061"/>
      <c r="BN1014" s="1061"/>
      <c r="BO1014" s="1061"/>
      <c r="BP1014" s="1061"/>
      <c r="BQ1014" s="1061"/>
      <c r="BR1014" s="1061"/>
      <c r="BS1014" s="1061"/>
      <c r="BT1014" s="1061"/>
      <c r="BU1014" s="1061"/>
      <c r="BV1014" s="1061"/>
      <c r="BW1014" s="1061"/>
      <c r="BX1014" s="1061"/>
      <c r="BY1014" s="1061"/>
      <c r="BZ1014" s="1061"/>
      <c r="CA1014" s="1061"/>
      <c r="CB1014" s="1061"/>
      <c r="CC1014" s="1061"/>
      <c r="CD1014" s="1061"/>
      <c r="CE1014" s="1061"/>
      <c r="CF1014" s="1061"/>
      <c r="CG1014" s="1061"/>
      <c r="CH1014" s="1061"/>
      <c r="CI1014" s="1061"/>
      <c r="CJ1014" s="1061"/>
      <c r="CK1014" s="1061"/>
      <c r="CL1014" s="1061"/>
    </row>
    <row r="1015" spans="1:90" ht="15" customHeight="1">
      <c r="A1015" s="417">
        <v>139</v>
      </c>
      <c r="B1015" s="1123" t="s">
        <v>207</v>
      </c>
      <c r="C1015" s="973" t="s">
        <v>203</v>
      </c>
      <c r="D1015" s="973" t="s">
        <v>2922</v>
      </c>
      <c r="E1015" s="974">
        <v>1598</v>
      </c>
      <c r="F1015" s="975" t="s">
        <v>2796</v>
      </c>
      <c r="G1015" s="975">
        <f t="shared" si="133"/>
        <v>0.73</v>
      </c>
      <c r="H1015" s="975">
        <f t="shared" si="134"/>
        <v>0.65</v>
      </c>
      <c r="I1015" s="975">
        <f t="shared" si="137"/>
        <v>0.56000000000000005</v>
      </c>
      <c r="J1015" s="975">
        <f t="shared" si="138"/>
        <v>0.48</v>
      </c>
      <c r="K1015" s="975">
        <f t="shared" si="135"/>
        <v>0.42</v>
      </c>
      <c r="L1015" s="1076">
        <v>0.05</v>
      </c>
      <c r="M1015" s="973" t="s">
        <v>710</v>
      </c>
      <c r="N1015" s="1077">
        <v>0.05</v>
      </c>
      <c r="O1015" s="1078">
        <v>6.0000000000000001E-3</v>
      </c>
      <c r="P1015" s="1078"/>
      <c r="Q1015" s="1079"/>
      <c r="R1015" s="1080" t="str">
        <f t="shared" si="117"/>
        <v>선보</v>
      </c>
      <c r="S1015" s="1080" t="s">
        <v>2870</v>
      </c>
      <c r="T1015" s="1080" t="str">
        <f t="shared" si="132"/>
        <v>N</v>
      </c>
      <c r="U1015" s="1080">
        <v>0.02</v>
      </c>
      <c r="V1015" s="1080">
        <v>0.03</v>
      </c>
      <c r="W1015" s="1080">
        <v>0.01</v>
      </c>
      <c r="X1015" s="1080" t="s">
        <v>2747</v>
      </c>
      <c r="Y1015" s="1080" t="s">
        <v>2772</v>
      </c>
      <c r="Z1015" s="1078"/>
      <c r="AA1015" s="1080" t="s">
        <v>2768</v>
      </c>
      <c r="AB1015" s="1061" t="s">
        <v>2772</v>
      </c>
      <c r="AC1015" s="1082"/>
      <c r="AD1015" s="1061"/>
      <c r="AE1015" s="1061"/>
      <c r="AF1015" s="1061" t="s">
        <v>2772</v>
      </c>
      <c r="AG1015" s="1061"/>
      <c r="AH1015" s="1061"/>
      <c r="AI1015" s="1061" t="s">
        <v>3081</v>
      </c>
      <c r="AJ1015" s="1061"/>
      <c r="AK1015" s="1061" t="s">
        <v>2940</v>
      </c>
      <c r="AL1015" s="736"/>
      <c r="AM1015" s="1061"/>
      <c r="AN1015" s="1061"/>
      <c r="AO1015" s="1061"/>
      <c r="AP1015" s="1061"/>
      <c r="AQ1015" s="1061"/>
      <c r="AR1015" s="1061"/>
      <c r="AS1015" s="1061"/>
      <c r="AT1015" s="1061"/>
      <c r="AU1015" s="1061"/>
      <c r="AV1015" s="1061"/>
      <c r="AW1015" s="1061"/>
      <c r="AX1015" s="1061"/>
      <c r="AY1015" s="1061"/>
      <c r="AZ1015" s="1061"/>
      <c r="BA1015" s="1061"/>
      <c r="BB1015" s="1061"/>
      <c r="BC1015" s="1061"/>
      <c r="BD1015" s="1061"/>
      <c r="BE1015" s="1061"/>
      <c r="BF1015" s="1061"/>
      <c r="BG1015" s="1061"/>
      <c r="BH1015" s="1061"/>
      <c r="BI1015" s="1061"/>
      <c r="BJ1015" s="1061"/>
      <c r="BK1015" s="1061"/>
      <c r="BL1015" s="1061"/>
      <c r="BM1015" s="1061"/>
      <c r="BN1015" s="1061"/>
      <c r="BO1015" s="1061"/>
      <c r="BP1015" s="1061"/>
      <c r="BQ1015" s="1061"/>
      <c r="BR1015" s="1061"/>
      <c r="BS1015" s="1061"/>
      <c r="BT1015" s="1061"/>
      <c r="BU1015" s="1061"/>
      <c r="BV1015" s="1061"/>
      <c r="BW1015" s="1061"/>
      <c r="BX1015" s="1061"/>
      <c r="BY1015" s="1061"/>
      <c r="BZ1015" s="1061"/>
      <c r="CA1015" s="1061"/>
      <c r="CB1015" s="1061"/>
      <c r="CC1015" s="1061"/>
      <c r="CD1015" s="1061"/>
      <c r="CE1015" s="1061"/>
      <c r="CF1015" s="1061"/>
      <c r="CG1015" s="1061"/>
      <c r="CH1015" s="1061"/>
      <c r="CI1015" s="1061"/>
      <c r="CJ1015" s="1061"/>
      <c r="CK1015" s="1061"/>
      <c r="CL1015" s="1061"/>
    </row>
    <row r="1016" spans="1:90" ht="15" customHeight="1">
      <c r="A1016" s="417">
        <v>140</v>
      </c>
      <c r="B1016" s="1123" t="s">
        <v>207</v>
      </c>
      <c r="C1016" s="973" t="s">
        <v>203</v>
      </c>
      <c r="D1016" s="973" t="s">
        <v>2923</v>
      </c>
      <c r="E1016" s="974">
        <v>1598</v>
      </c>
      <c r="F1016" s="975" t="s">
        <v>2804</v>
      </c>
      <c r="G1016" s="975">
        <f t="shared" si="133"/>
        <v>0.73</v>
      </c>
      <c r="H1016" s="975">
        <f t="shared" si="134"/>
        <v>0.65</v>
      </c>
      <c r="I1016" s="975">
        <f t="shared" si="137"/>
        <v>0.56000000000000005</v>
      </c>
      <c r="J1016" s="975">
        <f t="shared" si="138"/>
        <v>0.48</v>
      </c>
      <c r="K1016" s="975">
        <f t="shared" si="135"/>
        <v>0.42</v>
      </c>
      <c r="L1016" s="1076">
        <v>0.05</v>
      </c>
      <c r="M1016" s="973" t="s">
        <v>710</v>
      </c>
      <c r="N1016" s="1077">
        <v>0.05</v>
      </c>
      <c r="O1016" s="1078">
        <v>6.0000000000000001E-3</v>
      </c>
      <c r="P1016" s="1078"/>
      <c r="Q1016" s="1079"/>
      <c r="R1016" s="1080" t="str">
        <f t="shared" si="117"/>
        <v>선보</v>
      </c>
      <c r="S1016" s="1080" t="s">
        <v>2870</v>
      </c>
      <c r="T1016" s="1080" t="str">
        <f t="shared" si="132"/>
        <v>N</v>
      </c>
      <c r="U1016" s="1080">
        <v>0.02</v>
      </c>
      <c r="V1016" s="1080">
        <v>0.03</v>
      </c>
      <c r="W1016" s="1080">
        <v>0.01</v>
      </c>
      <c r="X1016" s="1080" t="s">
        <v>2747</v>
      </c>
      <c r="Y1016" s="1080" t="s">
        <v>2772</v>
      </c>
      <c r="Z1016" s="1078"/>
      <c r="AA1016" s="1080" t="s">
        <v>2768</v>
      </c>
      <c r="AB1016" s="1061" t="s">
        <v>2772</v>
      </c>
      <c r="AC1016" s="1082"/>
      <c r="AD1016" s="1061"/>
      <c r="AE1016" s="1061"/>
      <c r="AF1016" s="1061" t="s">
        <v>2772</v>
      </c>
      <c r="AG1016" s="1061"/>
      <c r="AH1016" s="1061"/>
      <c r="AI1016" s="1061" t="s">
        <v>3081</v>
      </c>
      <c r="AJ1016" s="1061"/>
      <c r="AK1016" s="1061" t="s">
        <v>2940</v>
      </c>
      <c r="AL1016" s="736"/>
      <c r="AM1016" s="1061"/>
      <c r="AN1016" s="1061"/>
      <c r="AO1016" s="1061"/>
      <c r="AP1016" s="1061"/>
      <c r="AQ1016" s="1061"/>
      <c r="AR1016" s="1061"/>
      <c r="AS1016" s="1061"/>
      <c r="AT1016" s="1061"/>
      <c r="AU1016" s="1061"/>
      <c r="AV1016" s="1061"/>
      <c r="AW1016" s="1061"/>
      <c r="AX1016" s="1061"/>
      <c r="AY1016" s="1061"/>
      <c r="AZ1016" s="1061"/>
      <c r="BA1016" s="1061"/>
      <c r="BB1016" s="1061"/>
      <c r="BC1016" s="1061"/>
      <c r="BD1016" s="1061"/>
      <c r="BE1016" s="1061"/>
      <c r="BF1016" s="1061"/>
      <c r="BG1016" s="1061"/>
      <c r="BH1016" s="1061"/>
      <c r="BI1016" s="1061"/>
      <c r="BJ1016" s="1061"/>
      <c r="BK1016" s="1061"/>
      <c r="BL1016" s="1061"/>
      <c r="BM1016" s="1061"/>
      <c r="BN1016" s="1061"/>
      <c r="BO1016" s="1061"/>
      <c r="BP1016" s="1061"/>
      <c r="BQ1016" s="1061"/>
      <c r="BR1016" s="1061"/>
      <c r="BS1016" s="1061"/>
      <c r="BT1016" s="1061"/>
      <c r="BU1016" s="1061"/>
      <c r="BV1016" s="1061"/>
      <c r="BW1016" s="1061"/>
      <c r="BX1016" s="1061"/>
      <c r="BY1016" s="1061"/>
      <c r="BZ1016" s="1061"/>
      <c r="CA1016" s="1061"/>
      <c r="CB1016" s="1061"/>
      <c r="CC1016" s="1061"/>
      <c r="CD1016" s="1061"/>
      <c r="CE1016" s="1061"/>
      <c r="CF1016" s="1061"/>
      <c r="CG1016" s="1061"/>
      <c r="CH1016" s="1061"/>
      <c r="CI1016" s="1061"/>
      <c r="CJ1016" s="1061"/>
      <c r="CK1016" s="1061"/>
      <c r="CL1016" s="1061"/>
    </row>
    <row r="1017" spans="1:90" ht="15" customHeight="1">
      <c r="A1017" s="417">
        <v>141</v>
      </c>
      <c r="B1017" s="417" t="s">
        <v>207</v>
      </c>
      <c r="C1017" s="2" t="s">
        <v>203</v>
      </c>
      <c r="D1017" s="2" t="s">
        <v>2924</v>
      </c>
      <c r="E1017" s="3">
        <v>2959</v>
      </c>
      <c r="F1017" s="4" t="s">
        <v>2796</v>
      </c>
      <c r="G1017" s="4">
        <f t="shared" si="133"/>
        <v>0.7</v>
      </c>
      <c r="H1017" s="4">
        <f t="shared" si="134"/>
        <v>0.62</v>
      </c>
      <c r="I1017" s="4">
        <f t="shared" si="137"/>
        <v>0.53</v>
      </c>
      <c r="J1017" s="4">
        <f t="shared" si="138"/>
        <v>0.45</v>
      </c>
      <c r="K1017" s="4">
        <f t="shared" si="135"/>
        <v>0.39</v>
      </c>
      <c r="L1017" s="441">
        <v>0.05</v>
      </c>
      <c r="M1017" s="2" t="s">
        <v>324</v>
      </c>
      <c r="N1017" s="443">
        <v>0.05</v>
      </c>
      <c r="O1017" s="296">
        <v>6.0000000000000001E-3</v>
      </c>
      <c r="P1017" s="296"/>
      <c r="Q1017" s="444"/>
      <c r="R1017" s="633" t="str">
        <f t="shared" si="117"/>
        <v>선보</v>
      </c>
      <c r="S1017" s="633" t="s">
        <v>2870</v>
      </c>
      <c r="T1017" s="633" t="str">
        <f t="shared" si="132"/>
        <v>N</v>
      </c>
      <c r="U1017" s="633">
        <v>0</v>
      </c>
      <c r="V1017" s="633">
        <v>0</v>
      </c>
      <c r="W1017" s="633">
        <v>0</v>
      </c>
      <c r="X1017" s="633" t="s">
        <v>2884</v>
      </c>
      <c r="Y1017" s="633" t="s">
        <v>2731</v>
      </c>
      <c r="Z1017" s="296"/>
      <c r="AA1017" s="633" t="s">
        <v>2783</v>
      </c>
      <c r="AB1017" s="1" t="s">
        <v>2731</v>
      </c>
      <c r="AC1017" s="736"/>
      <c r="AF1017" s="1" t="s">
        <v>2731</v>
      </c>
      <c r="AI1017" s="1" t="s">
        <v>3097</v>
      </c>
      <c r="AJ1017" s="1091"/>
      <c r="AK1017" s="1" t="s">
        <v>2941</v>
      </c>
      <c r="AL1017" s="736"/>
    </row>
    <row r="1018" spans="1:90" ht="15" customHeight="1">
      <c r="A1018" s="417">
        <v>142</v>
      </c>
      <c r="B1018" s="417" t="s">
        <v>207</v>
      </c>
      <c r="C1018" s="2" t="s">
        <v>203</v>
      </c>
      <c r="D1018" s="2" t="s">
        <v>2925</v>
      </c>
      <c r="E1018" s="3">
        <v>2959</v>
      </c>
      <c r="F1018" s="4" t="s">
        <v>2796</v>
      </c>
      <c r="G1018" s="4">
        <f>+INDEX($BD$4:$CK$8,MATCH($G$3,$BC$4:$BC$8,0),MATCH(M1018,$BD$3:$CK$3,0))</f>
        <v>0.7</v>
      </c>
      <c r="H1018" s="4">
        <f>+INDEX($BD$4:$CK$8,MATCH($H$3,$BC$4:$BC$8,0),MATCH(M1018,$BD$3:$CK$3,0))</f>
        <v>0.62</v>
      </c>
      <c r="I1018" s="4">
        <f>+INDEX($BD$4:$CK$8,MATCH($I$3,$BC$4:$BC$8,0),MATCH(M1018,$BD$3:$CK$3,0))</f>
        <v>0.53</v>
      </c>
      <c r="J1018" s="4">
        <f>+INDEX($BD$4:$CK$8,MATCH($J$3,$BC$4:$BC$8,0),MATCH(M1018,$BD$3:$CK$3,0))</f>
        <v>0.45</v>
      </c>
      <c r="K1018" s="4">
        <f>+INDEX($BD$4:$CK$8,MATCH($K$3,$BC$4:$BC$8,0),MATCH(M1018,$BD$3:$CK$3,0))</f>
        <v>0.39</v>
      </c>
      <c r="L1018" s="441">
        <v>0.05</v>
      </c>
      <c r="M1018" s="2" t="s">
        <v>324</v>
      </c>
      <c r="N1018" s="443">
        <v>0.05</v>
      </c>
      <c r="O1018" s="296">
        <v>6.0000000000000001E-3</v>
      </c>
      <c r="P1018" s="296"/>
      <c r="Q1018" s="444"/>
      <c r="R1018" s="633" t="str">
        <f>IF(OR(S1018="서산",S1018="광주",S1018="화성"),"선보","유림로지스")</f>
        <v>선보</v>
      </c>
      <c r="S1018" s="633" t="s">
        <v>2870</v>
      </c>
      <c r="T1018" s="633" t="str">
        <f>+IF(LEFT(D1018,1)="G","Y","N")</f>
        <v>N</v>
      </c>
      <c r="U1018" s="633">
        <v>0</v>
      </c>
      <c r="V1018" s="633">
        <v>0</v>
      </c>
      <c r="W1018" s="633">
        <v>0</v>
      </c>
      <c r="X1018" s="633" t="s">
        <v>2884</v>
      </c>
      <c r="Y1018" s="633" t="s">
        <v>2731</v>
      </c>
      <c r="Z1018" s="296"/>
      <c r="AA1018" s="633" t="s">
        <v>2783</v>
      </c>
      <c r="AB1018" s="1" t="s">
        <v>2731</v>
      </c>
      <c r="AC1018" s="736"/>
      <c r="AF1018" s="1" t="s">
        <v>2731</v>
      </c>
      <c r="AI1018" s="1" t="s">
        <v>3098</v>
      </c>
      <c r="AJ1018" s="1091"/>
      <c r="AK1018" s="1" t="s">
        <v>2941</v>
      </c>
      <c r="AL1018" s="736"/>
    </row>
    <row r="1019" spans="1:90" ht="15" customHeight="1">
      <c r="A1019" s="417">
        <v>143</v>
      </c>
      <c r="B1019" s="417" t="s">
        <v>207</v>
      </c>
      <c r="C1019" s="2" t="s">
        <v>203</v>
      </c>
      <c r="D1019" s="2" t="s">
        <v>2926</v>
      </c>
      <c r="E1019" s="3">
        <v>2959</v>
      </c>
      <c r="F1019" s="4" t="s">
        <v>2804</v>
      </c>
      <c r="G1019" s="4">
        <f t="shared" si="133"/>
        <v>0.7</v>
      </c>
      <c r="H1019" s="4">
        <f t="shared" si="134"/>
        <v>0.62</v>
      </c>
      <c r="I1019" s="4">
        <f t="shared" si="137"/>
        <v>0.53</v>
      </c>
      <c r="J1019" s="4">
        <f t="shared" si="138"/>
        <v>0.45</v>
      </c>
      <c r="K1019" s="4">
        <f t="shared" si="135"/>
        <v>0.39</v>
      </c>
      <c r="L1019" s="441">
        <v>0.05</v>
      </c>
      <c r="M1019" s="2" t="s">
        <v>324</v>
      </c>
      <c r="N1019" s="443">
        <v>0.05</v>
      </c>
      <c r="O1019" s="296">
        <v>6.0000000000000001E-3</v>
      </c>
      <c r="P1019" s="296"/>
      <c r="Q1019" s="444"/>
      <c r="R1019" s="633" t="str">
        <f t="shared" ref="R1019:R1023" si="139">IF(OR(S1019="서산",S1019="광주",S1019="화성"),"선보","유림로지스")</f>
        <v>선보</v>
      </c>
      <c r="S1019" s="633" t="s">
        <v>2870</v>
      </c>
      <c r="T1019" s="633" t="str">
        <f t="shared" si="132"/>
        <v>N</v>
      </c>
      <c r="U1019" s="633">
        <v>0</v>
      </c>
      <c r="V1019" s="633">
        <v>0</v>
      </c>
      <c r="W1019" s="633">
        <v>0</v>
      </c>
      <c r="X1019" s="633" t="s">
        <v>2884</v>
      </c>
      <c r="Y1019" s="633" t="s">
        <v>2731</v>
      </c>
      <c r="Z1019" s="296"/>
      <c r="AA1019" s="633" t="s">
        <v>2783</v>
      </c>
      <c r="AB1019" s="1" t="s">
        <v>2731</v>
      </c>
      <c r="AC1019" s="736"/>
      <c r="AF1019" s="1" t="s">
        <v>2731</v>
      </c>
      <c r="AI1019" s="1" t="s">
        <v>3081</v>
      </c>
      <c r="AJ1019" s="1091"/>
      <c r="AK1019" s="1" t="s">
        <v>2941</v>
      </c>
      <c r="AL1019" s="736"/>
    </row>
    <row r="1020" spans="1:90" ht="15" customHeight="1">
      <c r="A1020" s="417">
        <v>144</v>
      </c>
      <c r="B1020" s="1151" t="s">
        <v>207</v>
      </c>
      <c r="C1020" s="1152" t="s">
        <v>203</v>
      </c>
      <c r="D1020" s="1152" t="s">
        <v>2927</v>
      </c>
      <c r="E1020" s="1153">
        <v>2151</v>
      </c>
      <c r="F1020" s="1154" t="s">
        <v>2804</v>
      </c>
      <c r="G1020" s="1154" t="e">
        <f t="shared" si="133"/>
        <v>#N/A</v>
      </c>
      <c r="H1020" s="1154" t="e">
        <f t="shared" si="134"/>
        <v>#N/A</v>
      </c>
      <c r="I1020" s="1154">
        <v>0.59</v>
      </c>
      <c r="J1020" s="1154">
        <v>0.52</v>
      </c>
      <c r="K1020" s="1154">
        <v>0.45</v>
      </c>
      <c r="L1020" s="1155">
        <v>0.05</v>
      </c>
      <c r="M1020" s="1152"/>
      <c r="N1020" s="1156">
        <v>0.05</v>
      </c>
      <c r="O1020" s="1157">
        <v>6.0000000000000001E-3</v>
      </c>
      <c r="P1020" s="1157"/>
      <c r="Q1020" s="1158"/>
      <c r="R1020" s="1159" t="str">
        <f t="shared" si="139"/>
        <v>유림로지스</v>
      </c>
      <c r="S1020" s="1159" t="s">
        <v>2881</v>
      </c>
      <c r="T1020" s="1159" t="str">
        <f t="shared" si="132"/>
        <v>N</v>
      </c>
      <c r="U1020" s="1159">
        <v>0</v>
      </c>
      <c r="V1020" s="1159">
        <v>0</v>
      </c>
      <c r="W1020" s="1159">
        <v>0</v>
      </c>
      <c r="X1020" s="1159" t="s">
        <v>2747</v>
      </c>
      <c r="Y1020" s="1159" t="s">
        <v>2843</v>
      </c>
      <c r="Z1020" s="1157"/>
      <c r="AA1020" s="1159" t="s">
        <v>2783</v>
      </c>
      <c r="AB1020" s="1160" t="s">
        <v>2731</v>
      </c>
      <c r="AC1020" s="1161"/>
      <c r="AD1020" s="1160"/>
      <c r="AE1020" s="1160"/>
      <c r="AF1020" s="1160" t="s">
        <v>2731</v>
      </c>
      <c r="AG1020" s="1160"/>
      <c r="AH1020" s="1160" t="s">
        <v>2588</v>
      </c>
      <c r="AI1020" s="1160" t="s">
        <v>3090</v>
      </c>
      <c r="AJ1020" s="1160" t="s">
        <v>2665</v>
      </c>
      <c r="AK1020" s="1160" t="s">
        <v>2976</v>
      </c>
      <c r="AL1020" s="736"/>
      <c r="AM1020" s="1160"/>
      <c r="AN1020" s="1160"/>
      <c r="AO1020" s="1160"/>
      <c r="AP1020" s="1160"/>
      <c r="AQ1020" s="1160"/>
      <c r="AR1020" s="1160"/>
      <c r="AS1020" s="1160"/>
      <c r="AT1020" s="1160"/>
      <c r="AU1020" s="1160"/>
      <c r="AV1020" s="1160"/>
      <c r="AW1020" s="1160"/>
      <c r="AX1020" s="1160"/>
      <c r="AY1020" s="1160"/>
      <c r="AZ1020" s="1160"/>
      <c r="BA1020" s="1160"/>
      <c r="BB1020" s="1160"/>
      <c r="BC1020" s="1160"/>
      <c r="BD1020" s="1160"/>
      <c r="BE1020" s="1160"/>
      <c r="BF1020" s="1160"/>
      <c r="BG1020" s="1160"/>
      <c r="BH1020" s="1160"/>
      <c r="BI1020" s="1160"/>
      <c r="BJ1020" s="1160"/>
      <c r="BK1020" s="1160"/>
      <c r="BL1020" s="1160"/>
      <c r="BM1020" s="1160"/>
      <c r="BN1020" s="1160"/>
      <c r="BO1020" s="1160"/>
      <c r="BP1020" s="1160"/>
      <c r="BQ1020" s="1160"/>
      <c r="BR1020" s="1160"/>
      <c r="BS1020" s="1160"/>
      <c r="BT1020" s="1160"/>
      <c r="BU1020" s="1160"/>
      <c r="BV1020" s="1160"/>
      <c r="BW1020" s="1160"/>
      <c r="BX1020" s="1160"/>
      <c r="BY1020" s="1160"/>
      <c r="BZ1020" s="1160"/>
      <c r="CA1020" s="1160"/>
      <c r="CB1020" s="1160"/>
      <c r="CC1020" s="1160"/>
      <c r="CD1020" s="1160"/>
      <c r="CE1020" s="1160"/>
      <c r="CF1020" s="1160"/>
      <c r="CG1020" s="1160"/>
      <c r="CH1020" s="1160"/>
      <c r="CI1020" s="1160"/>
      <c r="CJ1020" s="1160"/>
      <c r="CK1020" s="1160"/>
      <c r="CL1020" s="1160"/>
    </row>
    <row r="1021" spans="1:90" ht="15" customHeight="1">
      <c r="A1021" s="417">
        <v>145</v>
      </c>
      <c r="B1021" s="1151" t="s">
        <v>207</v>
      </c>
      <c r="C1021" s="1152" t="s">
        <v>203</v>
      </c>
      <c r="D1021" s="1152" t="s">
        <v>2928</v>
      </c>
      <c r="E1021" s="1153">
        <v>2151</v>
      </c>
      <c r="F1021" s="1154" t="s">
        <v>2804</v>
      </c>
      <c r="G1021" s="1154" t="e">
        <f t="shared" si="133"/>
        <v>#N/A</v>
      </c>
      <c r="H1021" s="1154" t="e">
        <f t="shared" si="134"/>
        <v>#N/A</v>
      </c>
      <c r="I1021" s="1154">
        <v>0.59</v>
      </c>
      <c r="J1021" s="1154">
        <v>0.52</v>
      </c>
      <c r="K1021" s="1154">
        <v>0.45</v>
      </c>
      <c r="L1021" s="1155">
        <v>0.05</v>
      </c>
      <c r="M1021" s="1152"/>
      <c r="N1021" s="1156">
        <v>0.05</v>
      </c>
      <c r="O1021" s="1157">
        <v>6.0000000000000001E-3</v>
      </c>
      <c r="P1021" s="1157"/>
      <c r="Q1021" s="1158" t="s">
        <v>2853</v>
      </c>
      <c r="R1021" s="1159" t="str">
        <f t="shared" si="139"/>
        <v>유림로지스</v>
      </c>
      <c r="S1021" s="1159" t="s">
        <v>2881</v>
      </c>
      <c r="T1021" s="1159" t="str">
        <f t="shared" si="132"/>
        <v>N</v>
      </c>
      <c r="U1021" s="1159">
        <v>0</v>
      </c>
      <c r="V1021" s="1159">
        <v>0</v>
      </c>
      <c r="W1021" s="1159">
        <v>0</v>
      </c>
      <c r="X1021" s="1159" t="s">
        <v>2747</v>
      </c>
      <c r="Y1021" s="1159" t="s">
        <v>2843</v>
      </c>
      <c r="Z1021" s="1157"/>
      <c r="AA1021" s="1159" t="s">
        <v>2783</v>
      </c>
      <c r="AB1021" s="1160" t="s">
        <v>2731</v>
      </c>
      <c r="AC1021" s="1161"/>
      <c r="AD1021" s="1160"/>
      <c r="AE1021" s="1160"/>
      <c r="AF1021" s="1160" t="s">
        <v>2731</v>
      </c>
      <c r="AG1021" s="1160"/>
      <c r="AH1021" s="1160" t="s">
        <v>2588</v>
      </c>
      <c r="AI1021" s="1160" t="s">
        <v>3081</v>
      </c>
      <c r="AJ1021" s="1160" t="s">
        <v>2664</v>
      </c>
      <c r="AK1021" s="1160" t="s">
        <v>2976</v>
      </c>
      <c r="AL1021" s="736"/>
      <c r="AM1021" s="1160"/>
      <c r="AN1021" s="1160"/>
      <c r="AO1021" s="1160"/>
      <c r="AP1021" s="1160"/>
      <c r="AQ1021" s="1160"/>
      <c r="AR1021" s="1160"/>
      <c r="AS1021" s="1160"/>
      <c r="AT1021" s="1160"/>
      <c r="AU1021" s="1160"/>
      <c r="AV1021" s="1160"/>
      <c r="AW1021" s="1160"/>
      <c r="AX1021" s="1160"/>
      <c r="AY1021" s="1160"/>
      <c r="AZ1021" s="1160"/>
      <c r="BA1021" s="1160"/>
      <c r="BB1021" s="1160"/>
      <c r="BC1021" s="1160"/>
      <c r="BD1021" s="1160"/>
      <c r="BE1021" s="1160"/>
      <c r="BF1021" s="1160"/>
      <c r="BG1021" s="1160"/>
      <c r="BH1021" s="1160"/>
      <c r="BI1021" s="1160"/>
      <c r="BJ1021" s="1160"/>
      <c r="BK1021" s="1160"/>
      <c r="BL1021" s="1160"/>
      <c r="BM1021" s="1160"/>
      <c r="BN1021" s="1160"/>
      <c r="BO1021" s="1160"/>
      <c r="BP1021" s="1160"/>
      <c r="BQ1021" s="1160"/>
      <c r="BR1021" s="1160"/>
      <c r="BS1021" s="1160"/>
      <c r="BT1021" s="1160"/>
      <c r="BU1021" s="1160"/>
      <c r="BV1021" s="1160"/>
      <c r="BW1021" s="1160"/>
      <c r="BX1021" s="1160"/>
      <c r="BY1021" s="1160"/>
      <c r="BZ1021" s="1160"/>
      <c r="CA1021" s="1160"/>
      <c r="CB1021" s="1160"/>
      <c r="CC1021" s="1160"/>
      <c r="CD1021" s="1160"/>
      <c r="CE1021" s="1160"/>
      <c r="CF1021" s="1160"/>
      <c r="CG1021" s="1160"/>
      <c r="CH1021" s="1160"/>
      <c r="CI1021" s="1160"/>
      <c r="CJ1021" s="1160"/>
      <c r="CK1021" s="1160"/>
      <c r="CL1021" s="1160"/>
    </row>
    <row r="1022" spans="1:90" ht="15" customHeight="1">
      <c r="A1022" s="417">
        <v>146</v>
      </c>
      <c r="B1022" s="1123" t="s">
        <v>207</v>
      </c>
      <c r="C1022" s="973" t="s">
        <v>203</v>
      </c>
      <c r="D1022" s="973" t="s">
        <v>2929</v>
      </c>
      <c r="E1022" s="974">
        <v>3470</v>
      </c>
      <c r="F1022" s="975" t="s">
        <v>2804</v>
      </c>
      <c r="G1022" s="975" t="e">
        <f t="shared" si="133"/>
        <v>#N/A</v>
      </c>
      <c r="H1022" s="975" t="e">
        <f t="shared" si="134"/>
        <v>#N/A</v>
      </c>
      <c r="I1022" s="975">
        <v>0.59</v>
      </c>
      <c r="J1022" s="975">
        <v>0.52</v>
      </c>
      <c r="K1022" s="975">
        <v>0.45</v>
      </c>
      <c r="L1022" s="1076">
        <v>0.05</v>
      </c>
      <c r="M1022" s="973"/>
      <c r="N1022" s="1077">
        <v>0.05</v>
      </c>
      <c r="O1022" s="1078">
        <v>6.0000000000000001E-3</v>
      </c>
      <c r="P1022" s="1078"/>
      <c r="Q1022" s="1079"/>
      <c r="R1022" s="1080" t="str">
        <f t="shared" si="139"/>
        <v>유림로지스</v>
      </c>
      <c r="S1022" s="1080" t="s">
        <v>2881</v>
      </c>
      <c r="T1022" s="1080" t="str">
        <f t="shared" si="132"/>
        <v>N</v>
      </c>
      <c r="U1022" s="1080">
        <v>0</v>
      </c>
      <c r="V1022" s="1080">
        <v>0</v>
      </c>
      <c r="W1022" s="1080">
        <v>0</v>
      </c>
      <c r="X1022" s="1080" t="s">
        <v>2747</v>
      </c>
      <c r="Y1022" s="1080" t="s">
        <v>2843</v>
      </c>
      <c r="Z1022" s="1078"/>
      <c r="AA1022" s="1080" t="s">
        <v>2737</v>
      </c>
      <c r="AB1022" s="1061" t="s">
        <v>2731</v>
      </c>
      <c r="AC1022" s="1082"/>
      <c r="AD1022" s="1061"/>
      <c r="AE1022" s="1061"/>
      <c r="AF1022" s="1061" t="s">
        <v>2731</v>
      </c>
      <c r="AG1022" s="1061"/>
      <c r="AH1022" s="1061"/>
      <c r="AI1022" s="1061" t="s">
        <v>3083</v>
      </c>
      <c r="AJ1022" s="1061" t="s">
        <v>2664</v>
      </c>
      <c r="AK1022" s="1061" t="s">
        <v>2940</v>
      </c>
      <c r="AL1022" s="736"/>
      <c r="AM1022" s="1061"/>
      <c r="AN1022" s="1061"/>
      <c r="AO1022" s="1061"/>
      <c r="AP1022" s="1061"/>
      <c r="AQ1022" s="1061"/>
      <c r="AR1022" s="1061"/>
      <c r="AS1022" s="1061"/>
      <c r="AT1022" s="1061"/>
      <c r="AU1022" s="1061"/>
      <c r="AV1022" s="1061"/>
      <c r="AW1022" s="1061"/>
      <c r="AX1022" s="1061"/>
      <c r="AY1022" s="1061"/>
      <c r="AZ1022" s="1061"/>
      <c r="BA1022" s="1061"/>
      <c r="BB1022" s="1061"/>
      <c r="BC1022" s="1061"/>
      <c r="BD1022" s="1061"/>
      <c r="BE1022" s="1061"/>
      <c r="BF1022" s="1061"/>
      <c r="BG1022" s="1061"/>
      <c r="BH1022" s="1061"/>
      <c r="BI1022" s="1061"/>
      <c r="BJ1022" s="1061"/>
      <c r="BK1022" s="1061"/>
      <c r="BL1022" s="1061"/>
      <c r="BM1022" s="1061"/>
      <c r="BN1022" s="1061"/>
      <c r="BO1022" s="1061"/>
      <c r="BP1022" s="1061"/>
      <c r="BQ1022" s="1061"/>
      <c r="BR1022" s="1061"/>
      <c r="BS1022" s="1061"/>
      <c r="BT1022" s="1061"/>
      <c r="BU1022" s="1061"/>
      <c r="BV1022" s="1061"/>
      <c r="BW1022" s="1061"/>
      <c r="BX1022" s="1061"/>
      <c r="BY1022" s="1061"/>
      <c r="BZ1022" s="1061"/>
      <c r="CA1022" s="1061"/>
      <c r="CB1022" s="1061"/>
      <c r="CC1022" s="1061"/>
      <c r="CD1022" s="1061"/>
      <c r="CE1022" s="1061"/>
      <c r="CF1022" s="1061"/>
      <c r="CG1022" s="1061"/>
      <c r="CH1022" s="1061"/>
      <c r="CI1022" s="1061"/>
      <c r="CJ1022" s="1061"/>
      <c r="CK1022" s="1061"/>
      <c r="CL1022" s="1061"/>
    </row>
    <row r="1023" spans="1:90" ht="15" customHeight="1">
      <c r="A1023" s="417">
        <v>147</v>
      </c>
      <c r="B1023" s="1123" t="s">
        <v>207</v>
      </c>
      <c r="C1023" s="973" t="s">
        <v>203</v>
      </c>
      <c r="D1023" s="973" t="s">
        <v>2930</v>
      </c>
      <c r="E1023" s="974">
        <v>3470</v>
      </c>
      <c r="F1023" s="975" t="s">
        <v>2804</v>
      </c>
      <c r="G1023" s="975" t="e">
        <f t="shared" si="133"/>
        <v>#N/A</v>
      </c>
      <c r="H1023" s="975" t="e">
        <f t="shared" si="134"/>
        <v>#N/A</v>
      </c>
      <c r="I1023" s="975">
        <v>0.59</v>
      </c>
      <c r="J1023" s="975">
        <v>0.52</v>
      </c>
      <c r="K1023" s="975">
        <v>0.45</v>
      </c>
      <c r="L1023" s="1076">
        <v>0.05</v>
      </c>
      <c r="M1023" s="973"/>
      <c r="N1023" s="1077">
        <v>0.05</v>
      </c>
      <c r="O1023" s="1078">
        <v>6.0000000000000001E-3</v>
      </c>
      <c r="P1023" s="1078"/>
      <c r="Q1023" s="1079" t="s">
        <v>2853</v>
      </c>
      <c r="R1023" s="1080" t="str">
        <f t="shared" si="139"/>
        <v>유림로지스</v>
      </c>
      <c r="S1023" s="1080" t="s">
        <v>2881</v>
      </c>
      <c r="T1023" s="1080" t="str">
        <f t="shared" si="132"/>
        <v>N</v>
      </c>
      <c r="U1023" s="1080">
        <v>0</v>
      </c>
      <c r="V1023" s="1080">
        <v>0</v>
      </c>
      <c r="W1023" s="1080">
        <v>0</v>
      </c>
      <c r="X1023" s="1080" t="s">
        <v>2747</v>
      </c>
      <c r="Y1023" s="1080" t="s">
        <v>2843</v>
      </c>
      <c r="Z1023" s="1078"/>
      <c r="AA1023" s="1080" t="s">
        <v>2737</v>
      </c>
      <c r="AB1023" s="1061" t="s">
        <v>2731</v>
      </c>
      <c r="AC1023" s="1082"/>
      <c r="AD1023" s="1061"/>
      <c r="AE1023" s="1061"/>
      <c r="AF1023" s="1061" t="s">
        <v>2731</v>
      </c>
      <c r="AG1023" s="1061"/>
      <c r="AH1023" s="1061"/>
      <c r="AI1023" s="1061" t="s">
        <v>3081</v>
      </c>
      <c r="AJ1023" s="1061" t="s">
        <v>2666</v>
      </c>
      <c r="AK1023" s="1061" t="s">
        <v>2940</v>
      </c>
      <c r="AL1023" s="736"/>
      <c r="AM1023" s="1061"/>
      <c r="AN1023" s="1061"/>
      <c r="AO1023" s="1061"/>
      <c r="AP1023" s="1061"/>
      <c r="AQ1023" s="1061"/>
      <c r="AR1023" s="1061"/>
      <c r="AS1023" s="1061"/>
      <c r="AT1023" s="1061"/>
      <c r="AU1023" s="1061"/>
      <c r="AV1023" s="1061"/>
      <c r="AW1023" s="1061"/>
      <c r="AX1023" s="1061"/>
      <c r="AY1023" s="1061"/>
      <c r="AZ1023" s="1061"/>
      <c r="BA1023" s="1061"/>
      <c r="BB1023" s="1061"/>
      <c r="BC1023" s="1061"/>
      <c r="BD1023" s="1061"/>
      <c r="BE1023" s="1061"/>
      <c r="BF1023" s="1061"/>
      <c r="BG1023" s="1061"/>
      <c r="BH1023" s="1061"/>
      <c r="BI1023" s="1061"/>
      <c r="BJ1023" s="1061"/>
      <c r="BK1023" s="1061"/>
      <c r="BL1023" s="1061"/>
      <c r="BM1023" s="1061"/>
      <c r="BN1023" s="1061"/>
      <c r="BO1023" s="1061"/>
      <c r="BP1023" s="1061"/>
      <c r="BQ1023" s="1061"/>
      <c r="BR1023" s="1061"/>
      <c r="BS1023" s="1061"/>
      <c r="BT1023" s="1061"/>
      <c r="BU1023" s="1061"/>
      <c r="BV1023" s="1061"/>
      <c r="BW1023" s="1061"/>
      <c r="BX1023" s="1061"/>
      <c r="BY1023" s="1061"/>
      <c r="BZ1023" s="1061"/>
      <c r="CA1023" s="1061"/>
      <c r="CB1023" s="1061"/>
      <c r="CC1023" s="1061"/>
      <c r="CD1023" s="1061"/>
      <c r="CE1023" s="1061"/>
      <c r="CF1023" s="1061"/>
      <c r="CG1023" s="1061"/>
      <c r="CH1023" s="1061"/>
      <c r="CI1023" s="1061"/>
      <c r="CJ1023" s="1061"/>
      <c r="CK1023" s="1061"/>
      <c r="CL1023" s="1061"/>
    </row>
    <row r="1024" spans="1:90" ht="15" customHeight="1">
      <c r="A1024" s="417">
        <v>148</v>
      </c>
      <c r="B1024" s="1123" t="s">
        <v>207</v>
      </c>
      <c r="C1024" s="973" t="s">
        <v>203</v>
      </c>
      <c r="D1024" s="973" t="s">
        <v>2931</v>
      </c>
      <c r="E1024" s="974">
        <v>1598</v>
      </c>
      <c r="F1024" s="975" t="s">
        <v>2804</v>
      </c>
      <c r="G1024" s="975"/>
      <c r="H1024" s="975"/>
      <c r="I1024" s="975">
        <v>0.62</v>
      </c>
      <c r="J1024" s="975">
        <v>0.55000000000000004</v>
      </c>
      <c r="K1024" s="975">
        <v>0.48</v>
      </c>
      <c r="L1024" s="1076">
        <v>0.05</v>
      </c>
      <c r="M1024" s="973"/>
      <c r="N1024" s="1077">
        <v>0.05</v>
      </c>
      <c r="O1024" s="1078">
        <v>6.0000000000000001E-3</v>
      </c>
      <c r="P1024" s="1078"/>
      <c r="Q1024" s="1079"/>
      <c r="R1024" s="1080" t="str">
        <f t="shared" ref="R1024:R1031" si="140">IF(OR(S1024="서산",S1024="광주",S1024="화성"),"선보","유림로지스")</f>
        <v>유림로지스</v>
      </c>
      <c r="S1024" s="1080" t="s">
        <v>2881</v>
      </c>
      <c r="T1024" s="1080" t="str">
        <f t="shared" ref="T1024:T1031" si="141">+IF(LEFT(D1024,1)="G","Y","N")</f>
        <v>N</v>
      </c>
      <c r="U1024" s="1080">
        <v>0</v>
      </c>
      <c r="V1024" s="1080">
        <v>0</v>
      </c>
      <c r="W1024" s="1080">
        <v>0</v>
      </c>
      <c r="X1024" s="1080" t="s">
        <v>2747</v>
      </c>
      <c r="Y1024" s="1080" t="s">
        <v>2843</v>
      </c>
      <c r="Z1024" s="1078"/>
      <c r="AA1024" s="1080" t="s">
        <v>2768</v>
      </c>
      <c r="AB1024" s="1061"/>
      <c r="AC1024" s="1082"/>
      <c r="AD1024" s="1061"/>
      <c r="AE1024" s="1061"/>
      <c r="AF1024" s="1061"/>
      <c r="AG1024" s="1061"/>
      <c r="AH1024" s="1061"/>
      <c r="AI1024" s="1061" t="s">
        <v>3098</v>
      </c>
      <c r="AJ1024" s="1061" t="s">
        <v>2664</v>
      </c>
      <c r="AK1024" s="1061" t="s">
        <v>2940</v>
      </c>
      <c r="AL1024" s="736"/>
      <c r="AM1024" s="1061"/>
      <c r="AN1024" s="1061"/>
      <c r="AO1024" s="1061"/>
      <c r="AP1024" s="1061"/>
      <c r="AQ1024" s="1061"/>
      <c r="AR1024" s="1061"/>
      <c r="AS1024" s="1061"/>
      <c r="AT1024" s="1061"/>
      <c r="AU1024" s="1061"/>
      <c r="AV1024" s="1061"/>
      <c r="AW1024" s="1061"/>
      <c r="AX1024" s="1061"/>
      <c r="AY1024" s="1061"/>
      <c r="AZ1024" s="1061"/>
      <c r="BA1024" s="1061"/>
      <c r="BB1024" s="1061"/>
      <c r="BC1024" s="1061"/>
      <c r="BD1024" s="1061"/>
      <c r="BE1024" s="1061"/>
      <c r="BF1024" s="1061"/>
      <c r="BG1024" s="1061"/>
      <c r="BH1024" s="1061"/>
      <c r="BI1024" s="1061"/>
      <c r="BJ1024" s="1061"/>
      <c r="BK1024" s="1061"/>
      <c r="BL1024" s="1061"/>
      <c r="BM1024" s="1061"/>
      <c r="BN1024" s="1061"/>
      <c r="BO1024" s="1061"/>
      <c r="BP1024" s="1061"/>
      <c r="BQ1024" s="1061"/>
      <c r="BR1024" s="1061"/>
      <c r="BS1024" s="1061"/>
      <c r="BT1024" s="1061"/>
      <c r="BU1024" s="1061"/>
      <c r="BV1024" s="1061"/>
      <c r="BW1024" s="1061"/>
      <c r="BX1024" s="1061"/>
      <c r="BY1024" s="1061"/>
      <c r="BZ1024" s="1061"/>
      <c r="CA1024" s="1061"/>
      <c r="CB1024" s="1061"/>
      <c r="CC1024" s="1061"/>
      <c r="CD1024" s="1061"/>
      <c r="CE1024" s="1061"/>
      <c r="CF1024" s="1061"/>
      <c r="CG1024" s="1061"/>
      <c r="CH1024" s="1061"/>
      <c r="CI1024" s="1061"/>
      <c r="CJ1024" s="1061"/>
      <c r="CK1024" s="1061"/>
      <c r="CL1024" s="1061"/>
    </row>
    <row r="1025" spans="1:90" ht="15" customHeight="1">
      <c r="A1025" s="417">
        <v>149</v>
      </c>
      <c r="B1025" s="1123" t="s">
        <v>207</v>
      </c>
      <c r="C1025" s="973" t="s">
        <v>203</v>
      </c>
      <c r="D1025" s="973" t="s">
        <v>2932</v>
      </c>
      <c r="E1025" s="974">
        <v>1598</v>
      </c>
      <c r="F1025" s="975" t="s">
        <v>2804</v>
      </c>
      <c r="G1025" s="975"/>
      <c r="H1025" s="975"/>
      <c r="I1025" s="975">
        <v>0.62</v>
      </c>
      <c r="J1025" s="975">
        <v>0.55000000000000004</v>
      </c>
      <c r="K1025" s="975">
        <v>0.48</v>
      </c>
      <c r="L1025" s="1076">
        <v>0.05</v>
      </c>
      <c r="M1025" s="973"/>
      <c r="N1025" s="1077">
        <v>0.05</v>
      </c>
      <c r="O1025" s="1078">
        <v>6.0000000000000001E-3</v>
      </c>
      <c r="P1025" s="1078"/>
      <c r="Q1025" s="1079" t="s">
        <v>2853</v>
      </c>
      <c r="R1025" s="1080" t="str">
        <f t="shared" si="140"/>
        <v>유림로지스</v>
      </c>
      <c r="S1025" s="1080" t="s">
        <v>2881</v>
      </c>
      <c r="T1025" s="1080" t="str">
        <f t="shared" si="141"/>
        <v>N</v>
      </c>
      <c r="U1025" s="1080">
        <v>0</v>
      </c>
      <c r="V1025" s="1080">
        <v>0</v>
      </c>
      <c r="W1025" s="1080">
        <v>0</v>
      </c>
      <c r="X1025" s="1080" t="s">
        <v>2747</v>
      </c>
      <c r="Y1025" s="1080" t="s">
        <v>2843</v>
      </c>
      <c r="Z1025" s="1078"/>
      <c r="AA1025" s="1080" t="s">
        <v>2768</v>
      </c>
      <c r="AB1025" s="1061"/>
      <c r="AC1025" s="1082"/>
      <c r="AD1025" s="1061"/>
      <c r="AE1025" s="1061"/>
      <c r="AF1025" s="1061"/>
      <c r="AG1025" s="1061"/>
      <c r="AH1025" s="1061"/>
      <c r="AI1025" s="1061" t="s">
        <v>3081</v>
      </c>
      <c r="AJ1025" s="1061" t="s">
        <v>2664</v>
      </c>
      <c r="AK1025" s="1061" t="s">
        <v>2940</v>
      </c>
      <c r="AL1025" s="736"/>
      <c r="AM1025" s="1061"/>
      <c r="AN1025" s="1061"/>
      <c r="AO1025" s="1061"/>
      <c r="AP1025" s="1061"/>
      <c r="AQ1025" s="1061"/>
      <c r="AR1025" s="1061"/>
      <c r="AS1025" s="1061"/>
      <c r="AT1025" s="1061"/>
      <c r="AU1025" s="1061"/>
      <c r="AV1025" s="1061"/>
      <c r="AW1025" s="1061"/>
      <c r="AX1025" s="1061"/>
      <c r="AY1025" s="1061"/>
      <c r="AZ1025" s="1061"/>
      <c r="BA1025" s="1061"/>
      <c r="BB1025" s="1061"/>
      <c r="BC1025" s="1061"/>
      <c r="BD1025" s="1061"/>
      <c r="BE1025" s="1061"/>
      <c r="BF1025" s="1061"/>
      <c r="BG1025" s="1061"/>
      <c r="BH1025" s="1061"/>
      <c r="BI1025" s="1061"/>
      <c r="BJ1025" s="1061"/>
      <c r="BK1025" s="1061"/>
      <c r="BL1025" s="1061"/>
      <c r="BM1025" s="1061"/>
      <c r="BN1025" s="1061"/>
      <c r="BO1025" s="1061"/>
      <c r="BP1025" s="1061"/>
      <c r="BQ1025" s="1061"/>
      <c r="BR1025" s="1061"/>
      <c r="BS1025" s="1061"/>
      <c r="BT1025" s="1061"/>
      <c r="BU1025" s="1061"/>
      <c r="BV1025" s="1061"/>
      <c r="BW1025" s="1061"/>
      <c r="BX1025" s="1061"/>
      <c r="BY1025" s="1061"/>
      <c r="BZ1025" s="1061"/>
      <c r="CA1025" s="1061"/>
      <c r="CB1025" s="1061"/>
      <c r="CC1025" s="1061"/>
      <c r="CD1025" s="1061"/>
      <c r="CE1025" s="1061"/>
      <c r="CF1025" s="1061"/>
      <c r="CG1025" s="1061"/>
      <c r="CH1025" s="1061"/>
      <c r="CI1025" s="1061"/>
      <c r="CJ1025" s="1061"/>
      <c r="CK1025" s="1061"/>
      <c r="CL1025" s="1061"/>
    </row>
    <row r="1026" spans="1:90" ht="15" customHeight="1">
      <c r="A1026" s="417">
        <v>150</v>
      </c>
      <c r="B1026" s="1151" t="s">
        <v>207</v>
      </c>
      <c r="C1026" s="1152" t="s">
        <v>203</v>
      </c>
      <c r="D1026" s="1152" t="s">
        <v>2933</v>
      </c>
      <c r="E1026" s="1153">
        <v>2151</v>
      </c>
      <c r="F1026" s="1154" t="s">
        <v>2804</v>
      </c>
      <c r="G1026" s="1154" t="e">
        <f t="shared" si="133"/>
        <v>#N/A</v>
      </c>
      <c r="H1026" s="1154" t="e">
        <f t="shared" si="134"/>
        <v>#N/A</v>
      </c>
      <c r="I1026" s="1154">
        <v>0.56999999999999995</v>
      </c>
      <c r="J1026" s="1154">
        <v>0.51</v>
      </c>
      <c r="K1026" s="1154">
        <v>0.42</v>
      </c>
      <c r="L1026" s="1155">
        <v>0.05</v>
      </c>
      <c r="M1026" s="1152"/>
      <c r="N1026" s="1156">
        <v>0.05</v>
      </c>
      <c r="O1026" s="1157">
        <v>6.0000000000000001E-3</v>
      </c>
      <c r="P1026" s="1157"/>
      <c r="Q1026" s="1158"/>
      <c r="R1026" s="1159" t="str">
        <f t="shared" si="140"/>
        <v>유림로지스</v>
      </c>
      <c r="S1026" s="1159" t="s">
        <v>2934</v>
      </c>
      <c r="T1026" s="1159" t="str">
        <f t="shared" si="141"/>
        <v>N</v>
      </c>
      <c r="U1026" s="1159">
        <v>0</v>
      </c>
      <c r="V1026" s="1159">
        <v>0</v>
      </c>
      <c r="W1026" s="1159">
        <v>0</v>
      </c>
      <c r="X1026" s="1159" t="s">
        <v>2747</v>
      </c>
      <c r="Y1026" s="1159" t="s">
        <v>2843</v>
      </c>
      <c r="Z1026" s="1157"/>
      <c r="AA1026" s="1159" t="s">
        <v>2783</v>
      </c>
      <c r="AB1026" s="1160" t="s">
        <v>2731</v>
      </c>
      <c r="AC1026" s="1161"/>
      <c r="AD1026" s="1160"/>
      <c r="AE1026" s="1160"/>
      <c r="AF1026" s="1160" t="s">
        <v>2731</v>
      </c>
      <c r="AG1026" s="1160"/>
      <c r="AH1026" s="1160" t="s">
        <v>2588</v>
      </c>
      <c r="AI1026" s="1160" t="s">
        <v>3099</v>
      </c>
      <c r="AJ1026" s="1160" t="s">
        <v>2667</v>
      </c>
      <c r="AK1026" s="1160" t="s">
        <v>2976</v>
      </c>
      <c r="AL1026" s="736"/>
      <c r="AM1026" s="1160"/>
      <c r="AN1026" s="1160"/>
      <c r="AO1026" s="1160"/>
      <c r="AP1026" s="1160"/>
      <c r="AQ1026" s="1160"/>
      <c r="AR1026" s="1160"/>
      <c r="AS1026" s="1160"/>
      <c r="AT1026" s="1160"/>
      <c r="AU1026" s="1160"/>
      <c r="AV1026" s="1160"/>
      <c r="AW1026" s="1160"/>
      <c r="AX1026" s="1160"/>
      <c r="AY1026" s="1160"/>
      <c r="AZ1026" s="1160"/>
      <c r="BA1026" s="1160"/>
      <c r="BB1026" s="1160"/>
      <c r="BC1026" s="1160"/>
      <c r="BD1026" s="1160"/>
      <c r="BE1026" s="1160"/>
      <c r="BF1026" s="1160"/>
      <c r="BG1026" s="1160"/>
      <c r="BH1026" s="1160"/>
      <c r="BI1026" s="1160"/>
      <c r="BJ1026" s="1160"/>
      <c r="BK1026" s="1160"/>
      <c r="BL1026" s="1160"/>
      <c r="BM1026" s="1160"/>
      <c r="BN1026" s="1160"/>
      <c r="BO1026" s="1160"/>
      <c r="BP1026" s="1160"/>
      <c r="BQ1026" s="1160"/>
      <c r="BR1026" s="1160"/>
      <c r="BS1026" s="1160"/>
      <c r="BT1026" s="1160"/>
      <c r="BU1026" s="1160"/>
      <c r="BV1026" s="1160"/>
      <c r="BW1026" s="1160"/>
      <c r="BX1026" s="1160"/>
      <c r="BY1026" s="1160"/>
      <c r="BZ1026" s="1160"/>
      <c r="CA1026" s="1160"/>
      <c r="CB1026" s="1160"/>
      <c r="CC1026" s="1160"/>
      <c r="CD1026" s="1160"/>
      <c r="CE1026" s="1160"/>
      <c r="CF1026" s="1160"/>
      <c r="CG1026" s="1160"/>
      <c r="CH1026" s="1160"/>
      <c r="CI1026" s="1160"/>
      <c r="CJ1026" s="1160"/>
      <c r="CK1026" s="1160"/>
      <c r="CL1026" s="1160"/>
    </row>
    <row r="1027" spans="1:90" ht="15" customHeight="1">
      <c r="A1027" s="417">
        <v>151</v>
      </c>
      <c r="B1027" s="1151" t="s">
        <v>207</v>
      </c>
      <c r="C1027" s="1152" t="s">
        <v>203</v>
      </c>
      <c r="D1027" s="1152" t="s">
        <v>2935</v>
      </c>
      <c r="E1027" s="1153">
        <v>2151</v>
      </c>
      <c r="F1027" s="1154" t="s">
        <v>2804</v>
      </c>
      <c r="G1027" s="1154" t="e">
        <f t="shared" si="133"/>
        <v>#N/A</v>
      </c>
      <c r="H1027" s="1154" t="e">
        <f t="shared" si="134"/>
        <v>#N/A</v>
      </c>
      <c r="I1027" s="1154">
        <v>0.56999999999999995</v>
      </c>
      <c r="J1027" s="1154">
        <v>0.51</v>
      </c>
      <c r="K1027" s="1154">
        <v>0.42</v>
      </c>
      <c r="L1027" s="1155">
        <v>0.05</v>
      </c>
      <c r="M1027" s="1152"/>
      <c r="N1027" s="1156">
        <v>0.05</v>
      </c>
      <c r="O1027" s="1157">
        <v>6.0000000000000001E-3</v>
      </c>
      <c r="P1027" s="1157"/>
      <c r="Q1027" s="1158" t="s">
        <v>2853</v>
      </c>
      <c r="R1027" s="1159" t="str">
        <f t="shared" si="140"/>
        <v>유림로지스</v>
      </c>
      <c r="S1027" s="1159" t="s">
        <v>2934</v>
      </c>
      <c r="T1027" s="1159" t="str">
        <f t="shared" si="141"/>
        <v>N</v>
      </c>
      <c r="U1027" s="1159">
        <v>0</v>
      </c>
      <c r="V1027" s="1159">
        <v>0</v>
      </c>
      <c r="W1027" s="1159">
        <v>0</v>
      </c>
      <c r="X1027" s="1159" t="s">
        <v>2747</v>
      </c>
      <c r="Y1027" s="1159" t="s">
        <v>2843</v>
      </c>
      <c r="Z1027" s="1157"/>
      <c r="AA1027" s="1159" t="s">
        <v>2783</v>
      </c>
      <c r="AB1027" s="1160" t="s">
        <v>2731</v>
      </c>
      <c r="AC1027" s="1161"/>
      <c r="AD1027" s="1160"/>
      <c r="AE1027" s="1160"/>
      <c r="AF1027" s="1160" t="s">
        <v>2731</v>
      </c>
      <c r="AG1027" s="1160"/>
      <c r="AH1027" s="1160" t="s">
        <v>2588</v>
      </c>
      <c r="AI1027" s="1160" t="s">
        <v>3084</v>
      </c>
      <c r="AJ1027" s="1160" t="s">
        <v>2665</v>
      </c>
      <c r="AK1027" s="1160" t="s">
        <v>2976</v>
      </c>
      <c r="AL1027" s="736"/>
      <c r="AM1027" s="1160"/>
      <c r="AN1027" s="1160"/>
      <c r="AO1027" s="1160"/>
      <c r="AP1027" s="1160"/>
      <c r="AQ1027" s="1160"/>
      <c r="AR1027" s="1160"/>
      <c r="AS1027" s="1160"/>
      <c r="AT1027" s="1160"/>
      <c r="AU1027" s="1160"/>
      <c r="AV1027" s="1160"/>
      <c r="AW1027" s="1160"/>
      <c r="AX1027" s="1160"/>
      <c r="AY1027" s="1160"/>
      <c r="AZ1027" s="1160"/>
      <c r="BA1027" s="1160"/>
      <c r="BB1027" s="1160"/>
      <c r="BC1027" s="1160"/>
      <c r="BD1027" s="1160"/>
      <c r="BE1027" s="1160"/>
      <c r="BF1027" s="1160"/>
      <c r="BG1027" s="1160"/>
      <c r="BH1027" s="1160"/>
      <c r="BI1027" s="1160"/>
      <c r="BJ1027" s="1160"/>
      <c r="BK1027" s="1160"/>
      <c r="BL1027" s="1160"/>
      <c r="BM1027" s="1160"/>
      <c r="BN1027" s="1160"/>
      <c r="BO1027" s="1160"/>
      <c r="BP1027" s="1160"/>
      <c r="BQ1027" s="1160"/>
      <c r="BR1027" s="1160"/>
      <c r="BS1027" s="1160"/>
      <c r="BT1027" s="1160"/>
      <c r="BU1027" s="1160"/>
      <c r="BV1027" s="1160"/>
      <c r="BW1027" s="1160"/>
      <c r="BX1027" s="1160"/>
      <c r="BY1027" s="1160"/>
      <c r="BZ1027" s="1160"/>
      <c r="CA1027" s="1160"/>
      <c r="CB1027" s="1160"/>
      <c r="CC1027" s="1160"/>
      <c r="CD1027" s="1160"/>
      <c r="CE1027" s="1160"/>
      <c r="CF1027" s="1160"/>
      <c r="CG1027" s="1160"/>
      <c r="CH1027" s="1160"/>
      <c r="CI1027" s="1160"/>
      <c r="CJ1027" s="1160"/>
      <c r="CK1027" s="1160"/>
      <c r="CL1027" s="1160"/>
    </row>
    <row r="1028" spans="1:90" ht="15" customHeight="1">
      <c r="A1028" s="417">
        <v>152</v>
      </c>
      <c r="B1028" s="1151" t="s">
        <v>207</v>
      </c>
      <c r="C1028" s="1152" t="s">
        <v>203</v>
      </c>
      <c r="D1028" s="1152" t="s">
        <v>2936</v>
      </c>
      <c r="E1028" s="1153">
        <v>3470</v>
      </c>
      <c r="F1028" s="1154" t="s">
        <v>2804</v>
      </c>
      <c r="G1028" s="1154" t="e">
        <f t="shared" si="133"/>
        <v>#N/A</v>
      </c>
      <c r="H1028" s="1154" t="e">
        <f t="shared" si="134"/>
        <v>#N/A</v>
      </c>
      <c r="I1028" s="1154">
        <v>0.56999999999999995</v>
      </c>
      <c r="J1028" s="1154">
        <v>0.51</v>
      </c>
      <c r="K1028" s="1154">
        <v>0.42</v>
      </c>
      <c r="L1028" s="1155">
        <v>0.05</v>
      </c>
      <c r="M1028" s="1152"/>
      <c r="N1028" s="1156">
        <v>0.05</v>
      </c>
      <c r="O1028" s="1157">
        <v>6.0000000000000001E-3</v>
      </c>
      <c r="P1028" s="1157"/>
      <c r="Q1028" s="1158"/>
      <c r="R1028" s="1159" t="str">
        <f t="shared" si="140"/>
        <v>유림로지스</v>
      </c>
      <c r="S1028" s="1159" t="s">
        <v>2934</v>
      </c>
      <c r="T1028" s="1159" t="str">
        <f t="shared" si="141"/>
        <v>N</v>
      </c>
      <c r="U1028" s="1159">
        <v>0</v>
      </c>
      <c r="V1028" s="1159">
        <v>0</v>
      </c>
      <c r="W1028" s="1159">
        <v>0</v>
      </c>
      <c r="X1028" s="1159" t="s">
        <v>2747</v>
      </c>
      <c r="Y1028" s="1159" t="s">
        <v>2843</v>
      </c>
      <c r="Z1028" s="1157"/>
      <c r="AA1028" s="1159" t="s">
        <v>2737</v>
      </c>
      <c r="AB1028" s="1160" t="s">
        <v>2731</v>
      </c>
      <c r="AC1028" s="1161"/>
      <c r="AD1028" s="1160"/>
      <c r="AE1028" s="1160"/>
      <c r="AF1028" s="1160" t="s">
        <v>2731</v>
      </c>
      <c r="AG1028" s="1160"/>
      <c r="AH1028" s="1160" t="s">
        <v>2588</v>
      </c>
      <c r="AI1028" s="1160" t="s">
        <v>3081</v>
      </c>
      <c r="AJ1028" s="1160" t="s">
        <v>2664</v>
      </c>
      <c r="AK1028" s="1160" t="s">
        <v>2976</v>
      </c>
      <c r="AL1028" s="736"/>
      <c r="AM1028" s="1160"/>
      <c r="AN1028" s="1160"/>
      <c r="AO1028" s="1160"/>
      <c r="AP1028" s="1160"/>
      <c r="AQ1028" s="1160"/>
      <c r="AR1028" s="1160"/>
      <c r="AS1028" s="1160"/>
      <c r="AT1028" s="1160"/>
      <c r="AU1028" s="1160"/>
      <c r="AV1028" s="1160"/>
      <c r="AW1028" s="1160"/>
      <c r="AX1028" s="1160"/>
      <c r="AY1028" s="1160"/>
      <c r="AZ1028" s="1160"/>
      <c r="BA1028" s="1160"/>
      <c r="BB1028" s="1160"/>
      <c r="BC1028" s="1160"/>
      <c r="BD1028" s="1160"/>
      <c r="BE1028" s="1160"/>
      <c r="BF1028" s="1160"/>
      <c r="BG1028" s="1160"/>
      <c r="BH1028" s="1160"/>
      <c r="BI1028" s="1160"/>
      <c r="BJ1028" s="1160"/>
      <c r="BK1028" s="1160"/>
      <c r="BL1028" s="1160"/>
      <c r="BM1028" s="1160"/>
      <c r="BN1028" s="1160"/>
      <c r="BO1028" s="1160"/>
      <c r="BP1028" s="1160"/>
      <c r="BQ1028" s="1160"/>
      <c r="BR1028" s="1160"/>
      <c r="BS1028" s="1160"/>
      <c r="BT1028" s="1160"/>
      <c r="BU1028" s="1160"/>
      <c r="BV1028" s="1160"/>
      <c r="BW1028" s="1160"/>
      <c r="BX1028" s="1160"/>
      <c r="BY1028" s="1160"/>
      <c r="BZ1028" s="1160"/>
      <c r="CA1028" s="1160"/>
      <c r="CB1028" s="1160"/>
      <c r="CC1028" s="1160"/>
      <c r="CD1028" s="1160"/>
      <c r="CE1028" s="1160"/>
      <c r="CF1028" s="1160"/>
      <c r="CG1028" s="1160"/>
      <c r="CH1028" s="1160"/>
      <c r="CI1028" s="1160"/>
      <c r="CJ1028" s="1160"/>
      <c r="CK1028" s="1160"/>
      <c r="CL1028" s="1160"/>
    </row>
    <row r="1029" spans="1:90" ht="15" customHeight="1">
      <c r="A1029" s="417">
        <v>153</v>
      </c>
      <c r="B1029" s="1151" t="s">
        <v>207</v>
      </c>
      <c r="C1029" s="1152" t="s">
        <v>203</v>
      </c>
      <c r="D1029" s="1152" t="s">
        <v>2937</v>
      </c>
      <c r="E1029" s="1153">
        <v>3470</v>
      </c>
      <c r="F1029" s="1154" t="s">
        <v>2804</v>
      </c>
      <c r="G1029" s="1154" t="e">
        <f t="shared" ref="G1029" si="142">+INDEX($BD$4:$CK$8,MATCH($G$3,$BC$4:$BC$8,0),MATCH(M1029,$BD$3:$CK$3,0))</f>
        <v>#N/A</v>
      </c>
      <c r="H1029" s="1154" t="e">
        <f t="shared" ref="H1029" si="143">+INDEX($BD$4:$CK$8,MATCH($H$3,$BC$4:$BC$8,0),MATCH(M1029,$BD$3:$CK$3,0))</f>
        <v>#N/A</v>
      </c>
      <c r="I1029" s="1154">
        <v>0.56999999999999995</v>
      </c>
      <c r="J1029" s="1154">
        <v>0.51</v>
      </c>
      <c r="K1029" s="1154">
        <v>0.42</v>
      </c>
      <c r="L1029" s="1155">
        <v>0.05</v>
      </c>
      <c r="M1029" s="1152"/>
      <c r="N1029" s="1156">
        <v>0.05</v>
      </c>
      <c r="O1029" s="1157">
        <v>6.0000000000000001E-3</v>
      </c>
      <c r="P1029" s="1157"/>
      <c r="Q1029" s="1158" t="s">
        <v>2853</v>
      </c>
      <c r="R1029" s="1159" t="str">
        <f t="shared" si="140"/>
        <v>유림로지스</v>
      </c>
      <c r="S1029" s="1159" t="s">
        <v>2934</v>
      </c>
      <c r="T1029" s="1159" t="str">
        <f t="shared" si="141"/>
        <v>N</v>
      </c>
      <c r="U1029" s="1159">
        <v>0</v>
      </c>
      <c r="V1029" s="1159">
        <v>0</v>
      </c>
      <c r="W1029" s="1159">
        <v>0</v>
      </c>
      <c r="X1029" s="1159" t="s">
        <v>2747</v>
      </c>
      <c r="Y1029" s="1159" t="s">
        <v>2843</v>
      </c>
      <c r="Z1029" s="1157"/>
      <c r="AA1029" s="1159" t="s">
        <v>2737</v>
      </c>
      <c r="AB1029" s="1160" t="s">
        <v>2731</v>
      </c>
      <c r="AC1029" s="1161"/>
      <c r="AD1029" s="1160"/>
      <c r="AE1029" s="1160"/>
      <c r="AF1029" s="1160" t="s">
        <v>2731</v>
      </c>
      <c r="AG1029" s="1160"/>
      <c r="AH1029" s="1160" t="s">
        <v>2588</v>
      </c>
      <c r="AI1029" s="1160" t="s">
        <v>3081</v>
      </c>
      <c r="AJ1029" s="1160" t="s">
        <v>2668</v>
      </c>
      <c r="AK1029" s="1160" t="s">
        <v>2976</v>
      </c>
      <c r="AL1029" s="736"/>
      <c r="AM1029" s="1160"/>
      <c r="AN1029" s="1160"/>
      <c r="AO1029" s="1160"/>
      <c r="AP1029" s="1160"/>
      <c r="AQ1029" s="1160"/>
      <c r="AR1029" s="1160"/>
      <c r="AS1029" s="1160"/>
      <c r="AT1029" s="1160"/>
      <c r="AU1029" s="1160"/>
      <c r="AV1029" s="1160"/>
      <c r="AW1029" s="1160"/>
      <c r="AX1029" s="1160"/>
      <c r="AY1029" s="1160"/>
      <c r="AZ1029" s="1160"/>
      <c r="BA1029" s="1160"/>
      <c r="BB1029" s="1160"/>
      <c r="BC1029" s="1160"/>
      <c r="BD1029" s="1160"/>
      <c r="BE1029" s="1160"/>
      <c r="BF1029" s="1160"/>
      <c r="BG1029" s="1160"/>
      <c r="BH1029" s="1160"/>
      <c r="BI1029" s="1160"/>
      <c r="BJ1029" s="1160"/>
      <c r="BK1029" s="1160"/>
      <c r="BL1029" s="1160"/>
      <c r="BM1029" s="1160"/>
      <c r="BN1029" s="1160"/>
      <c r="BO1029" s="1160"/>
      <c r="BP1029" s="1160"/>
      <c r="BQ1029" s="1160"/>
      <c r="BR1029" s="1160"/>
      <c r="BS1029" s="1160"/>
      <c r="BT1029" s="1160"/>
      <c r="BU1029" s="1160"/>
      <c r="BV1029" s="1160"/>
      <c r="BW1029" s="1160"/>
      <c r="BX1029" s="1160"/>
      <c r="BY1029" s="1160"/>
      <c r="BZ1029" s="1160"/>
      <c r="CA1029" s="1160"/>
      <c r="CB1029" s="1160"/>
      <c r="CC1029" s="1160"/>
      <c r="CD1029" s="1160"/>
      <c r="CE1029" s="1160"/>
      <c r="CF1029" s="1160"/>
      <c r="CG1029" s="1160"/>
      <c r="CH1029" s="1160"/>
      <c r="CI1029" s="1160"/>
      <c r="CJ1029" s="1160"/>
      <c r="CK1029" s="1160"/>
      <c r="CL1029" s="1160"/>
    </row>
    <row r="1030" spans="1:90" ht="15" customHeight="1">
      <c r="A1030" s="417">
        <v>154</v>
      </c>
      <c r="B1030" s="1151" t="s">
        <v>207</v>
      </c>
      <c r="C1030" s="1152" t="s">
        <v>203</v>
      </c>
      <c r="D1030" s="1152" t="s">
        <v>2938</v>
      </c>
      <c r="E1030" s="1153">
        <v>1598</v>
      </c>
      <c r="F1030" s="1154" t="s">
        <v>2804</v>
      </c>
      <c r="G1030" s="1154"/>
      <c r="H1030" s="1154"/>
      <c r="I1030" s="1154">
        <v>0.57999999999999996</v>
      </c>
      <c r="J1030" s="1154">
        <v>0.51</v>
      </c>
      <c r="K1030" s="1154">
        <v>0.42</v>
      </c>
      <c r="L1030" s="1155">
        <v>0.05</v>
      </c>
      <c r="M1030" s="1152"/>
      <c r="N1030" s="1156">
        <v>0.05</v>
      </c>
      <c r="O1030" s="1157">
        <v>6.0000000000000001E-3</v>
      </c>
      <c r="P1030" s="1157"/>
      <c r="Q1030" s="1158"/>
      <c r="R1030" s="1159" t="str">
        <f t="shared" si="140"/>
        <v>유림로지스</v>
      </c>
      <c r="S1030" s="1159" t="s">
        <v>2934</v>
      </c>
      <c r="T1030" s="1159" t="str">
        <f t="shared" si="141"/>
        <v>N</v>
      </c>
      <c r="U1030" s="1159">
        <v>0</v>
      </c>
      <c r="V1030" s="1159">
        <v>0</v>
      </c>
      <c r="W1030" s="1159">
        <v>0</v>
      </c>
      <c r="X1030" s="1159" t="s">
        <v>2747</v>
      </c>
      <c r="Y1030" s="1159" t="s">
        <v>2843</v>
      </c>
      <c r="Z1030" s="1157"/>
      <c r="AA1030" s="1159" t="s">
        <v>2768</v>
      </c>
      <c r="AB1030" s="1160"/>
      <c r="AC1030" s="1161"/>
      <c r="AD1030" s="1160"/>
      <c r="AE1030" s="1160"/>
      <c r="AF1030" s="1160"/>
      <c r="AG1030" s="1160"/>
      <c r="AH1030" s="1160" t="s">
        <v>2588</v>
      </c>
      <c r="AI1030" s="1160" t="s">
        <v>3096</v>
      </c>
      <c r="AJ1030" s="1160" t="s">
        <v>2668</v>
      </c>
      <c r="AK1030" s="1160" t="s">
        <v>2976</v>
      </c>
      <c r="AL1030" s="736"/>
      <c r="AM1030" s="1160"/>
      <c r="AN1030" s="1160"/>
      <c r="AO1030" s="1160"/>
      <c r="AP1030" s="1160"/>
      <c r="AQ1030" s="1160"/>
      <c r="AR1030" s="1160"/>
      <c r="AS1030" s="1160"/>
      <c r="AT1030" s="1160"/>
      <c r="AU1030" s="1160"/>
      <c r="AV1030" s="1160"/>
      <c r="AW1030" s="1160"/>
      <c r="AX1030" s="1160"/>
      <c r="AY1030" s="1160"/>
      <c r="AZ1030" s="1160"/>
      <c r="BA1030" s="1160"/>
      <c r="BB1030" s="1160"/>
      <c r="BC1030" s="1160"/>
      <c r="BD1030" s="1160"/>
      <c r="BE1030" s="1160"/>
      <c r="BF1030" s="1160"/>
      <c r="BG1030" s="1160"/>
      <c r="BH1030" s="1160"/>
      <c r="BI1030" s="1160"/>
      <c r="BJ1030" s="1160"/>
      <c r="BK1030" s="1160"/>
      <c r="BL1030" s="1160"/>
      <c r="BM1030" s="1160"/>
      <c r="BN1030" s="1160"/>
      <c r="BO1030" s="1160"/>
      <c r="BP1030" s="1160"/>
      <c r="BQ1030" s="1160"/>
      <c r="BR1030" s="1160"/>
      <c r="BS1030" s="1160"/>
      <c r="BT1030" s="1160"/>
      <c r="BU1030" s="1160"/>
      <c r="BV1030" s="1160"/>
      <c r="BW1030" s="1160"/>
      <c r="BX1030" s="1160"/>
      <c r="BY1030" s="1160"/>
      <c r="BZ1030" s="1160"/>
      <c r="CA1030" s="1160"/>
      <c r="CB1030" s="1160"/>
      <c r="CC1030" s="1160"/>
      <c r="CD1030" s="1160"/>
      <c r="CE1030" s="1160"/>
      <c r="CF1030" s="1160"/>
      <c r="CG1030" s="1160"/>
      <c r="CH1030" s="1160"/>
      <c r="CI1030" s="1160"/>
      <c r="CJ1030" s="1160"/>
      <c r="CK1030" s="1160"/>
      <c r="CL1030" s="1160"/>
    </row>
    <row r="1031" spans="1:90" ht="15" customHeight="1" thickBot="1">
      <c r="A1031" s="417">
        <v>155</v>
      </c>
      <c r="B1031" s="1162" t="s">
        <v>2566</v>
      </c>
      <c r="C1031" s="1163" t="s">
        <v>203</v>
      </c>
      <c r="D1031" s="1163" t="s">
        <v>2939</v>
      </c>
      <c r="E1031" s="1164">
        <v>1598</v>
      </c>
      <c r="F1031" s="1165" t="s">
        <v>2804</v>
      </c>
      <c r="G1031" s="1165"/>
      <c r="H1031" s="1165"/>
      <c r="I1031" s="1165">
        <v>0.57999999999999996</v>
      </c>
      <c r="J1031" s="1165">
        <v>0.51</v>
      </c>
      <c r="K1031" s="1165">
        <v>0.42</v>
      </c>
      <c r="L1031" s="1166">
        <v>0.05</v>
      </c>
      <c r="M1031" s="1163"/>
      <c r="N1031" s="1167">
        <v>0.05</v>
      </c>
      <c r="O1031" s="1168">
        <v>6.0000000000000001E-3</v>
      </c>
      <c r="P1031" s="1168"/>
      <c r="Q1031" s="1169" t="s">
        <v>2853</v>
      </c>
      <c r="R1031" s="1170" t="str">
        <f t="shared" si="140"/>
        <v>유림로지스</v>
      </c>
      <c r="S1031" s="1170" t="s">
        <v>2934</v>
      </c>
      <c r="T1031" s="1170" t="str">
        <f t="shared" si="141"/>
        <v>N</v>
      </c>
      <c r="U1031" s="1170">
        <v>0</v>
      </c>
      <c r="V1031" s="1170">
        <v>0</v>
      </c>
      <c r="W1031" s="1170">
        <v>0</v>
      </c>
      <c r="X1031" s="1170" t="s">
        <v>2747</v>
      </c>
      <c r="Y1031" s="1170" t="s">
        <v>2843</v>
      </c>
      <c r="Z1031" s="1168"/>
      <c r="AA1031" s="1170" t="s">
        <v>2768</v>
      </c>
      <c r="AB1031" s="1171"/>
      <c r="AC1031" s="1172"/>
      <c r="AD1031" s="1171"/>
      <c r="AE1031" s="1171"/>
      <c r="AF1031" s="1171"/>
      <c r="AG1031" s="1171"/>
      <c r="AH1031" s="1171" t="s">
        <v>2588</v>
      </c>
      <c r="AI1031" s="1171" t="s">
        <v>3081</v>
      </c>
      <c r="AJ1031" s="1171" t="s">
        <v>2669</v>
      </c>
      <c r="AK1031" s="1160" t="s">
        <v>2976</v>
      </c>
      <c r="AL1031" s="736"/>
      <c r="AM1031" s="1171"/>
      <c r="AN1031" s="1171"/>
      <c r="AO1031" s="1171"/>
      <c r="AP1031" s="1171"/>
      <c r="AQ1031" s="1171"/>
      <c r="AR1031" s="1171"/>
      <c r="AS1031" s="1171"/>
      <c r="AT1031" s="1171"/>
      <c r="AU1031" s="1171"/>
      <c r="AV1031" s="1171"/>
      <c r="AW1031" s="1171"/>
      <c r="AX1031" s="1171"/>
      <c r="AY1031" s="1171"/>
      <c r="AZ1031" s="1171"/>
      <c r="BA1031" s="1171"/>
      <c r="BB1031" s="1171"/>
      <c r="BC1031" s="1171"/>
      <c r="BD1031" s="1171"/>
      <c r="BE1031" s="1171"/>
      <c r="BF1031" s="1171"/>
      <c r="BG1031" s="1171"/>
      <c r="BH1031" s="1171"/>
      <c r="BI1031" s="1171"/>
      <c r="BJ1031" s="1171"/>
      <c r="BK1031" s="1171"/>
      <c r="BL1031" s="1171"/>
      <c r="BM1031" s="1171"/>
      <c r="BN1031" s="1171"/>
      <c r="BO1031" s="1171"/>
      <c r="BP1031" s="1171"/>
      <c r="BQ1031" s="1171"/>
      <c r="BR1031" s="1171"/>
      <c r="BS1031" s="1171"/>
      <c r="BT1031" s="1171"/>
      <c r="BU1031" s="1171"/>
      <c r="BV1031" s="1171"/>
      <c r="BW1031" s="1171"/>
      <c r="BX1031" s="1171"/>
      <c r="BY1031" s="1171"/>
      <c r="BZ1031" s="1171"/>
      <c r="CA1031" s="1171"/>
      <c r="CB1031" s="1171"/>
      <c r="CC1031" s="1171"/>
      <c r="CD1031" s="1171"/>
      <c r="CE1031" s="1171"/>
      <c r="CF1031" s="1171"/>
      <c r="CG1031" s="1171"/>
      <c r="CH1031" s="1171"/>
      <c r="CI1031" s="1171"/>
      <c r="CJ1031" s="1171"/>
      <c r="CK1031" s="1171"/>
      <c r="CL1031" s="1171"/>
    </row>
    <row r="1032" spans="1:90" ht="15" customHeight="1">
      <c r="A1032" s="417">
        <v>156</v>
      </c>
      <c r="B1032" s="973" t="s">
        <v>1727</v>
      </c>
      <c r="C1032" s="973" t="s">
        <v>1728</v>
      </c>
      <c r="D1032" s="973" t="s">
        <v>1729</v>
      </c>
      <c r="E1032" s="974">
        <v>1497</v>
      </c>
      <c r="F1032" s="975" t="s">
        <v>1730</v>
      </c>
      <c r="G1032" s="975">
        <f t="shared" si="133"/>
        <v>0.64</v>
      </c>
      <c r="H1032" s="975">
        <f t="shared" si="134"/>
        <v>0.56000000000000005</v>
      </c>
      <c r="I1032" s="975">
        <f t="shared" si="137"/>
        <v>0.47</v>
      </c>
      <c r="J1032" s="975">
        <f t="shared" si="138"/>
        <v>0.39</v>
      </c>
      <c r="K1032" s="975">
        <f t="shared" si="135"/>
        <v>0.33</v>
      </c>
      <c r="L1032" s="1076">
        <v>0.05</v>
      </c>
      <c r="M1032" s="973" t="s">
        <v>477</v>
      </c>
      <c r="N1032" s="1077">
        <v>0.05</v>
      </c>
      <c r="O1032" s="1078">
        <v>6.0000000000000001E-3</v>
      </c>
      <c r="P1032" s="1078"/>
      <c r="Q1032" s="1079" t="s">
        <v>1744</v>
      </c>
      <c r="R1032" s="1080" t="str">
        <f>IF(OR(S1032="서산",S1032="광주",S1032="화성"),"선보","유림로지스")</f>
        <v>유림로지스</v>
      </c>
      <c r="S1032" s="1080" t="s">
        <v>828</v>
      </c>
      <c r="T1032" s="1080" t="str">
        <f>+IF(LEFT(D1032,1)="G","Y","N")</f>
        <v>N</v>
      </c>
      <c r="U1032" s="633">
        <v>0</v>
      </c>
      <c r="V1032" s="633">
        <v>0</v>
      </c>
      <c r="W1032" s="633">
        <v>0</v>
      </c>
      <c r="X1032" s="1080" t="s">
        <v>1731</v>
      </c>
      <c r="Y1032" s="1080" t="s">
        <v>3120</v>
      </c>
      <c r="Z1032" s="1080"/>
      <c r="AA1032" s="1080" t="s">
        <v>1557</v>
      </c>
      <c r="AB1032" s="1" t="s">
        <v>476</v>
      </c>
      <c r="AC1032" s="736"/>
      <c r="AF1032" s="1" t="s">
        <v>2473</v>
      </c>
      <c r="AJ1032" s="1091" t="s">
        <v>2668</v>
      </c>
      <c r="AK1032" s="1" t="s">
        <v>612</v>
      </c>
      <c r="AL1032" s="736"/>
    </row>
    <row r="1033" spans="1:90" ht="15" customHeight="1">
      <c r="A1033" s="417">
        <v>157</v>
      </c>
      <c r="B1033" s="973" t="s">
        <v>3100</v>
      </c>
      <c r="C1033" s="973" t="s">
        <v>3101</v>
      </c>
      <c r="D1033" s="973" t="s">
        <v>3102</v>
      </c>
      <c r="E1033" s="974">
        <v>1497</v>
      </c>
      <c r="F1033" s="975" t="s">
        <v>620</v>
      </c>
      <c r="G1033" s="975" t="e">
        <f t="shared" ref="G1033:G1035" si="144">+INDEX($BD$4:$CK$8,MATCH($G$3,$BC$4:$BC$8,0),MATCH(M1033,$BD$3:$CK$3,0))</f>
        <v>#N/A</v>
      </c>
      <c r="H1033" s="975" t="e">
        <f t="shared" ref="H1033:H1035" si="145">+INDEX($BD$4:$CK$8,MATCH($H$3,$BC$4:$BC$8,0),MATCH(M1033,$BD$3:$CK$3,0))</f>
        <v>#N/A</v>
      </c>
      <c r="I1033" s="975">
        <v>0.49</v>
      </c>
      <c r="J1033" s="975">
        <v>0.42</v>
      </c>
      <c r="K1033" s="975">
        <v>0.35</v>
      </c>
      <c r="L1033" s="1076">
        <v>0.05</v>
      </c>
      <c r="M1033" s="973"/>
      <c r="N1033" s="1077">
        <v>0.05</v>
      </c>
      <c r="O1033" s="1078">
        <v>6.0000000000000001E-3</v>
      </c>
      <c r="P1033" s="1078"/>
      <c r="Q1033" s="1079"/>
      <c r="R1033" s="1080" t="str">
        <f t="shared" ref="R1033" si="146">IF(OR(S1033="서산",S1033="광주",S1033="화성"),"선보","유림로지스")</f>
        <v>유림로지스</v>
      </c>
      <c r="S1033" s="1080" t="s">
        <v>828</v>
      </c>
      <c r="T1033" s="1079" t="str">
        <f>+IF(LEFT(D1033,1)="G","Y","N")</f>
        <v>N</v>
      </c>
      <c r="U1033" s="633">
        <v>0</v>
      </c>
      <c r="V1033" s="633">
        <v>0</v>
      </c>
      <c r="W1033" s="633">
        <v>0</v>
      </c>
      <c r="X1033" s="1080" t="s">
        <v>1731</v>
      </c>
      <c r="Y1033" s="1079" t="s">
        <v>3121</v>
      </c>
      <c r="Z1033" s="1079">
        <v>0.02</v>
      </c>
      <c r="AA1033" s="1079" t="s">
        <v>3109</v>
      </c>
      <c r="AC1033" s="736"/>
      <c r="AF1033" s="1" t="s">
        <v>3124</v>
      </c>
      <c r="AI1033" s="1" t="s">
        <v>3253</v>
      </c>
      <c r="AJ1033" s="1091"/>
      <c r="AK1033" s="1" t="s">
        <v>476</v>
      </c>
      <c r="AL1033" s="736"/>
    </row>
    <row r="1034" spans="1:90" ht="15" customHeight="1">
      <c r="A1034" s="417">
        <v>158</v>
      </c>
      <c r="B1034" s="2" t="s">
        <v>211</v>
      </c>
      <c r="C1034" s="2" t="s">
        <v>3103</v>
      </c>
      <c r="D1034" s="2" t="s">
        <v>3104</v>
      </c>
      <c r="E1034" s="3">
        <v>1969</v>
      </c>
      <c r="F1034" s="4" t="s">
        <v>3106</v>
      </c>
      <c r="G1034" s="975" t="e">
        <f t="shared" si="144"/>
        <v>#N/A</v>
      </c>
      <c r="H1034" s="975" t="e">
        <f t="shared" si="145"/>
        <v>#N/A</v>
      </c>
      <c r="I1034" s="975">
        <v>0.5</v>
      </c>
      <c r="J1034" s="975">
        <v>0.42</v>
      </c>
      <c r="K1034" s="975">
        <v>0.35</v>
      </c>
      <c r="L1034" s="441">
        <v>0.05</v>
      </c>
      <c r="M1034" s="2"/>
      <c r="N1034" s="443">
        <v>0.05</v>
      </c>
      <c r="O1034" s="296">
        <v>6.0000000000000001E-3</v>
      </c>
      <c r="P1034" s="296"/>
      <c r="Q1034" s="444"/>
      <c r="R1034" s="2" t="s">
        <v>3223</v>
      </c>
      <c r="S1034" s="2" t="s">
        <v>3119</v>
      </c>
      <c r="T1034" s="439" t="str">
        <f>+IF(LEFT(D1034,1)="G","Y","N")</f>
        <v>N</v>
      </c>
      <c r="U1034" s="633">
        <v>0</v>
      </c>
      <c r="V1034" s="633">
        <v>0</v>
      </c>
      <c r="W1034" s="633">
        <v>0</v>
      </c>
      <c r="X1034" s="1080" t="s">
        <v>1731</v>
      </c>
      <c r="Y1034" s="1" t="s">
        <v>3122</v>
      </c>
      <c r="Z1034" s="439">
        <v>0.03</v>
      </c>
      <c r="AA1034" s="1" t="s">
        <v>3110</v>
      </c>
      <c r="AF1034" s="1" t="s">
        <v>3125</v>
      </c>
      <c r="AI1034" s="1" t="s">
        <v>3254</v>
      </c>
      <c r="AJ1034" s="1091"/>
      <c r="AK1034" s="1" t="s">
        <v>3113</v>
      </c>
      <c r="AL1034" s="736"/>
    </row>
    <row r="1035" spans="1:90" ht="15" customHeight="1">
      <c r="A1035" s="417">
        <v>159</v>
      </c>
      <c r="B1035" s="2" t="s">
        <v>211</v>
      </c>
      <c r="C1035" s="2" t="s">
        <v>3103</v>
      </c>
      <c r="D1035" s="2" t="s">
        <v>3105</v>
      </c>
      <c r="E1035" s="3">
        <v>1499</v>
      </c>
      <c r="F1035" s="4" t="s">
        <v>3107</v>
      </c>
      <c r="G1035" s="975" t="e">
        <f t="shared" si="144"/>
        <v>#N/A</v>
      </c>
      <c r="H1035" s="975" t="e">
        <f t="shared" si="145"/>
        <v>#N/A</v>
      </c>
      <c r="I1035" s="975">
        <v>0.5</v>
      </c>
      <c r="J1035" s="975">
        <v>0.42</v>
      </c>
      <c r="K1035" s="975">
        <v>0.35</v>
      </c>
      <c r="L1035" s="441">
        <v>0.05</v>
      </c>
      <c r="M1035" s="2"/>
      <c r="N1035" s="443">
        <v>0.05</v>
      </c>
      <c r="O1035" s="296">
        <v>6.0000000000000001E-3</v>
      </c>
      <c r="P1035" s="296"/>
      <c r="Q1035" s="444"/>
      <c r="R1035" s="2" t="s">
        <v>3223</v>
      </c>
      <c r="S1035" s="2" t="s">
        <v>535</v>
      </c>
      <c r="T1035" s="439" t="s">
        <v>3108</v>
      </c>
      <c r="U1035" s="633">
        <v>0</v>
      </c>
      <c r="V1035" s="633">
        <v>0</v>
      </c>
      <c r="W1035" s="633">
        <v>0</v>
      </c>
      <c r="X1035" s="1080" t="s">
        <v>1731</v>
      </c>
      <c r="Y1035" s="1" t="s">
        <v>3123</v>
      </c>
      <c r="Z1035" s="439">
        <v>0.03</v>
      </c>
      <c r="AA1035" s="1" t="s">
        <v>3111</v>
      </c>
      <c r="AF1035" s="1" t="s">
        <v>3122</v>
      </c>
      <c r="AI1035" s="1" t="s">
        <v>148</v>
      </c>
      <c r="AJ1035" s="1091"/>
      <c r="AK1035" s="1" t="s">
        <v>3114</v>
      </c>
      <c r="AL1035" s="736"/>
    </row>
    <row r="1036" spans="1:90" ht="15" customHeight="1">
      <c r="A1036" s="417">
        <v>160</v>
      </c>
      <c r="B1036" s="2" t="s">
        <v>207</v>
      </c>
      <c r="C1036" s="2" t="s">
        <v>204</v>
      </c>
      <c r="D1036" s="2" t="s">
        <v>631</v>
      </c>
      <c r="E1036" s="3">
        <v>1998</v>
      </c>
      <c r="F1036" s="4" t="s">
        <v>684</v>
      </c>
      <c r="G1036" s="4">
        <f t="shared" si="133"/>
        <v>0.67</v>
      </c>
      <c r="H1036" s="4">
        <f t="shared" si="134"/>
        <v>0.59</v>
      </c>
      <c r="I1036" s="4">
        <f t="shared" si="137"/>
        <v>0.5</v>
      </c>
      <c r="J1036" s="4">
        <f t="shared" si="138"/>
        <v>0.42</v>
      </c>
      <c r="K1036" s="4">
        <f t="shared" si="135"/>
        <v>0.36</v>
      </c>
      <c r="L1036" s="441">
        <v>0</v>
      </c>
      <c r="M1036" s="2" t="s">
        <v>326</v>
      </c>
      <c r="N1036" s="443">
        <v>0.05</v>
      </c>
      <c r="O1036" s="296">
        <v>6.0000000000000001E-3</v>
      </c>
      <c r="P1036" s="296"/>
      <c r="Q1036" s="444"/>
      <c r="R1036" s="2"/>
      <c r="S1036" s="2"/>
      <c r="T1036" s="439"/>
      <c r="U1036" s="633">
        <v>0</v>
      </c>
      <c r="V1036" s="633">
        <v>0</v>
      </c>
      <c r="W1036" s="633">
        <v>0</v>
      </c>
      <c r="AJ1036" s="1091" t="s">
        <v>2670</v>
      </c>
      <c r="AK1036" s="1" t="s">
        <v>612</v>
      </c>
      <c r="AL1036" s="736"/>
    </row>
    <row r="1037" spans="1:90" ht="15" customHeight="1">
      <c r="A1037" s="417">
        <v>161</v>
      </c>
      <c r="B1037" s="2" t="s">
        <v>207</v>
      </c>
      <c r="C1037" s="2" t="s">
        <v>204</v>
      </c>
      <c r="D1037" s="2" t="s">
        <v>654</v>
      </c>
      <c r="E1037" s="3">
        <v>1332</v>
      </c>
      <c r="F1037" s="4" t="s">
        <v>663</v>
      </c>
      <c r="G1037" s="4">
        <f t="shared" si="133"/>
        <v>0.67</v>
      </c>
      <c r="H1037" s="4">
        <f t="shared" si="134"/>
        <v>0.59</v>
      </c>
      <c r="I1037" s="4">
        <f t="shared" si="137"/>
        <v>0.5</v>
      </c>
      <c r="J1037" s="4">
        <f>+INDEX($BD$4:$CK$8,MATCH($J$3,$BC$4:$BC$8,0),MATCH(M1037,$BD$3:$CK$3,0))</f>
        <v>0.42</v>
      </c>
      <c r="K1037" s="4">
        <f t="shared" si="135"/>
        <v>0.36</v>
      </c>
      <c r="L1037" s="441">
        <v>0</v>
      </c>
      <c r="M1037" s="2" t="s">
        <v>326</v>
      </c>
      <c r="N1037" s="443">
        <v>0.05</v>
      </c>
      <c r="O1037" s="296">
        <v>6.0000000000000001E-3</v>
      </c>
      <c r="P1037" s="296"/>
      <c r="Q1037" s="444"/>
      <c r="R1037" s="2"/>
      <c r="S1037" s="2"/>
      <c r="T1037" s="439"/>
      <c r="U1037" s="633">
        <v>0</v>
      </c>
      <c r="V1037" s="633">
        <v>0</v>
      </c>
      <c r="W1037" s="633">
        <v>0</v>
      </c>
      <c r="AJ1037" s="1091"/>
      <c r="AK1037" s="1" t="s">
        <v>612</v>
      </c>
      <c r="AL1037" s="736"/>
    </row>
    <row r="1038" spans="1:90" ht="15" customHeight="1">
      <c r="A1038" s="417">
        <v>162</v>
      </c>
      <c r="B1038" s="2" t="s">
        <v>207</v>
      </c>
      <c r="C1038" s="2" t="s">
        <v>204</v>
      </c>
      <c r="D1038" s="2" t="s">
        <v>655</v>
      </c>
      <c r="E1038" s="3">
        <v>1798</v>
      </c>
      <c r="F1038" s="4" t="s">
        <v>684</v>
      </c>
      <c r="G1038" s="4">
        <f t="shared" si="133"/>
        <v>0.67</v>
      </c>
      <c r="H1038" s="4">
        <f t="shared" si="134"/>
        <v>0.59</v>
      </c>
      <c r="I1038" s="4">
        <f t="shared" si="137"/>
        <v>0.5</v>
      </c>
      <c r="J1038" s="4">
        <f t="shared" si="138"/>
        <v>0.42</v>
      </c>
      <c r="K1038" s="4">
        <f t="shared" si="135"/>
        <v>0.36</v>
      </c>
      <c r="L1038" s="441">
        <v>0</v>
      </c>
      <c r="M1038" s="2" t="s">
        <v>326</v>
      </c>
      <c r="N1038" s="443">
        <v>0.05</v>
      </c>
      <c r="O1038" s="296">
        <v>6.0000000000000001E-3</v>
      </c>
      <c r="P1038" s="296"/>
      <c r="Q1038" s="444"/>
      <c r="R1038" s="2"/>
      <c r="S1038" s="2"/>
      <c r="T1038" s="439"/>
      <c r="U1038" s="633">
        <v>0</v>
      </c>
      <c r="V1038" s="633">
        <v>0</v>
      </c>
      <c r="W1038" s="633">
        <v>0</v>
      </c>
      <c r="AJ1038" s="1091"/>
      <c r="AK1038" s="1" t="s">
        <v>612</v>
      </c>
      <c r="AL1038" s="736"/>
    </row>
    <row r="1039" spans="1:90" ht="15" customHeight="1">
      <c r="A1039" s="417">
        <v>163</v>
      </c>
      <c r="B1039" s="2" t="s">
        <v>207</v>
      </c>
      <c r="C1039" s="2" t="s">
        <v>204</v>
      </c>
      <c r="D1039" s="2" t="s">
        <v>632</v>
      </c>
      <c r="E1039" s="3">
        <v>1332</v>
      </c>
      <c r="F1039" s="4" t="s">
        <v>684</v>
      </c>
      <c r="G1039" s="4">
        <f t="shared" ref="G1039:G1060" si="147">+INDEX($BD$4:$CK$8,MATCH($G$3,$BC$4:$BC$8,0),MATCH(M1039,$BD$3:$CK$3,0))</f>
        <v>0.67</v>
      </c>
      <c r="H1039" s="4">
        <f t="shared" ref="H1039:H1060" si="148">+INDEX($BD$4:$CK$8,MATCH($H$3,$BC$4:$BC$8,0),MATCH(M1039,$BD$3:$CK$3,0))</f>
        <v>0.59</v>
      </c>
      <c r="I1039" s="4">
        <f t="shared" si="137"/>
        <v>0.5</v>
      </c>
      <c r="J1039" s="4">
        <f t="shared" si="138"/>
        <v>0.42</v>
      </c>
      <c r="K1039" s="4">
        <f t="shared" ref="K1039:K1060" si="149">+INDEX($BD$4:$CK$8,MATCH($K$3,$BC$4:$BC$8,0),MATCH(M1039,$BD$3:$CK$3,0))</f>
        <v>0.36</v>
      </c>
      <c r="L1039" s="441">
        <v>0</v>
      </c>
      <c r="M1039" s="2" t="s">
        <v>326</v>
      </c>
      <c r="N1039" s="443">
        <v>0.05</v>
      </c>
      <c r="O1039" s="296">
        <v>6.0000000000000001E-3</v>
      </c>
      <c r="P1039" s="296"/>
      <c r="Q1039" s="444"/>
      <c r="R1039" s="2"/>
      <c r="S1039" s="2"/>
      <c r="T1039" s="439"/>
      <c r="U1039" s="633">
        <v>0</v>
      </c>
      <c r="V1039" s="633">
        <v>0</v>
      </c>
      <c r="W1039" s="633">
        <v>0</v>
      </c>
      <c r="AJ1039" s="1091"/>
      <c r="AK1039" s="1" t="s">
        <v>612</v>
      </c>
      <c r="AL1039" s="736"/>
    </row>
    <row r="1040" spans="1:90" ht="15" customHeight="1">
      <c r="A1040" s="417">
        <v>164</v>
      </c>
      <c r="B1040" s="2" t="s">
        <v>207</v>
      </c>
      <c r="C1040" s="2" t="s">
        <v>204</v>
      </c>
      <c r="D1040" s="2" t="s">
        <v>633</v>
      </c>
      <c r="E1040" s="3">
        <v>1598</v>
      </c>
      <c r="F1040" s="4" t="s">
        <v>684</v>
      </c>
      <c r="G1040" s="4">
        <f t="shared" si="147"/>
        <v>0.67</v>
      </c>
      <c r="H1040" s="4">
        <f t="shared" si="148"/>
        <v>0.59</v>
      </c>
      <c r="I1040" s="4">
        <f t="shared" si="137"/>
        <v>0.5</v>
      </c>
      <c r="J1040" s="4">
        <f t="shared" si="138"/>
        <v>0.42</v>
      </c>
      <c r="K1040" s="4">
        <f t="shared" si="149"/>
        <v>0.36</v>
      </c>
      <c r="L1040" s="441">
        <v>0</v>
      </c>
      <c r="M1040" s="2" t="s">
        <v>326</v>
      </c>
      <c r="N1040" s="443">
        <v>0.05</v>
      </c>
      <c r="O1040" s="296">
        <v>6.0000000000000001E-3</v>
      </c>
      <c r="P1040" s="296"/>
      <c r="Q1040" s="444"/>
      <c r="R1040" s="2"/>
      <c r="S1040" s="2"/>
      <c r="T1040" s="439"/>
      <c r="U1040" s="633">
        <v>0</v>
      </c>
      <c r="V1040" s="633">
        <v>0</v>
      </c>
      <c r="W1040" s="633">
        <v>0</v>
      </c>
      <c r="AJ1040" s="1091"/>
      <c r="AK1040" s="1" t="s">
        <v>612</v>
      </c>
      <c r="AL1040" s="736"/>
    </row>
    <row r="1041" spans="1:38" ht="15" customHeight="1">
      <c r="A1041" s="417">
        <v>165</v>
      </c>
      <c r="B1041" s="2" t="s">
        <v>207</v>
      </c>
      <c r="C1041" s="2" t="s">
        <v>204</v>
      </c>
      <c r="D1041" s="2" t="s">
        <v>634</v>
      </c>
      <c r="E1041" s="3">
        <v>1998</v>
      </c>
      <c r="F1041" s="4" t="s">
        <v>686</v>
      </c>
      <c r="G1041" s="4">
        <f t="shared" si="147"/>
        <v>0.67</v>
      </c>
      <c r="H1041" s="4">
        <f t="shared" si="148"/>
        <v>0.59</v>
      </c>
      <c r="I1041" s="4">
        <f t="shared" si="137"/>
        <v>0.5</v>
      </c>
      <c r="J1041" s="4">
        <f t="shared" si="138"/>
        <v>0.42</v>
      </c>
      <c r="K1041" s="4">
        <f t="shared" si="149"/>
        <v>0.36</v>
      </c>
      <c r="L1041" s="441">
        <v>0</v>
      </c>
      <c r="M1041" s="2" t="s">
        <v>326</v>
      </c>
      <c r="N1041" s="443">
        <v>0.05</v>
      </c>
      <c r="O1041" s="296">
        <v>6.0000000000000001E-3</v>
      </c>
      <c r="P1041" s="296"/>
      <c r="Q1041" s="444"/>
      <c r="R1041" s="2"/>
      <c r="S1041" s="2"/>
      <c r="T1041" s="439"/>
      <c r="U1041" s="633">
        <v>0</v>
      </c>
      <c r="V1041" s="633">
        <v>0</v>
      </c>
      <c r="W1041" s="633">
        <v>0</v>
      </c>
      <c r="AJ1041" s="1091"/>
      <c r="AK1041" s="1" t="s">
        <v>612</v>
      </c>
      <c r="AL1041" s="736"/>
    </row>
    <row r="1042" spans="1:38" ht="15" customHeight="1">
      <c r="A1042" s="417">
        <v>166</v>
      </c>
      <c r="B1042" s="2" t="s">
        <v>207</v>
      </c>
      <c r="C1042" s="2" t="s">
        <v>204</v>
      </c>
      <c r="D1042" s="2" t="s">
        <v>635</v>
      </c>
      <c r="E1042" s="3">
        <v>1997</v>
      </c>
      <c r="F1042" s="4" t="s">
        <v>686</v>
      </c>
      <c r="G1042" s="4">
        <f t="shared" si="147"/>
        <v>0.67</v>
      </c>
      <c r="H1042" s="4">
        <f t="shared" si="148"/>
        <v>0.59</v>
      </c>
      <c r="I1042" s="4">
        <f t="shared" si="137"/>
        <v>0.5</v>
      </c>
      <c r="J1042" s="4">
        <f t="shared" si="138"/>
        <v>0.42</v>
      </c>
      <c r="K1042" s="4">
        <f t="shared" si="149"/>
        <v>0.36</v>
      </c>
      <c r="L1042" s="441">
        <v>0</v>
      </c>
      <c r="M1042" s="2" t="s">
        <v>326</v>
      </c>
      <c r="N1042" s="443">
        <v>0.05</v>
      </c>
      <c r="O1042" s="296">
        <v>6.0000000000000001E-3</v>
      </c>
      <c r="P1042" s="296"/>
      <c r="Q1042" s="444"/>
      <c r="R1042" s="2"/>
      <c r="S1042" s="2"/>
      <c r="T1042" s="439"/>
      <c r="U1042" s="633">
        <v>0</v>
      </c>
      <c r="V1042" s="633">
        <v>0</v>
      </c>
      <c r="W1042" s="633">
        <v>0</v>
      </c>
      <c r="AC1042" s="736"/>
      <c r="AJ1042" s="1091"/>
      <c r="AK1042" s="1" t="s">
        <v>612</v>
      </c>
      <c r="AL1042" s="736"/>
    </row>
    <row r="1043" spans="1:38" ht="15" customHeight="1">
      <c r="A1043" s="417">
        <v>167</v>
      </c>
      <c r="B1043" s="2" t="s">
        <v>207</v>
      </c>
      <c r="C1043" s="2" t="s">
        <v>205</v>
      </c>
      <c r="D1043" s="2" t="s">
        <v>636</v>
      </c>
      <c r="E1043" s="3">
        <v>999</v>
      </c>
      <c r="F1043" s="4" t="s">
        <v>689</v>
      </c>
      <c r="G1043" s="4">
        <f t="shared" si="147"/>
        <v>0.67</v>
      </c>
      <c r="H1043" s="4">
        <f t="shared" si="148"/>
        <v>0.59</v>
      </c>
      <c r="I1043" s="4">
        <f t="shared" si="137"/>
        <v>0.5</v>
      </c>
      <c r="J1043" s="4">
        <f t="shared" si="138"/>
        <v>0.42</v>
      </c>
      <c r="K1043" s="4">
        <f t="shared" si="149"/>
        <v>0.36</v>
      </c>
      <c r="L1043" s="441">
        <v>0</v>
      </c>
      <c r="M1043" s="2" t="s">
        <v>326</v>
      </c>
      <c r="N1043" s="443">
        <v>0.05</v>
      </c>
      <c r="O1043" s="296">
        <v>6.0000000000000001E-3</v>
      </c>
      <c r="P1043" s="296"/>
      <c r="Q1043" s="444"/>
      <c r="R1043" s="2"/>
      <c r="S1043" s="2"/>
      <c r="T1043" s="439"/>
      <c r="U1043" s="633">
        <v>0</v>
      </c>
      <c r="V1043" s="633">
        <v>0</v>
      </c>
      <c r="W1043" s="633">
        <v>0</v>
      </c>
      <c r="AC1043" s="736"/>
      <c r="AJ1043" s="1091"/>
      <c r="AK1043" s="1" t="s">
        <v>612</v>
      </c>
      <c r="AL1043" s="736"/>
    </row>
    <row r="1044" spans="1:38" ht="15" customHeight="1">
      <c r="A1044" s="417">
        <v>168</v>
      </c>
      <c r="B1044" s="2" t="s">
        <v>207</v>
      </c>
      <c r="C1044" s="2" t="s">
        <v>205</v>
      </c>
      <c r="D1044" s="2" t="s">
        <v>637</v>
      </c>
      <c r="E1044" s="3">
        <v>999</v>
      </c>
      <c r="F1044" s="4" t="s">
        <v>689</v>
      </c>
      <c r="G1044" s="4">
        <f t="shared" si="147"/>
        <v>0.68</v>
      </c>
      <c r="H1044" s="4">
        <f t="shared" si="148"/>
        <v>0.6</v>
      </c>
      <c r="I1044" s="4">
        <f t="shared" si="137"/>
        <v>0.51</v>
      </c>
      <c r="J1044" s="4">
        <f t="shared" si="138"/>
        <v>0.43</v>
      </c>
      <c r="K1044" s="4">
        <f t="shared" si="149"/>
        <v>0.37</v>
      </c>
      <c r="L1044" s="441">
        <v>0</v>
      </c>
      <c r="M1044" s="2" t="s">
        <v>325</v>
      </c>
      <c r="N1044" s="443">
        <v>0.05</v>
      </c>
      <c r="O1044" s="296">
        <v>6.0000000000000001E-3</v>
      </c>
      <c r="P1044" s="296"/>
      <c r="Q1044" s="444"/>
      <c r="R1044" s="2"/>
      <c r="S1044" s="2"/>
      <c r="T1044" s="439"/>
      <c r="U1044" s="633">
        <v>0</v>
      </c>
      <c r="V1044" s="633">
        <v>0</v>
      </c>
      <c r="W1044" s="633">
        <v>0</v>
      </c>
      <c r="AC1044" s="736"/>
      <c r="AJ1044" s="1091"/>
      <c r="AK1044" s="1" t="s">
        <v>612</v>
      </c>
      <c r="AL1044" s="736"/>
    </row>
    <row r="1045" spans="1:38" ht="15" customHeight="1">
      <c r="A1045" s="417">
        <v>169</v>
      </c>
      <c r="B1045" s="2" t="s">
        <v>207</v>
      </c>
      <c r="C1045" s="2" t="s">
        <v>205</v>
      </c>
      <c r="D1045" s="2" t="s">
        <v>638</v>
      </c>
      <c r="E1045" s="3">
        <v>1341</v>
      </c>
      <c r="F1045" s="4" t="s">
        <v>663</v>
      </c>
      <c r="G1045" s="4">
        <f t="shared" si="147"/>
        <v>0.65</v>
      </c>
      <c r="H1045" s="4">
        <f t="shared" si="148"/>
        <v>0.56999999999999995</v>
      </c>
      <c r="I1045" s="4">
        <f t="shared" si="137"/>
        <v>0.48</v>
      </c>
      <c r="J1045" s="4">
        <f t="shared" si="138"/>
        <v>0.4</v>
      </c>
      <c r="K1045" s="4">
        <f t="shared" si="149"/>
        <v>0.34</v>
      </c>
      <c r="L1045" s="441">
        <v>0</v>
      </c>
      <c r="M1045" s="2" t="s">
        <v>328</v>
      </c>
      <c r="N1045" s="443">
        <v>0.05</v>
      </c>
      <c r="O1045" s="296">
        <v>6.0000000000000001E-3</v>
      </c>
      <c r="P1045" s="296"/>
      <c r="Q1045" s="444"/>
      <c r="R1045" s="2"/>
      <c r="S1045" s="2"/>
      <c r="T1045" s="439"/>
      <c r="U1045" s="633">
        <v>0</v>
      </c>
      <c r="V1045" s="633">
        <v>0</v>
      </c>
      <c r="W1045" s="633">
        <v>0</v>
      </c>
      <c r="AC1045" s="736"/>
      <c r="AJ1045" s="1091"/>
      <c r="AK1045" s="1" t="s">
        <v>612</v>
      </c>
      <c r="AL1045" s="736"/>
    </row>
    <row r="1046" spans="1:38" ht="15" customHeight="1">
      <c r="A1046" s="417">
        <v>170</v>
      </c>
      <c r="B1046" s="2" t="s">
        <v>207</v>
      </c>
      <c r="C1046" s="2" t="s">
        <v>205</v>
      </c>
      <c r="D1046" s="2" t="s">
        <v>639</v>
      </c>
      <c r="E1046" s="3">
        <v>1998</v>
      </c>
      <c r="F1046" s="4" t="s">
        <v>684</v>
      </c>
      <c r="G1046" s="4">
        <f t="shared" si="147"/>
        <v>0.7</v>
      </c>
      <c r="H1046" s="4">
        <f t="shared" si="148"/>
        <v>0.62</v>
      </c>
      <c r="I1046" s="4">
        <f t="shared" si="137"/>
        <v>0.53</v>
      </c>
      <c r="J1046" s="4">
        <f t="shared" si="138"/>
        <v>0.45</v>
      </c>
      <c r="K1046" s="4">
        <f t="shared" si="149"/>
        <v>0.39</v>
      </c>
      <c r="L1046" s="441">
        <v>0</v>
      </c>
      <c r="M1046" s="2" t="s">
        <v>324</v>
      </c>
      <c r="N1046" s="443">
        <v>0.05</v>
      </c>
      <c r="O1046" s="296">
        <v>6.0000000000000001E-3</v>
      </c>
      <c r="P1046" s="296"/>
      <c r="Q1046" s="444"/>
      <c r="R1046" s="2"/>
      <c r="S1046" s="2"/>
      <c r="T1046" s="439"/>
      <c r="U1046" s="633">
        <v>0</v>
      </c>
      <c r="V1046" s="633">
        <v>0</v>
      </c>
      <c r="W1046" s="633">
        <v>0</v>
      </c>
      <c r="AC1046" s="736"/>
      <c r="AJ1046" s="1091"/>
      <c r="AK1046" s="1" t="s">
        <v>612</v>
      </c>
      <c r="AL1046" s="736"/>
    </row>
    <row r="1047" spans="1:38" ht="15" customHeight="1">
      <c r="A1047" s="417">
        <v>171</v>
      </c>
      <c r="B1047" s="2" t="s">
        <v>207</v>
      </c>
      <c r="C1047" s="2" t="s">
        <v>205</v>
      </c>
      <c r="D1047" s="2" t="s">
        <v>652</v>
      </c>
      <c r="E1047" s="3">
        <v>1341</v>
      </c>
      <c r="F1047" s="4" t="s">
        <v>663</v>
      </c>
      <c r="G1047" s="4">
        <f t="shared" si="147"/>
        <v>0.65</v>
      </c>
      <c r="H1047" s="4">
        <f t="shared" si="148"/>
        <v>0.56999999999999995</v>
      </c>
      <c r="I1047" s="4">
        <f t="shared" si="137"/>
        <v>0.48</v>
      </c>
      <c r="J1047" s="4">
        <f t="shared" si="138"/>
        <v>0.4</v>
      </c>
      <c r="K1047" s="4">
        <f t="shared" si="149"/>
        <v>0.34</v>
      </c>
      <c r="L1047" s="441">
        <v>0</v>
      </c>
      <c r="M1047" s="2" t="s">
        <v>328</v>
      </c>
      <c r="N1047" s="443">
        <v>0.05</v>
      </c>
      <c r="O1047" s="296">
        <v>6.0000000000000001E-3</v>
      </c>
      <c r="P1047" s="296"/>
      <c r="Q1047" s="444"/>
      <c r="R1047" s="2"/>
      <c r="S1047" s="2"/>
      <c r="T1047" s="439"/>
      <c r="U1047" s="633">
        <v>0</v>
      </c>
      <c r="V1047" s="633">
        <v>0</v>
      </c>
      <c r="W1047" s="633">
        <v>0</v>
      </c>
      <c r="AC1047" s="736"/>
      <c r="AJ1047" s="1091"/>
      <c r="AK1047" s="1" t="s">
        <v>612</v>
      </c>
      <c r="AL1047" s="736"/>
    </row>
    <row r="1048" spans="1:38" ht="15" customHeight="1">
      <c r="A1048" s="417">
        <v>172</v>
      </c>
      <c r="B1048" s="2" t="s">
        <v>207</v>
      </c>
      <c r="C1048" s="2" t="s">
        <v>205</v>
      </c>
      <c r="D1048" s="2" t="s">
        <v>653</v>
      </c>
      <c r="E1048" s="3">
        <v>3649</v>
      </c>
      <c r="F1048" s="4" t="s">
        <v>686</v>
      </c>
      <c r="G1048" s="4">
        <f t="shared" si="147"/>
        <v>0.62</v>
      </c>
      <c r="H1048" s="4">
        <f t="shared" si="148"/>
        <v>0.54</v>
      </c>
      <c r="I1048" s="4">
        <f t="shared" si="137"/>
        <v>0.45</v>
      </c>
      <c r="J1048" s="4">
        <f t="shared" si="138"/>
        <v>0.37</v>
      </c>
      <c r="K1048" s="4">
        <f t="shared" si="149"/>
        <v>0.31</v>
      </c>
      <c r="L1048" s="441">
        <v>0</v>
      </c>
      <c r="M1048" s="2" t="s">
        <v>329</v>
      </c>
      <c r="N1048" s="443">
        <v>0.05</v>
      </c>
      <c r="O1048" s="296">
        <v>6.0000000000000001E-3</v>
      </c>
      <c r="P1048" s="296"/>
      <c r="Q1048" s="444"/>
      <c r="R1048" s="2"/>
      <c r="S1048" s="2"/>
      <c r="T1048" s="439"/>
      <c r="U1048" s="633">
        <v>0</v>
      </c>
      <c r="V1048" s="633">
        <v>0</v>
      </c>
      <c r="W1048" s="633">
        <v>0</v>
      </c>
      <c r="AC1048" s="736"/>
      <c r="AJ1048" s="1091"/>
      <c r="AK1048" s="1" t="s">
        <v>612</v>
      </c>
      <c r="AL1048" s="736"/>
    </row>
    <row r="1049" spans="1:38" ht="15" customHeight="1">
      <c r="A1049" s="417">
        <v>173</v>
      </c>
      <c r="B1049" s="2" t="s">
        <v>207</v>
      </c>
      <c r="C1049" s="2" t="s">
        <v>205</v>
      </c>
      <c r="D1049" s="2" t="s">
        <v>640</v>
      </c>
      <c r="E1049" s="3">
        <v>1362</v>
      </c>
      <c r="F1049" s="4" t="s">
        <v>687</v>
      </c>
      <c r="G1049" s="4">
        <f t="shared" si="147"/>
        <v>0.62</v>
      </c>
      <c r="H1049" s="4">
        <f t="shared" si="148"/>
        <v>0.54</v>
      </c>
      <c r="I1049" s="4">
        <f t="shared" si="137"/>
        <v>0.45</v>
      </c>
      <c r="J1049" s="4">
        <f t="shared" si="138"/>
        <v>0.37</v>
      </c>
      <c r="K1049" s="4">
        <f t="shared" si="149"/>
        <v>0.31</v>
      </c>
      <c r="L1049" s="441">
        <v>0</v>
      </c>
      <c r="M1049" s="2" t="s">
        <v>329</v>
      </c>
      <c r="N1049" s="443">
        <v>0.05</v>
      </c>
      <c r="O1049" s="296">
        <v>6.0000000000000001E-3</v>
      </c>
      <c r="P1049" s="296"/>
      <c r="Q1049" s="444"/>
      <c r="R1049" s="2"/>
      <c r="S1049" s="2"/>
      <c r="T1049" s="439"/>
      <c r="U1049" s="633">
        <v>0</v>
      </c>
      <c r="V1049" s="633">
        <v>0</v>
      </c>
      <c r="W1049" s="633">
        <v>0</v>
      </c>
      <c r="AC1049" s="736"/>
      <c r="AJ1049" s="1091"/>
      <c r="AK1049" s="1" t="s">
        <v>612</v>
      </c>
      <c r="AL1049" s="736"/>
    </row>
    <row r="1050" spans="1:38" ht="15" customHeight="1">
      <c r="A1050" s="417">
        <v>174</v>
      </c>
      <c r="B1050" s="2" t="s">
        <v>207</v>
      </c>
      <c r="C1050" s="2" t="s">
        <v>205</v>
      </c>
      <c r="D1050" s="2" t="s">
        <v>641</v>
      </c>
      <c r="E1050" s="3">
        <v>1598</v>
      </c>
      <c r="F1050" s="4" t="s">
        <v>687</v>
      </c>
      <c r="G1050" s="4">
        <f t="shared" si="147"/>
        <v>0.62</v>
      </c>
      <c r="H1050" s="4">
        <f t="shared" si="148"/>
        <v>0.54</v>
      </c>
      <c r="I1050" s="4">
        <f t="shared" si="137"/>
        <v>0.45</v>
      </c>
      <c r="J1050" s="4">
        <f t="shared" si="138"/>
        <v>0.37</v>
      </c>
      <c r="K1050" s="4">
        <f t="shared" si="149"/>
        <v>0.31</v>
      </c>
      <c r="L1050" s="441">
        <v>0</v>
      </c>
      <c r="M1050" s="2" t="s">
        <v>329</v>
      </c>
      <c r="N1050" s="443">
        <v>0.05</v>
      </c>
      <c r="O1050" s="296">
        <v>6.0000000000000001E-3</v>
      </c>
      <c r="P1050" s="296"/>
      <c r="Q1050" s="444"/>
      <c r="R1050" s="2"/>
      <c r="S1050" s="2"/>
      <c r="T1050" s="439"/>
      <c r="U1050" s="633">
        <v>0</v>
      </c>
      <c r="V1050" s="633">
        <v>0</v>
      </c>
      <c r="W1050" s="633">
        <v>0</v>
      </c>
      <c r="AC1050" s="736"/>
      <c r="AJ1050" s="1091"/>
      <c r="AK1050" s="1" t="s">
        <v>612</v>
      </c>
      <c r="AL1050" s="736"/>
    </row>
    <row r="1051" spans="1:38" ht="15" customHeight="1">
      <c r="A1051" s="417">
        <v>175</v>
      </c>
      <c r="B1051" s="2" t="s">
        <v>207</v>
      </c>
      <c r="C1051" s="2" t="s">
        <v>205</v>
      </c>
      <c r="D1051" s="2" t="s">
        <v>642</v>
      </c>
      <c r="E1051" s="3">
        <v>1598</v>
      </c>
      <c r="F1051" s="4" t="s">
        <v>686</v>
      </c>
      <c r="G1051" s="4">
        <f t="shared" si="147"/>
        <v>0.62</v>
      </c>
      <c r="H1051" s="4">
        <f t="shared" si="148"/>
        <v>0.54</v>
      </c>
      <c r="I1051" s="4">
        <f t="shared" si="137"/>
        <v>0.45</v>
      </c>
      <c r="J1051" s="4">
        <f t="shared" si="138"/>
        <v>0.37</v>
      </c>
      <c r="K1051" s="4">
        <f t="shared" si="149"/>
        <v>0.31</v>
      </c>
      <c r="L1051" s="441">
        <v>0</v>
      </c>
      <c r="M1051" s="2" t="s">
        <v>329</v>
      </c>
      <c r="N1051" s="443">
        <v>0.05</v>
      </c>
      <c r="O1051" s="296">
        <v>6.0000000000000001E-3</v>
      </c>
      <c r="P1051" s="296"/>
      <c r="Q1051" s="444"/>
      <c r="R1051" s="2"/>
      <c r="S1051" s="2"/>
      <c r="T1051" s="439"/>
      <c r="U1051" s="633">
        <v>0</v>
      </c>
      <c r="V1051" s="633">
        <v>0</v>
      </c>
      <c r="W1051" s="633">
        <v>0</v>
      </c>
      <c r="AC1051" s="736"/>
      <c r="AJ1051" s="1091"/>
      <c r="AK1051" s="1" t="s">
        <v>612</v>
      </c>
      <c r="AL1051" s="736"/>
    </row>
    <row r="1052" spans="1:38" ht="15" customHeight="1">
      <c r="A1052" s="417">
        <v>176</v>
      </c>
      <c r="B1052" s="2" t="s">
        <v>207</v>
      </c>
      <c r="C1052" s="2" t="s">
        <v>205</v>
      </c>
      <c r="D1052" s="2" t="s">
        <v>643</v>
      </c>
      <c r="E1052" s="3">
        <v>1199</v>
      </c>
      <c r="F1052" s="4" t="s">
        <v>686</v>
      </c>
      <c r="G1052" s="4">
        <f t="shared" si="147"/>
        <v>0.65</v>
      </c>
      <c r="H1052" s="4">
        <f t="shared" si="148"/>
        <v>0.56999999999999995</v>
      </c>
      <c r="I1052" s="4">
        <f t="shared" si="137"/>
        <v>0.48</v>
      </c>
      <c r="J1052" s="4">
        <f t="shared" si="138"/>
        <v>0.4</v>
      </c>
      <c r="K1052" s="4">
        <f t="shared" si="149"/>
        <v>0.34</v>
      </c>
      <c r="L1052" s="441">
        <v>0</v>
      </c>
      <c r="M1052" s="2" t="s">
        <v>328</v>
      </c>
      <c r="N1052" s="443">
        <v>0.05</v>
      </c>
      <c r="O1052" s="296">
        <v>6.0000000000000001E-3</v>
      </c>
      <c r="P1052" s="296"/>
      <c r="Q1052" s="444"/>
      <c r="R1052" s="2"/>
      <c r="S1052" s="2"/>
      <c r="T1052" s="439"/>
      <c r="U1052" s="633">
        <v>0</v>
      </c>
      <c r="V1052" s="633">
        <v>0</v>
      </c>
      <c r="W1052" s="633">
        <v>0</v>
      </c>
      <c r="AC1052" s="736"/>
      <c r="AJ1052" s="1091"/>
      <c r="AK1052" s="1" t="s">
        <v>612</v>
      </c>
      <c r="AL1052" s="736"/>
    </row>
    <row r="1053" spans="1:38" ht="15" customHeight="1">
      <c r="A1053" s="417">
        <v>177</v>
      </c>
      <c r="B1053" s="2" t="s">
        <v>207</v>
      </c>
      <c r="C1053" s="2" t="s">
        <v>205</v>
      </c>
      <c r="D1053" s="2" t="s">
        <v>644</v>
      </c>
      <c r="E1053" s="3">
        <v>1341</v>
      </c>
      <c r="F1053" s="4" t="s">
        <v>686</v>
      </c>
      <c r="G1053" s="4">
        <f t="shared" si="147"/>
        <v>0.65</v>
      </c>
      <c r="H1053" s="4">
        <f t="shared" si="148"/>
        <v>0.56999999999999995</v>
      </c>
      <c r="I1053" s="4">
        <f t="shared" si="137"/>
        <v>0.48</v>
      </c>
      <c r="J1053" s="4">
        <f t="shared" si="138"/>
        <v>0.4</v>
      </c>
      <c r="K1053" s="4">
        <f t="shared" si="149"/>
        <v>0.34</v>
      </c>
      <c r="L1053" s="441">
        <v>0</v>
      </c>
      <c r="M1053" s="2" t="s">
        <v>328</v>
      </c>
      <c r="N1053" s="443">
        <v>0.05</v>
      </c>
      <c r="O1053" s="296">
        <v>6.0000000000000001E-3</v>
      </c>
      <c r="P1053" s="296"/>
      <c r="Q1053" s="444"/>
      <c r="R1053" s="2"/>
      <c r="S1053" s="2"/>
      <c r="T1053" s="439"/>
      <c r="U1053" s="633">
        <v>0</v>
      </c>
      <c r="V1053" s="633">
        <v>0</v>
      </c>
      <c r="W1053" s="633">
        <v>0</v>
      </c>
      <c r="AC1053" s="736"/>
      <c r="AI1053" s="1" t="s">
        <v>3163</v>
      </c>
      <c r="AJ1053" s="1091"/>
      <c r="AK1053" s="1" t="s">
        <v>612</v>
      </c>
      <c r="AL1053" s="736"/>
    </row>
    <row r="1054" spans="1:38" ht="15" customHeight="1">
      <c r="A1054" s="417">
        <v>178</v>
      </c>
      <c r="B1054" s="2" t="s">
        <v>207</v>
      </c>
      <c r="C1054" s="2" t="s">
        <v>205</v>
      </c>
      <c r="D1054" s="2" t="s">
        <v>645</v>
      </c>
      <c r="E1054" s="3">
        <v>3564</v>
      </c>
      <c r="F1054" s="4" t="s">
        <v>629</v>
      </c>
      <c r="G1054" s="4">
        <f t="shared" si="147"/>
        <v>0.62</v>
      </c>
      <c r="H1054" s="4">
        <f t="shared" si="148"/>
        <v>0.54</v>
      </c>
      <c r="I1054" s="4">
        <f t="shared" si="137"/>
        <v>0.45</v>
      </c>
      <c r="J1054" s="4">
        <f t="shared" si="138"/>
        <v>0.37</v>
      </c>
      <c r="K1054" s="4">
        <f t="shared" si="149"/>
        <v>0.31</v>
      </c>
      <c r="L1054" s="441">
        <v>0</v>
      </c>
      <c r="M1054" s="2" t="s">
        <v>329</v>
      </c>
      <c r="N1054" s="443">
        <v>0.05</v>
      </c>
      <c r="O1054" s="296">
        <v>6.0000000000000001E-3</v>
      </c>
      <c r="P1054" s="296"/>
      <c r="Q1054" s="444"/>
      <c r="R1054" s="2"/>
      <c r="S1054" s="2"/>
      <c r="T1054" s="439"/>
      <c r="U1054" s="633">
        <v>0</v>
      </c>
      <c r="V1054" s="633">
        <v>0</v>
      </c>
      <c r="W1054" s="633">
        <v>0</v>
      </c>
      <c r="AC1054" s="736"/>
      <c r="AI1054" s="1" t="s">
        <v>3217</v>
      </c>
      <c r="AJ1054" s="1091"/>
      <c r="AK1054" s="1" t="s">
        <v>612</v>
      </c>
      <c r="AL1054" s="736"/>
    </row>
    <row r="1055" spans="1:38" ht="15" customHeight="1">
      <c r="A1055" s="417">
        <v>179</v>
      </c>
      <c r="B1055" s="2" t="s">
        <v>207</v>
      </c>
      <c r="C1055" s="2" t="s">
        <v>206</v>
      </c>
      <c r="D1055" s="2" t="s">
        <v>646</v>
      </c>
      <c r="E1055" s="3">
        <v>1497</v>
      </c>
      <c r="F1055" s="4" t="s">
        <v>686</v>
      </c>
      <c r="G1055" s="4">
        <f t="shared" si="147"/>
        <v>0.71</v>
      </c>
      <c r="H1055" s="4">
        <f t="shared" si="148"/>
        <v>0.63</v>
      </c>
      <c r="I1055" s="4">
        <f t="shared" si="137"/>
        <v>0.54</v>
      </c>
      <c r="J1055" s="4">
        <f t="shared" si="138"/>
        <v>0.46</v>
      </c>
      <c r="K1055" s="4">
        <f t="shared" si="149"/>
        <v>0.4</v>
      </c>
      <c r="L1055" s="441">
        <v>0</v>
      </c>
      <c r="M1055" s="2" t="s">
        <v>323</v>
      </c>
      <c r="N1055" s="443">
        <v>0.05</v>
      </c>
      <c r="O1055" s="296">
        <v>6.0000000000000001E-3</v>
      </c>
      <c r="P1055" s="296"/>
      <c r="Q1055" s="444"/>
      <c r="R1055" s="2"/>
      <c r="S1055" s="2"/>
      <c r="T1055" s="439"/>
      <c r="U1055" s="633">
        <v>0</v>
      </c>
      <c r="V1055" s="633">
        <v>0</v>
      </c>
      <c r="W1055" s="633">
        <v>0</v>
      </c>
      <c r="AC1055" s="736"/>
      <c r="AI1055" s="1" t="s">
        <v>3165</v>
      </c>
      <c r="AJ1055" s="1091"/>
      <c r="AK1055" s="1" t="s">
        <v>612</v>
      </c>
      <c r="AL1055" s="736"/>
    </row>
    <row r="1056" spans="1:38" ht="15" customHeight="1">
      <c r="A1056" s="417">
        <v>180</v>
      </c>
      <c r="B1056" s="2" t="s">
        <v>207</v>
      </c>
      <c r="C1056" s="2" t="s">
        <v>206</v>
      </c>
      <c r="D1056" s="2" t="s">
        <v>647</v>
      </c>
      <c r="E1056" s="3">
        <v>1597</v>
      </c>
      <c r="F1056" s="4" t="s">
        <v>690</v>
      </c>
      <c r="G1056" s="4">
        <f t="shared" si="147"/>
        <v>0.71</v>
      </c>
      <c r="H1056" s="4">
        <f t="shared" si="148"/>
        <v>0.63</v>
      </c>
      <c r="I1056" s="4">
        <f t="shared" si="137"/>
        <v>0.54</v>
      </c>
      <c r="J1056" s="4">
        <f t="shared" si="138"/>
        <v>0.46</v>
      </c>
      <c r="K1056" s="4">
        <f t="shared" si="149"/>
        <v>0.4</v>
      </c>
      <c r="L1056" s="441">
        <v>0</v>
      </c>
      <c r="M1056" s="2" t="s">
        <v>323</v>
      </c>
      <c r="N1056" s="443">
        <v>0.05</v>
      </c>
      <c r="O1056" s="296">
        <v>6.0000000000000001E-3</v>
      </c>
      <c r="P1056" s="296"/>
      <c r="Q1056" s="444"/>
      <c r="R1056" s="2"/>
      <c r="S1056" s="2"/>
      <c r="T1056" s="439"/>
      <c r="U1056" s="633">
        <v>0</v>
      </c>
      <c r="V1056" s="633">
        <v>0</v>
      </c>
      <c r="W1056" s="633">
        <v>0</v>
      </c>
      <c r="AC1056" s="736"/>
      <c r="AJ1056" s="1091"/>
      <c r="AK1056" s="1" t="s">
        <v>612</v>
      </c>
      <c r="AL1056" s="736"/>
    </row>
    <row r="1057" spans="1:38" ht="15" customHeight="1">
      <c r="A1057" s="417">
        <v>181</v>
      </c>
      <c r="B1057" s="2" t="s">
        <v>207</v>
      </c>
      <c r="C1057" s="2" t="s">
        <v>206</v>
      </c>
      <c r="D1057" s="2" t="s">
        <v>651</v>
      </c>
      <c r="E1057" s="3">
        <v>1497</v>
      </c>
      <c r="F1057" s="4" t="s">
        <v>687</v>
      </c>
      <c r="G1057" s="4">
        <f t="shared" si="147"/>
        <v>0.71</v>
      </c>
      <c r="H1057" s="4">
        <f t="shared" si="148"/>
        <v>0.63</v>
      </c>
      <c r="I1057" s="4">
        <f t="shared" si="137"/>
        <v>0.54</v>
      </c>
      <c r="J1057" s="4">
        <f t="shared" si="138"/>
        <v>0.46</v>
      </c>
      <c r="K1057" s="4">
        <f t="shared" si="149"/>
        <v>0.4</v>
      </c>
      <c r="L1057" s="441">
        <v>0</v>
      </c>
      <c r="M1057" s="2" t="s">
        <v>323</v>
      </c>
      <c r="N1057" s="443">
        <v>0.05</v>
      </c>
      <c r="O1057" s="296">
        <v>6.0000000000000001E-3</v>
      </c>
      <c r="P1057" s="296"/>
      <c r="Q1057" s="444"/>
      <c r="R1057" s="2"/>
      <c r="S1057" s="2"/>
      <c r="T1057" s="439"/>
      <c r="U1057" s="633">
        <v>0</v>
      </c>
      <c r="V1057" s="633">
        <v>0</v>
      </c>
      <c r="W1057" s="633">
        <v>0</v>
      </c>
      <c r="AC1057" s="736"/>
      <c r="AJ1057" s="1091"/>
      <c r="AK1057" s="1" t="s">
        <v>612</v>
      </c>
      <c r="AL1057" s="736"/>
    </row>
    <row r="1058" spans="1:38" ht="15" customHeight="1">
      <c r="A1058" s="417">
        <v>182</v>
      </c>
      <c r="B1058" s="2" t="s">
        <v>207</v>
      </c>
      <c r="C1058" s="2" t="s">
        <v>206</v>
      </c>
      <c r="D1058" s="2" t="s">
        <v>648</v>
      </c>
      <c r="E1058" s="3">
        <v>1597</v>
      </c>
      <c r="F1058" s="4" t="s">
        <v>686</v>
      </c>
      <c r="G1058" s="4">
        <f t="shared" si="147"/>
        <v>0.67</v>
      </c>
      <c r="H1058" s="4">
        <f t="shared" si="148"/>
        <v>0.59</v>
      </c>
      <c r="I1058" s="4">
        <f t="shared" si="137"/>
        <v>0.5</v>
      </c>
      <c r="J1058" s="4">
        <f t="shared" si="138"/>
        <v>0.42</v>
      </c>
      <c r="K1058" s="4">
        <f t="shared" si="149"/>
        <v>0.36</v>
      </c>
      <c r="L1058" s="441">
        <v>0</v>
      </c>
      <c r="M1058" s="2" t="s">
        <v>326</v>
      </c>
      <c r="N1058" s="443">
        <v>0.05</v>
      </c>
      <c r="O1058" s="296">
        <v>6.0000000000000001E-3</v>
      </c>
      <c r="P1058" s="296"/>
      <c r="Q1058" s="444"/>
      <c r="R1058" s="2"/>
      <c r="S1058" s="2"/>
      <c r="T1058" s="439"/>
      <c r="U1058" s="633">
        <v>0</v>
      </c>
      <c r="V1058" s="633">
        <v>0</v>
      </c>
      <c r="W1058" s="633">
        <v>0</v>
      </c>
      <c r="AC1058" s="736"/>
      <c r="AJ1058" s="1091"/>
      <c r="AK1058" s="1" t="s">
        <v>612</v>
      </c>
      <c r="AL1058" s="736"/>
    </row>
    <row r="1059" spans="1:38" ht="15" customHeight="1">
      <c r="A1059" s="417">
        <v>183</v>
      </c>
      <c r="B1059" s="2" t="s">
        <v>207</v>
      </c>
      <c r="C1059" s="2" t="s">
        <v>206</v>
      </c>
      <c r="D1059" s="2" t="s">
        <v>649</v>
      </c>
      <c r="E1059" s="3">
        <v>1497</v>
      </c>
      <c r="F1059" s="4" t="s">
        <v>686</v>
      </c>
      <c r="G1059" s="4">
        <f t="shared" si="147"/>
        <v>0.67</v>
      </c>
      <c r="H1059" s="4">
        <f t="shared" si="148"/>
        <v>0.59</v>
      </c>
      <c r="I1059" s="4">
        <f t="shared" si="137"/>
        <v>0.5</v>
      </c>
      <c r="J1059" s="4">
        <f t="shared" si="138"/>
        <v>0.42</v>
      </c>
      <c r="K1059" s="4">
        <f t="shared" si="149"/>
        <v>0.36</v>
      </c>
      <c r="L1059" s="441">
        <v>0</v>
      </c>
      <c r="M1059" s="2" t="s">
        <v>326</v>
      </c>
      <c r="N1059" s="443">
        <v>0.05</v>
      </c>
      <c r="O1059" s="296">
        <v>6.0000000000000001E-3</v>
      </c>
      <c r="P1059" s="296"/>
      <c r="Q1059" s="444"/>
      <c r="R1059" s="2"/>
      <c r="S1059" s="2"/>
      <c r="T1059" s="439"/>
      <c r="U1059" s="633">
        <v>0</v>
      </c>
      <c r="V1059" s="633">
        <v>0</v>
      </c>
      <c r="W1059" s="633">
        <v>0</v>
      </c>
      <c r="AC1059" s="736"/>
      <c r="AJ1059" s="1091"/>
      <c r="AK1059" s="1" t="s">
        <v>612</v>
      </c>
      <c r="AL1059" s="736"/>
    </row>
    <row r="1060" spans="1:38" ht="15" customHeight="1">
      <c r="A1060" s="417">
        <v>184</v>
      </c>
      <c r="B1060" s="2" t="s">
        <v>207</v>
      </c>
      <c r="C1060" s="2" t="s">
        <v>206</v>
      </c>
      <c r="D1060" s="2" t="s">
        <v>650</v>
      </c>
      <c r="E1060" s="3">
        <v>2157</v>
      </c>
      <c r="F1060" s="4" t="s">
        <v>690</v>
      </c>
      <c r="G1060" s="4">
        <f t="shared" si="147"/>
        <v>0.68</v>
      </c>
      <c r="H1060" s="4">
        <f t="shared" si="148"/>
        <v>0.6</v>
      </c>
      <c r="I1060" s="4">
        <f t="shared" si="137"/>
        <v>0.51</v>
      </c>
      <c r="J1060" s="4">
        <f t="shared" si="138"/>
        <v>0.43</v>
      </c>
      <c r="K1060" s="4">
        <f t="shared" si="149"/>
        <v>0.37</v>
      </c>
      <c r="L1060" s="441">
        <v>0</v>
      </c>
      <c r="M1060" s="2" t="s">
        <v>325</v>
      </c>
      <c r="N1060" s="443">
        <v>0.05</v>
      </c>
      <c r="O1060" s="296">
        <v>6.0000000000000001E-3</v>
      </c>
      <c r="P1060" s="296"/>
      <c r="Q1060" s="444"/>
      <c r="R1060" s="2"/>
      <c r="S1060" s="2"/>
      <c r="T1060" s="439"/>
      <c r="U1060" s="633">
        <v>0</v>
      </c>
      <c r="V1060" s="633">
        <v>0</v>
      </c>
      <c r="W1060" s="633">
        <v>0</v>
      </c>
      <c r="AC1060" s="736"/>
      <c r="AJ1060" s="1091"/>
      <c r="AK1060" s="1" t="s">
        <v>612</v>
      </c>
      <c r="AL1060" s="736"/>
    </row>
    <row r="1061" spans="1:38" ht="15" customHeight="1">
      <c r="A1061" s="417">
        <v>185</v>
      </c>
      <c r="B1061" s="2" t="s">
        <v>207</v>
      </c>
      <c r="C1061" s="2"/>
      <c r="D1061" s="2"/>
      <c r="E1061" s="3"/>
      <c r="F1061" s="4"/>
      <c r="G1061" s="4"/>
      <c r="H1061" s="4"/>
      <c r="I1061" s="4"/>
      <c r="J1061" s="4"/>
      <c r="K1061" s="4"/>
      <c r="L1061" s="441"/>
      <c r="M1061" s="2"/>
      <c r="N1061" s="443"/>
      <c r="O1061" s="296"/>
      <c r="P1061" s="296"/>
      <c r="Q1061" s="444"/>
      <c r="R1061" s="2"/>
      <c r="S1061" s="2"/>
      <c r="T1061" s="439"/>
      <c r="U1061" s="633">
        <v>0</v>
      </c>
      <c r="V1061" s="633">
        <v>0</v>
      </c>
      <c r="W1061" s="633">
        <v>0</v>
      </c>
      <c r="AC1061" s="736"/>
      <c r="AJ1061" s="1091"/>
      <c r="AK1061" s="1" t="s">
        <v>612</v>
      </c>
      <c r="AL1061" s="736"/>
    </row>
    <row r="1062" spans="1:38" ht="15" customHeight="1">
      <c r="A1062" s="417">
        <v>186</v>
      </c>
      <c r="B1062" s="2" t="s">
        <v>207</v>
      </c>
      <c r="C1062" s="2"/>
      <c r="D1062" s="2"/>
      <c r="E1062" s="3"/>
      <c r="F1062" s="4"/>
      <c r="G1062" s="4"/>
      <c r="H1062" s="4"/>
      <c r="I1062" s="4"/>
      <c r="J1062" s="4"/>
      <c r="K1062" s="4"/>
      <c r="L1062" s="441"/>
      <c r="M1062" s="2"/>
      <c r="N1062" s="443"/>
      <c r="O1062" s="296"/>
      <c r="P1062" s="296"/>
      <c r="Q1062" s="444"/>
      <c r="R1062" s="2"/>
      <c r="S1062" s="2"/>
      <c r="T1062" s="439"/>
      <c r="U1062" s="633">
        <v>0</v>
      </c>
      <c r="V1062" s="633">
        <v>0</v>
      </c>
      <c r="W1062" s="633">
        <v>0</v>
      </c>
      <c r="AC1062" s="736"/>
      <c r="AJ1062" s="1091"/>
      <c r="AK1062" s="1" t="s">
        <v>612</v>
      </c>
      <c r="AL1062" s="736"/>
    </row>
    <row r="1063" spans="1:38" ht="15" customHeight="1">
      <c r="A1063" s="417">
        <v>187</v>
      </c>
      <c r="B1063" s="2" t="s">
        <v>207</v>
      </c>
      <c r="C1063" s="2"/>
      <c r="D1063" s="2"/>
      <c r="E1063" s="3"/>
      <c r="F1063" s="4"/>
      <c r="G1063" s="4"/>
      <c r="H1063" s="4"/>
      <c r="I1063" s="4"/>
      <c r="J1063" s="4"/>
      <c r="K1063" s="4"/>
      <c r="L1063" s="441"/>
      <c r="M1063" s="2"/>
      <c r="N1063" s="443"/>
      <c r="O1063" s="296"/>
      <c r="P1063" s="296"/>
      <c r="Q1063" s="444"/>
      <c r="R1063" s="2"/>
      <c r="S1063" s="2"/>
      <c r="T1063" s="439"/>
      <c r="U1063" s="633">
        <v>0</v>
      </c>
      <c r="V1063" s="633">
        <v>0</v>
      </c>
      <c r="W1063" s="633">
        <v>0</v>
      </c>
      <c r="AC1063" s="736"/>
      <c r="AJ1063" s="1091"/>
      <c r="AK1063" s="1" t="s">
        <v>612</v>
      </c>
      <c r="AL1063" s="736"/>
    </row>
    <row r="1064" spans="1:38" ht="15" customHeight="1">
      <c r="A1064" s="417">
        <v>188</v>
      </c>
      <c r="B1064" s="2" t="s">
        <v>207</v>
      </c>
      <c r="C1064" s="2"/>
      <c r="D1064" s="2"/>
      <c r="E1064" s="3"/>
      <c r="F1064" s="4"/>
      <c r="G1064" s="4"/>
      <c r="H1064" s="4"/>
      <c r="I1064" s="4"/>
      <c r="J1064" s="4"/>
      <c r="K1064" s="4"/>
      <c r="L1064" s="441"/>
      <c r="M1064" s="2"/>
      <c r="N1064" s="443"/>
      <c r="O1064" s="296"/>
      <c r="P1064" s="296"/>
      <c r="Q1064" s="444"/>
      <c r="R1064" s="2"/>
      <c r="S1064" s="2"/>
      <c r="T1064" s="439"/>
      <c r="U1064" s="633">
        <v>0</v>
      </c>
      <c r="V1064" s="633">
        <v>0</v>
      </c>
      <c r="W1064" s="633">
        <v>0</v>
      </c>
      <c r="AC1064" s="736"/>
      <c r="AJ1064" s="1091"/>
      <c r="AK1064" s="1" t="s">
        <v>612</v>
      </c>
      <c r="AL1064" s="736"/>
    </row>
    <row r="1065" spans="1:38" ht="15" customHeight="1">
      <c r="A1065" s="417">
        <v>189</v>
      </c>
      <c r="B1065" s="2"/>
      <c r="C1065" s="2"/>
      <c r="D1065" s="2"/>
      <c r="E1065" s="3"/>
      <c r="F1065" s="4"/>
      <c r="G1065" s="4"/>
      <c r="H1065" s="4"/>
      <c r="I1065" s="4"/>
      <c r="J1065" s="4"/>
      <c r="K1065" s="4"/>
      <c r="L1065" s="441"/>
      <c r="M1065" s="2"/>
      <c r="N1065" s="443"/>
      <c r="O1065" s="296"/>
      <c r="P1065" s="296"/>
      <c r="Q1065" s="444"/>
      <c r="R1065" s="2"/>
      <c r="S1065" s="2"/>
      <c r="T1065" s="439"/>
      <c r="U1065" s="633">
        <v>0</v>
      </c>
      <c r="V1065" s="633">
        <v>0</v>
      </c>
      <c r="W1065" s="633">
        <v>0</v>
      </c>
      <c r="AC1065" s="736"/>
      <c r="AJ1065" s="1091"/>
      <c r="AK1065" s="1" t="s">
        <v>612</v>
      </c>
      <c r="AL1065" s="736"/>
    </row>
    <row r="1066" spans="1:38" ht="15" customHeight="1">
      <c r="A1066" s="417">
        <v>190</v>
      </c>
      <c r="B1066" s="418"/>
      <c r="C1066" s="418"/>
      <c r="D1066" s="418"/>
      <c r="E1066" s="468"/>
      <c r="F1066" s="469"/>
      <c r="G1066" s="469"/>
      <c r="H1066" s="469"/>
      <c r="I1066" s="469"/>
      <c r="J1066" s="469"/>
      <c r="K1066" s="469"/>
      <c r="L1066" s="470"/>
      <c r="M1066" s="418"/>
      <c r="N1066" s="471"/>
      <c r="O1066" s="444"/>
      <c r="P1066" s="444"/>
      <c r="Q1066" s="444"/>
      <c r="R1066" s="418"/>
      <c r="S1066" s="418"/>
      <c r="T1066" s="439"/>
      <c r="U1066" s="633">
        <v>0</v>
      </c>
      <c r="V1066" s="633">
        <v>0</v>
      </c>
      <c r="W1066" s="633">
        <v>0</v>
      </c>
      <c r="AC1066" s="736"/>
      <c r="AJ1066" s="1091"/>
      <c r="AK1066" s="1" t="s">
        <v>612</v>
      </c>
      <c r="AL1066" s="736"/>
    </row>
    <row r="1067" spans="1:38" ht="15" customHeight="1" thickBot="1">
      <c r="A1067" s="417">
        <v>191</v>
      </c>
      <c r="B1067" s="418"/>
      <c r="C1067" s="418"/>
      <c r="D1067" s="418"/>
      <c r="E1067" s="468"/>
      <c r="F1067" s="469"/>
      <c r="G1067" s="469"/>
      <c r="H1067" s="469"/>
      <c r="I1067" s="469"/>
      <c r="J1067" s="469"/>
      <c r="K1067" s="469"/>
      <c r="L1067" s="470"/>
      <c r="M1067" s="418"/>
      <c r="N1067" s="471"/>
      <c r="O1067" s="444"/>
      <c r="P1067" s="444"/>
      <c r="Q1067" s="444"/>
      <c r="R1067" s="418"/>
      <c r="S1067" s="418"/>
      <c r="T1067" s="439"/>
      <c r="U1067" s="633">
        <v>0</v>
      </c>
      <c r="V1067" s="633">
        <v>0</v>
      </c>
      <c r="W1067" s="633">
        <v>0</v>
      </c>
      <c r="AC1067" s="736"/>
      <c r="AJ1067" s="1091"/>
      <c r="AK1067" s="1020" t="s">
        <v>612</v>
      </c>
      <c r="AL1067" s="1021"/>
    </row>
    <row r="1068" spans="1:38" ht="15" customHeight="1" thickBot="1">
      <c r="T1068" s="439"/>
      <c r="U1068" s="439"/>
      <c r="Z1068" s="736"/>
      <c r="AJ1068" s="1091"/>
    </row>
    <row r="1069" spans="1:38" ht="15" customHeight="1">
      <c r="B1069" s="2335" t="s">
        <v>1762</v>
      </c>
      <c r="C1069" s="2337" t="s">
        <v>1562</v>
      </c>
      <c r="D1069" s="2339" t="s">
        <v>1763</v>
      </c>
      <c r="E1069" s="2340" t="s">
        <v>1764</v>
      </c>
      <c r="T1069" s="439"/>
      <c r="U1069" s="439"/>
      <c r="Z1069" s="736"/>
    </row>
    <row r="1070" spans="1:38" ht="15" customHeight="1">
      <c r="B1070" s="2336"/>
      <c r="C1070" s="2338"/>
      <c r="D1070" s="2338"/>
      <c r="E1070" s="2341"/>
      <c r="T1070" s="439"/>
      <c r="U1070" s="439"/>
      <c r="Z1070" s="736"/>
    </row>
    <row r="1071" spans="1:38" ht="15" customHeight="1">
      <c r="B1071" s="2336"/>
      <c r="C1071" s="2338"/>
      <c r="D1071" s="2338"/>
      <c r="E1071" s="2341"/>
      <c r="T1071" s="439"/>
      <c r="U1071" s="439"/>
      <c r="Z1071" s="736"/>
    </row>
    <row r="1072" spans="1:38" ht="15" customHeight="1">
      <c r="B1072" s="2336" t="s">
        <v>1765</v>
      </c>
      <c r="C1072" s="991" t="s">
        <v>1766</v>
      </c>
      <c r="D1072" s="992" t="s">
        <v>1855</v>
      </c>
      <c r="E1072" s="993">
        <v>0</v>
      </c>
      <c r="F1072" s="1173">
        <v>0</v>
      </c>
      <c r="T1072" s="439"/>
      <c r="U1072" s="439"/>
      <c r="Z1072" s="736"/>
    </row>
    <row r="1073" spans="2:26" ht="15" customHeight="1">
      <c r="B1073" s="2336"/>
      <c r="C1073" s="994" t="s">
        <v>1767</v>
      </c>
      <c r="D1073" s="995" t="s">
        <v>1768</v>
      </c>
      <c r="E1073" s="996">
        <v>2.5000000000000001E-2</v>
      </c>
      <c r="F1073" s="1173">
        <v>77000</v>
      </c>
      <c r="T1073" s="439"/>
      <c r="U1073" s="439"/>
      <c r="Z1073" s="736"/>
    </row>
    <row r="1074" spans="2:26" ht="15" customHeight="1">
      <c r="B1074" s="2336"/>
      <c r="C1074" s="991" t="s">
        <v>1769</v>
      </c>
      <c r="D1074" s="992" t="s">
        <v>1770</v>
      </c>
      <c r="E1074" s="993">
        <v>2.5000000000000001E-2</v>
      </c>
      <c r="F1074" s="1173">
        <v>0</v>
      </c>
      <c r="T1074" s="439"/>
      <c r="U1074" s="439"/>
      <c r="Z1074" s="736"/>
    </row>
    <row r="1075" spans="2:26" ht="15" customHeight="1">
      <c r="B1075" s="2336"/>
      <c r="C1075" s="991" t="s">
        <v>1771</v>
      </c>
      <c r="D1075" s="992" t="s">
        <v>1772</v>
      </c>
      <c r="E1075" s="993">
        <v>0.02</v>
      </c>
      <c r="F1075" s="1173">
        <v>0</v>
      </c>
      <c r="T1075" s="439"/>
      <c r="U1075" s="439"/>
      <c r="Z1075" s="736"/>
    </row>
    <row r="1076" spans="2:26" ht="15" customHeight="1">
      <c r="B1076" s="2336" t="s">
        <v>1773</v>
      </c>
      <c r="C1076" s="994" t="s">
        <v>1774</v>
      </c>
      <c r="D1076" s="995" t="s">
        <v>1775</v>
      </c>
      <c r="E1076" s="996">
        <v>2.5000000000000001E-2</v>
      </c>
      <c r="F1076" s="1173">
        <v>75000</v>
      </c>
      <c r="T1076" s="439"/>
      <c r="U1076" s="439"/>
      <c r="Z1076" s="736"/>
    </row>
    <row r="1077" spans="2:26" ht="15" customHeight="1">
      <c r="B1077" s="2336"/>
      <c r="C1077" s="994" t="s">
        <v>1776</v>
      </c>
      <c r="D1077" s="995" t="s">
        <v>1777</v>
      </c>
      <c r="E1077" s="996">
        <v>2.5000000000000001E-2</v>
      </c>
      <c r="F1077" s="1173">
        <v>77000</v>
      </c>
      <c r="T1077" s="439"/>
      <c r="U1077" s="439"/>
      <c r="Z1077" s="736"/>
    </row>
    <row r="1078" spans="2:26" ht="15" customHeight="1">
      <c r="B1078" s="2336"/>
      <c r="C1078" s="994" t="s">
        <v>863</v>
      </c>
      <c r="D1078" s="995" t="s">
        <v>1778</v>
      </c>
      <c r="E1078" s="996">
        <v>0.02</v>
      </c>
      <c r="F1078" s="1173">
        <v>78000</v>
      </c>
      <c r="T1078" s="439"/>
      <c r="U1078" s="439"/>
      <c r="Z1078" s="736"/>
    </row>
    <row r="1079" spans="2:26" ht="15" customHeight="1">
      <c r="B1079" s="2336"/>
      <c r="C1079" s="994" t="s">
        <v>1779</v>
      </c>
      <c r="D1079" s="995" t="s">
        <v>2491</v>
      </c>
      <c r="E1079" s="996">
        <v>0.02</v>
      </c>
      <c r="F1079" s="1173">
        <v>80000</v>
      </c>
      <c r="T1079" s="439"/>
      <c r="U1079" s="439"/>
    </row>
    <row r="1080" spans="2:26" ht="15" customHeight="1">
      <c r="B1080" s="2336"/>
      <c r="C1080" s="994" t="s">
        <v>1780</v>
      </c>
      <c r="D1080" s="995" t="s">
        <v>1781</v>
      </c>
      <c r="E1080" s="996">
        <v>2.5000000000000001E-2</v>
      </c>
      <c r="F1080" s="1173">
        <v>81000</v>
      </c>
      <c r="T1080" s="439"/>
      <c r="U1080" s="439"/>
    </row>
    <row r="1081" spans="2:26" ht="15" customHeight="1">
      <c r="B1081" s="2336"/>
      <c r="C1081" s="994" t="s">
        <v>1782</v>
      </c>
      <c r="D1081" s="995" t="s">
        <v>1783</v>
      </c>
      <c r="E1081" s="996">
        <v>0.02</v>
      </c>
      <c r="F1081" s="1173">
        <v>80000</v>
      </c>
      <c r="T1081" s="439"/>
      <c r="U1081" s="439"/>
    </row>
    <row r="1082" spans="2:26" ht="15" customHeight="1">
      <c r="B1082" s="2336"/>
      <c r="C1082" s="994" t="s">
        <v>1784</v>
      </c>
      <c r="D1082" s="995" t="s">
        <v>1785</v>
      </c>
      <c r="E1082" s="996">
        <v>0.02</v>
      </c>
      <c r="F1082" s="1173">
        <v>81000</v>
      </c>
      <c r="T1082" s="439"/>
      <c r="U1082" s="439"/>
    </row>
    <row r="1083" spans="2:26" ht="15" customHeight="1">
      <c r="B1083" s="2336"/>
      <c r="C1083" s="994" t="s">
        <v>1786</v>
      </c>
      <c r="D1083" s="995" t="s">
        <v>1787</v>
      </c>
      <c r="E1083" s="996">
        <v>1.4999999999999999E-2</v>
      </c>
      <c r="F1083" s="1173">
        <v>128000</v>
      </c>
      <c r="T1083" s="439"/>
      <c r="U1083" s="439"/>
    </row>
    <row r="1084" spans="2:26" ht="15" customHeight="1">
      <c r="B1084" s="2336" t="s">
        <v>1788</v>
      </c>
      <c r="C1084" s="994" t="s">
        <v>1789</v>
      </c>
      <c r="D1084" s="995" t="s">
        <v>1790</v>
      </c>
      <c r="E1084" s="996">
        <v>1.4999999999999999E-2</v>
      </c>
      <c r="F1084" s="1173">
        <v>79000</v>
      </c>
      <c r="T1084" s="439"/>
      <c r="U1084" s="439"/>
    </row>
    <row r="1085" spans="2:26" ht="15" customHeight="1">
      <c r="B1085" s="2336"/>
      <c r="C1085" s="994" t="s">
        <v>1791</v>
      </c>
      <c r="D1085" s="995" t="s">
        <v>1792</v>
      </c>
      <c r="E1085" s="996">
        <v>0.02</v>
      </c>
      <c r="F1085" s="1173">
        <v>80000</v>
      </c>
      <c r="T1085" s="439"/>
      <c r="U1085" s="439"/>
    </row>
    <row r="1086" spans="2:26" ht="15" customHeight="1">
      <c r="B1086" s="2336"/>
      <c r="C1086" s="994" t="s">
        <v>1793</v>
      </c>
      <c r="D1086" s="995" t="s">
        <v>1794</v>
      </c>
      <c r="E1086" s="996">
        <v>1.4999999999999999E-2</v>
      </c>
      <c r="F1086" s="1173">
        <v>82000</v>
      </c>
      <c r="T1086" s="439"/>
      <c r="U1086" s="439"/>
    </row>
    <row r="1087" spans="2:26" ht="15" customHeight="1">
      <c r="B1087" s="2336"/>
      <c r="C1087" s="994" t="s">
        <v>1257</v>
      </c>
      <c r="D1087" s="995" t="s">
        <v>1795</v>
      </c>
      <c r="E1087" s="996">
        <v>0.02</v>
      </c>
      <c r="F1087" s="1173">
        <v>88000</v>
      </c>
      <c r="T1087" s="439"/>
      <c r="U1087" s="439"/>
    </row>
    <row r="1088" spans="2:26" ht="15" customHeight="1">
      <c r="B1088" s="2336"/>
      <c r="C1088" s="994" t="s">
        <v>1796</v>
      </c>
      <c r="D1088" s="995" t="s">
        <v>1797</v>
      </c>
      <c r="E1088" s="996">
        <v>1.4999999999999999E-2</v>
      </c>
      <c r="F1088" s="1173">
        <v>81000</v>
      </c>
      <c r="T1088" s="439"/>
      <c r="U1088" s="439"/>
    </row>
    <row r="1089" spans="2:21" ht="15" customHeight="1">
      <c r="B1089" s="2336"/>
      <c r="C1089" s="994" t="s">
        <v>1798</v>
      </c>
      <c r="D1089" s="995" t="s">
        <v>1799</v>
      </c>
      <c r="E1089" s="996">
        <v>0.02</v>
      </c>
      <c r="F1089" s="1173">
        <v>80000</v>
      </c>
      <c r="T1089" s="439"/>
      <c r="U1089" s="439"/>
    </row>
    <row r="1090" spans="2:21" ht="15" customHeight="1">
      <c r="B1090" s="2336"/>
      <c r="C1090" s="994" t="s">
        <v>1800</v>
      </c>
      <c r="D1090" s="995" t="s">
        <v>1801</v>
      </c>
      <c r="E1090" s="996">
        <v>0.02</v>
      </c>
      <c r="F1090" s="1173">
        <v>82000</v>
      </c>
      <c r="T1090" s="439"/>
      <c r="U1090" s="439"/>
    </row>
    <row r="1091" spans="2:21" ht="15" customHeight="1">
      <c r="B1091" s="2336" t="s">
        <v>1802</v>
      </c>
      <c r="C1091" s="994" t="s">
        <v>1803</v>
      </c>
      <c r="D1091" s="995" t="s">
        <v>1804</v>
      </c>
      <c r="E1091" s="996">
        <v>2.5000000000000001E-2</v>
      </c>
      <c r="F1091" s="1173">
        <v>80000</v>
      </c>
      <c r="T1091" s="439"/>
      <c r="U1091" s="439"/>
    </row>
    <row r="1092" spans="2:21" ht="15" customHeight="1">
      <c r="B1092" s="2336"/>
      <c r="C1092" s="994" t="s">
        <v>1805</v>
      </c>
      <c r="D1092" s="995" t="s">
        <v>1806</v>
      </c>
      <c r="E1092" s="996">
        <v>0.02</v>
      </c>
      <c r="F1092" s="1173">
        <v>81000</v>
      </c>
      <c r="T1092" s="439"/>
      <c r="U1092" s="439"/>
    </row>
    <row r="1093" spans="2:21" ht="15" customHeight="1">
      <c r="B1093" s="2336"/>
      <c r="C1093" s="994" t="s">
        <v>1807</v>
      </c>
      <c r="D1093" s="995" t="s">
        <v>1808</v>
      </c>
      <c r="E1093" s="996">
        <v>0.02</v>
      </c>
      <c r="F1093" s="1173">
        <v>88000</v>
      </c>
      <c r="T1093" s="439"/>
      <c r="U1093" s="439"/>
    </row>
    <row r="1094" spans="2:21" ht="15" customHeight="1" thickBot="1">
      <c r="B1094" s="997"/>
      <c r="C1094" s="998" t="s">
        <v>1809</v>
      </c>
      <c r="D1094" s="999" t="s">
        <v>1810</v>
      </c>
      <c r="E1094" s="1000">
        <v>0.02</v>
      </c>
      <c r="F1094" s="1173">
        <v>0</v>
      </c>
      <c r="T1094" s="439"/>
      <c r="U1094" s="439"/>
    </row>
  </sheetData>
  <mergeCells count="13">
    <mergeCell ref="B1072:B1075"/>
    <mergeCell ref="B1076:B1083"/>
    <mergeCell ref="B1084:B1090"/>
    <mergeCell ref="B1091:B1093"/>
    <mergeCell ref="AB43:AE43"/>
    <mergeCell ref="U875:W875"/>
    <mergeCell ref="AF43:AH44"/>
    <mergeCell ref="AB44:AC44"/>
    <mergeCell ref="AD44:AE44"/>
    <mergeCell ref="B1069:B1071"/>
    <mergeCell ref="C1069:C1071"/>
    <mergeCell ref="D1069:D1071"/>
    <mergeCell ref="E1069:E1071"/>
  </mergeCells>
  <phoneticPr fontId="2" type="noConversion"/>
  <conditionalFormatting sqref="AA4:AA29">
    <cfRule type="expression" dxfId="17" priority="1">
      <formula>AA4="C"</formula>
    </cfRule>
    <cfRule type="expression" dxfId="16" priority="2">
      <formula>AA4="B"</formula>
    </cfRule>
    <cfRule type="expression" dxfId="15" priority="3">
      <formula>AA4="A"</formula>
    </cfRule>
  </conditionalFormatting>
  <dataValidations count="3">
    <dataValidation type="list" allowBlank="1" showDropDown="1" showInputMessage="1" showErrorMessage="1" sqref="N110:O117" xr:uid="{00000000-0002-0000-0B00-000000000000}">
      <formula1>"S,A,B,C,D,E"</formula1>
    </dataValidation>
    <dataValidation type="list" allowBlank="1" showDropDown="1" showInputMessage="1" showErrorMessage="1" sqref="F269 F76:F107 F7:F56 F110:F245" xr:uid="{00000000-0002-0000-0B00-000001000000}">
      <formula1>"승용일반,승용SUV"</formula1>
    </dataValidation>
    <dataValidation allowBlank="1" showDropDown="1" showInputMessage="1" showErrorMessage="1" sqref="F108:F109" xr:uid="{00000000-0002-0000-0B00-000002000000}"/>
  </dataValidations>
  <hyperlinks>
    <hyperlink ref="C1" location="차량정보!AK32" display="IRR조정" xr:uid="{00000000-0004-0000-0B00-000000000000}"/>
    <hyperlink ref="A1" location="차량정보!A4" display="수입차" xr:uid="{00000000-0004-0000-0B00-000001000000}"/>
    <hyperlink ref="B1" location="차량정보!A877" display="국산차" xr:uid="{00000000-0004-0000-0B00-000002000000}"/>
  </hyperlinks>
  <pageMargins left="0.7" right="0.7" top="0.75" bottom="0.75" header="0.3" footer="0.3"/>
  <pageSetup paperSize="9" scale="1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B1:AA54"/>
  <sheetViews>
    <sheetView showGridLines="0" topLeftCell="F1" zoomScale="80" zoomScaleNormal="80" zoomScaleSheetLayoutView="50" workbookViewId="0">
      <selection activeCell="AA6" sqref="AA6"/>
    </sheetView>
  </sheetViews>
  <sheetFormatPr defaultColWidth="10.375" defaultRowHeight="13.5"/>
  <cols>
    <col min="1" max="2" width="10.375" style="445"/>
    <col min="3" max="3" width="24" style="445" bestFit="1" customWidth="1"/>
    <col min="4" max="4" width="28.75" style="445" customWidth="1"/>
    <col min="5" max="5" width="10.375" style="445"/>
    <col min="6" max="6" width="15.5" style="446" bestFit="1" customWidth="1"/>
    <col min="7" max="7" width="10.375" style="445"/>
    <col min="8" max="8" width="10.375" style="446"/>
    <col min="9" max="9" width="17.75" style="445" bestFit="1" customWidth="1"/>
    <col min="10" max="10" width="17.75" style="446" bestFit="1" customWidth="1"/>
    <col min="11" max="11" width="10.375" style="445"/>
    <col min="12" max="12" width="10.375" style="446"/>
    <col min="13" max="13" width="10.375" style="445"/>
    <col min="14" max="14" width="10.375" style="446"/>
    <col min="15" max="15" width="10.375" style="445"/>
    <col min="16" max="16" width="10.375" style="446"/>
    <col min="17" max="16384" width="10.375" style="445"/>
  </cols>
  <sheetData>
    <row r="1" spans="2:27" ht="5.25" customHeight="1"/>
    <row r="2" spans="2:27" ht="5.25" customHeight="1"/>
    <row r="3" spans="2:27">
      <c r="B3" s="445" t="s">
        <v>504</v>
      </c>
      <c r="R3" s="445" t="s">
        <v>318</v>
      </c>
      <c r="V3" s="446"/>
    </row>
    <row r="4" spans="2:27">
      <c r="B4" s="447"/>
      <c r="C4" s="448" t="s">
        <v>265</v>
      </c>
      <c r="D4" s="448" t="s">
        <v>242</v>
      </c>
      <c r="E4" s="448" t="s">
        <v>300</v>
      </c>
      <c r="F4" s="449" t="s">
        <v>1147</v>
      </c>
      <c r="G4" s="448" t="s">
        <v>244</v>
      </c>
      <c r="H4" s="449" t="s">
        <v>245</v>
      </c>
      <c r="I4" s="448" t="s">
        <v>246</v>
      </c>
      <c r="J4" s="449" t="s">
        <v>243</v>
      </c>
      <c r="K4" s="448" t="s">
        <v>247</v>
      </c>
      <c r="L4" s="449" t="s">
        <v>248</v>
      </c>
      <c r="M4" s="448" t="s">
        <v>249</v>
      </c>
      <c r="N4" s="449" t="s">
        <v>250</v>
      </c>
      <c r="O4" s="448" t="s">
        <v>251</v>
      </c>
      <c r="P4" s="449" t="s">
        <v>252</v>
      </c>
      <c r="Q4" s="449" t="s">
        <v>586</v>
      </c>
      <c r="R4" s="447"/>
      <c r="S4" s="448" t="s">
        <v>319</v>
      </c>
      <c r="T4" s="450">
        <v>0.01</v>
      </c>
      <c r="U4" s="450">
        <v>0.02</v>
      </c>
      <c r="V4" s="450">
        <v>0.03</v>
      </c>
      <c r="W4" s="450">
        <v>0.04</v>
      </c>
      <c r="X4" s="450">
        <v>0.05</v>
      </c>
      <c r="Y4" s="450">
        <v>0.06</v>
      </c>
      <c r="Z4" s="450">
        <v>7.0000000000000007E-2</v>
      </c>
      <c r="AA4" s="450">
        <v>0.08</v>
      </c>
    </row>
    <row r="5" spans="2:27">
      <c r="B5" s="451">
        <v>1</v>
      </c>
      <c r="C5" s="452" t="s">
        <v>218</v>
      </c>
      <c r="D5" s="452" t="s">
        <v>1150</v>
      </c>
      <c r="E5" s="451" t="s">
        <v>297</v>
      </c>
      <c r="F5" s="453">
        <v>0</v>
      </c>
      <c r="G5" s="451"/>
      <c r="H5" s="453"/>
      <c r="I5" s="451" t="s">
        <v>309</v>
      </c>
      <c r="J5" s="453">
        <v>1.0999999999999999E-2</v>
      </c>
      <c r="K5" s="451"/>
      <c r="L5" s="453"/>
      <c r="M5" s="451"/>
      <c r="N5" s="453"/>
      <c r="O5" s="451"/>
      <c r="P5" s="453"/>
      <c r="Q5" s="445" t="s">
        <v>587</v>
      </c>
      <c r="R5" s="451">
        <v>1</v>
      </c>
      <c r="S5" s="451" t="s">
        <v>489</v>
      </c>
      <c r="T5" s="454">
        <v>2.2000000000000001E-3</v>
      </c>
      <c r="U5" s="454">
        <v>4.4000000000000003E-3</v>
      </c>
      <c r="V5" s="454">
        <v>6.6E-3</v>
      </c>
      <c r="W5" s="454">
        <v>9.3500000000000007E-3</v>
      </c>
      <c r="X5" s="454">
        <v>1.21E-2</v>
      </c>
      <c r="Y5" s="454">
        <v>1.397E-2</v>
      </c>
      <c r="Z5" s="454">
        <v>1.584E-2</v>
      </c>
      <c r="AA5" s="454">
        <v>1.7600000000000001E-2</v>
      </c>
    </row>
    <row r="6" spans="2:27">
      <c r="B6" s="451">
        <v>2</v>
      </c>
      <c r="C6" s="452" t="s">
        <v>218</v>
      </c>
      <c r="D6" s="452" t="s">
        <v>1151</v>
      </c>
      <c r="E6" s="451" t="s">
        <v>297</v>
      </c>
      <c r="F6" s="453">
        <v>0</v>
      </c>
      <c r="G6" s="451" t="s">
        <v>296</v>
      </c>
      <c r="H6" s="453">
        <v>0</v>
      </c>
      <c r="I6" s="451" t="s">
        <v>42</v>
      </c>
      <c r="J6" s="453">
        <v>1.0999999999999999E-2</v>
      </c>
      <c r="K6" s="451" t="s">
        <v>511</v>
      </c>
      <c r="L6" s="455">
        <v>0</v>
      </c>
      <c r="M6" s="451" t="s">
        <v>310</v>
      </c>
      <c r="N6" s="455">
        <v>0</v>
      </c>
      <c r="O6" s="451" t="s">
        <v>311</v>
      </c>
      <c r="P6" s="455">
        <v>0</v>
      </c>
      <c r="Q6" s="445" t="s">
        <v>588</v>
      </c>
      <c r="R6" s="451">
        <v>2</v>
      </c>
      <c r="S6" s="451" t="s">
        <v>490</v>
      </c>
      <c r="T6" s="453"/>
      <c r="U6" s="453"/>
      <c r="V6" s="453">
        <v>5.4999999999999997E-3</v>
      </c>
      <c r="W6" s="453"/>
      <c r="X6" s="453">
        <v>1.0999999999999999E-2</v>
      </c>
      <c r="Y6" s="453"/>
      <c r="Z6" s="453"/>
      <c r="AA6" s="453">
        <v>1.6500000000000001E-2</v>
      </c>
    </row>
    <row r="7" spans="2:27">
      <c r="B7" s="451">
        <v>3</v>
      </c>
      <c r="C7" s="452" t="s">
        <v>218</v>
      </c>
      <c r="D7" s="452" t="s">
        <v>220</v>
      </c>
      <c r="E7" s="451" t="s">
        <v>297</v>
      </c>
      <c r="F7" s="453">
        <v>0</v>
      </c>
      <c r="G7" s="451"/>
      <c r="H7" s="453"/>
      <c r="I7" s="456" t="s">
        <v>519</v>
      </c>
      <c r="J7" s="457">
        <v>1.0999999999999999E-2</v>
      </c>
      <c r="K7" s="458" t="s">
        <v>298</v>
      </c>
      <c r="L7" s="453">
        <v>1.5E-3</v>
      </c>
      <c r="M7" s="451"/>
      <c r="N7" s="453"/>
      <c r="O7" s="451"/>
      <c r="P7" s="453"/>
      <c r="Q7" s="445" t="s">
        <v>587</v>
      </c>
    </row>
    <row r="8" spans="2:27">
      <c r="B8" s="451">
        <v>4</v>
      </c>
      <c r="C8" s="452" t="s">
        <v>218</v>
      </c>
      <c r="D8" s="452" t="s">
        <v>1152</v>
      </c>
      <c r="E8" s="451" t="s">
        <v>297</v>
      </c>
      <c r="F8" s="453">
        <v>0</v>
      </c>
      <c r="G8" s="451"/>
      <c r="H8" s="453"/>
      <c r="I8" s="458" t="s">
        <v>298</v>
      </c>
      <c r="J8" s="453">
        <v>1.0999999999999999E-2</v>
      </c>
      <c r="K8" s="458" t="s">
        <v>298</v>
      </c>
      <c r="L8" s="453">
        <v>2E-3</v>
      </c>
      <c r="M8" s="451" t="s">
        <v>1493</v>
      </c>
      <c r="N8" s="453">
        <v>0</v>
      </c>
      <c r="O8" s="451" t="s">
        <v>657</v>
      </c>
      <c r="P8" s="453">
        <v>0</v>
      </c>
      <c r="Q8" s="445" t="s">
        <v>589</v>
      </c>
    </row>
    <row r="9" spans="2:27">
      <c r="B9" s="451">
        <v>5</v>
      </c>
      <c r="C9" s="452" t="s">
        <v>218</v>
      </c>
      <c r="D9" s="452" t="s">
        <v>615</v>
      </c>
      <c r="E9" s="451" t="s">
        <v>297</v>
      </c>
      <c r="F9" s="453">
        <v>0</v>
      </c>
      <c r="G9" s="451"/>
      <c r="H9" s="453"/>
      <c r="I9" s="458" t="s">
        <v>283</v>
      </c>
      <c r="J9" s="453">
        <v>0.01</v>
      </c>
      <c r="K9" s="458"/>
      <c r="L9" s="453"/>
      <c r="M9" s="451"/>
      <c r="N9" s="453"/>
      <c r="O9" s="451"/>
      <c r="P9" s="453"/>
      <c r="Q9" s="445" t="s">
        <v>587</v>
      </c>
    </row>
    <row r="10" spans="2:27">
      <c r="B10" s="451">
        <v>6</v>
      </c>
      <c r="C10" s="452" t="s">
        <v>218</v>
      </c>
      <c r="D10" s="452" t="s">
        <v>238</v>
      </c>
      <c r="E10" s="451" t="s">
        <v>297</v>
      </c>
      <c r="F10" s="453">
        <v>0</v>
      </c>
      <c r="G10" s="451"/>
      <c r="H10" s="453"/>
      <c r="I10" s="456" t="s">
        <v>519</v>
      </c>
      <c r="J10" s="457">
        <v>1.0999999999999999E-2</v>
      </c>
      <c r="K10" s="451"/>
      <c r="L10" s="453"/>
      <c r="M10" s="451"/>
      <c r="N10" s="453"/>
      <c r="O10" s="451"/>
      <c r="P10" s="453"/>
      <c r="Q10" s="445" t="s">
        <v>590</v>
      </c>
    </row>
    <row r="11" spans="2:27">
      <c r="B11" s="451">
        <v>7</v>
      </c>
      <c r="C11" s="459" t="s">
        <v>267</v>
      </c>
      <c r="D11" s="459" t="s">
        <v>268</v>
      </c>
      <c r="E11" s="451" t="s">
        <v>297</v>
      </c>
      <c r="F11" s="453">
        <v>6.0000000000000001E-3</v>
      </c>
      <c r="G11" s="451"/>
      <c r="H11" s="453"/>
      <c r="I11" s="451"/>
      <c r="J11" s="453"/>
      <c r="K11" s="451"/>
      <c r="L11" s="453"/>
      <c r="M11" s="451"/>
      <c r="N11" s="453"/>
      <c r="O11" s="451"/>
      <c r="P11" s="453"/>
      <c r="Q11" s="445" t="s">
        <v>591</v>
      </c>
    </row>
    <row r="12" spans="2:27">
      <c r="B12" s="451">
        <v>8</v>
      </c>
      <c r="C12" s="459" t="s">
        <v>267</v>
      </c>
      <c r="D12" s="459" t="s">
        <v>1488</v>
      </c>
      <c r="E12" s="451" t="s">
        <v>478</v>
      </c>
      <c r="F12" s="453">
        <v>6.0000000000000001E-3</v>
      </c>
      <c r="G12" s="451"/>
      <c r="H12" s="453"/>
      <c r="I12" s="451"/>
      <c r="J12" s="453"/>
      <c r="K12" s="451"/>
      <c r="L12" s="453"/>
      <c r="M12" s="451"/>
      <c r="N12" s="453"/>
      <c r="O12" s="451"/>
      <c r="P12" s="453"/>
      <c r="Q12" s="445" t="s">
        <v>592</v>
      </c>
    </row>
    <row r="13" spans="2:27">
      <c r="B13" s="451">
        <v>9</v>
      </c>
      <c r="C13" s="452" t="s">
        <v>262</v>
      </c>
      <c r="D13" s="452" t="s">
        <v>616</v>
      </c>
      <c r="E13" s="451" t="s">
        <v>283</v>
      </c>
      <c r="F13" s="453">
        <v>0</v>
      </c>
      <c r="G13" s="451"/>
      <c r="H13" s="453"/>
      <c r="I13" s="451" t="s">
        <v>283</v>
      </c>
      <c r="J13" s="453">
        <v>2.1999999999999999E-2</v>
      </c>
      <c r="K13" s="451"/>
      <c r="L13" s="453"/>
      <c r="M13" s="451"/>
      <c r="N13" s="453"/>
      <c r="O13" s="451"/>
      <c r="P13" s="453"/>
      <c r="Q13" s="445" t="s">
        <v>587</v>
      </c>
    </row>
    <row r="14" spans="2:27">
      <c r="B14" s="451">
        <v>10</v>
      </c>
      <c r="C14" s="452" t="s">
        <v>262</v>
      </c>
      <c r="D14" s="452" t="s">
        <v>225</v>
      </c>
      <c r="E14" s="451" t="s">
        <v>297</v>
      </c>
      <c r="F14" s="453">
        <v>0</v>
      </c>
      <c r="G14" s="451"/>
      <c r="H14" s="453"/>
      <c r="I14" s="451" t="s">
        <v>312</v>
      </c>
      <c r="J14" s="453">
        <v>1.0999999999999999E-2</v>
      </c>
      <c r="K14" s="451" t="s">
        <v>313</v>
      </c>
      <c r="L14" s="453">
        <v>2E-3</v>
      </c>
      <c r="M14" s="451"/>
      <c r="N14" s="453"/>
      <c r="O14" s="451"/>
      <c r="P14" s="453"/>
      <c r="Q14" s="445" t="s">
        <v>593</v>
      </c>
    </row>
    <row r="15" spans="2:27">
      <c r="B15" s="451">
        <v>11</v>
      </c>
      <c r="C15" s="452" t="s">
        <v>263</v>
      </c>
      <c r="D15" s="452" t="s">
        <v>228</v>
      </c>
      <c r="E15" s="451" t="s">
        <v>297</v>
      </c>
      <c r="F15" s="453">
        <v>0</v>
      </c>
      <c r="G15" s="451"/>
      <c r="H15" s="453"/>
      <c r="I15" s="456" t="s">
        <v>519</v>
      </c>
      <c r="J15" s="457">
        <v>0.01</v>
      </c>
      <c r="K15" s="451"/>
      <c r="L15" s="453"/>
      <c r="M15" s="451"/>
      <c r="N15" s="453"/>
      <c r="O15" s="451"/>
      <c r="P15" s="453"/>
      <c r="Q15" s="445" t="s">
        <v>594</v>
      </c>
    </row>
    <row r="16" spans="2:27">
      <c r="B16" s="451">
        <v>13</v>
      </c>
      <c r="C16" s="452" t="s">
        <v>264</v>
      </c>
      <c r="D16" s="452" t="s">
        <v>233</v>
      </c>
      <c r="E16" s="451" t="s">
        <v>297</v>
      </c>
      <c r="F16" s="453">
        <v>0</v>
      </c>
      <c r="G16" s="451"/>
      <c r="H16" s="453"/>
      <c r="I16" s="456" t="s">
        <v>519</v>
      </c>
      <c r="J16" s="457">
        <v>1.0999999999999999E-2</v>
      </c>
      <c r="K16" s="451"/>
      <c r="L16" s="453"/>
      <c r="M16" s="451"/>
      <c r="N16" s="453"/>
      <c r="O16" s="451"/>
      <c r="P16" s="453"/>
      <c r="Q16" s="445" t="s">
        <v>591</v>
      </c>
    </row>
    <row r="17" spans="2:22">
      <c r="B17" s="451">
        <v>14</v>
      </c>
      <c r="C17" s="452" t="s">
        <v>563</v>
      </c>
      <c r="D17" s="452" t="s">
        <v>235</v>
      </c>
      <c r="E17" s="451" t="s">
        <v>297</v>
      </c>
      <c r="F17" s="453">
        <v>0</v>
      </c>
      <c r="G17" s="451"/>
      <c r="H17" s="453"/>
      <c r="I17" s="456" t="s">
        <v>519</v>
      </c>
      <c r="J17" s="457">
        <v>1.0999999999999999E-2</v>
      </c>
      <c r="K17" s="451"/>
      <c r="L17" s="453"/>
      <c r="M17" s="451"/>
      <c r="N17" s="453"/>
      <c r="O17" s="451"/>
      <c r="P17" s="453"/>
      <c r="Q17" s="445" t="s">
        <v>590</v>
      </c>
    </row>
    <row r="18" spans="2:22">
      <c r="B18" s="451">
        <v>15</v>
      </c>
      <c r="C18" s="452" t="s">
        <v>266</v>
      </c>
      <c r="D18" s="452" t="s">
        <v>219</v>
      </c>
      <c r="E18" s="451" t="s">
        <v>297</v>
      </c>
      <c r="F18" s="453">
        <v>0</v>
      </c>
      <c r="G18" s="451"/>
      <c r="H18" s="453"/>
      <c r="I18" s="456" t="s">
        <v>519</v>
      </c>
      <c r="J18" s="457">
        <v>1.0999999999999999E-2</v>
      </c>
      <c r="K18" s="451"/>
      <c r="L18" s="453"/>
      <c r="M18" s="451"/>
      <c r="N18" s="453"/>
      <c r="O18" s="451"/>
      <c r="P18" s="453"/>
      <c r="Q18" s="445" t="s">
        <v>590</v>
      </c>
    </row>
    <row r="19" spans="2:22">
      <c r="B19" s="451">
        <v>16</v>
      </c>
      <c r="C19" s="460" t="s">
        <v>559</v>
      </c>
      <c r="D19" s="460" t="s">
        <v>553</v>
      </c>
      <c r="E19" s="460" t="s">
        <v>298</v>
      </c>
      <c r="F19" s="461">
        <v>6.0000000000000001E-3</v>
      </c>
      <c r="G19" s="460"/>
      <c r="H19" s="461"/>
      <c r="I19" s="462"/>
      <c r="J19" s="463"/>
      <c r="K19" s="460"/>
      <c r="L19" s="461"/>
      <c r="M19" s="460"/>
      <c r="N19" s="461"/>
      <c r="O19" s="460"/>
      <c r="P19" s="461"/>
      <c r="Q19" s="445" t="s">
        <v>590</v>
      </c>
    </row>
    <row r="20" spans="2:22">
      <c r="B20" s="451">
        <v>17</v>
      </c>
      <c r="C20" s="464" t="s">
        <v>553</v>
      </c>
      <c r="D20" s="464" t="s">
        <v>571</v>
      </c>
      <c r="E20" s="451" t="s">
        <v>299</v>
      </c>
      <c r="F20" s="453">
        <v>6.0000000000000001E-3</v>
      </c>
      <c r="G20" s="451"/>
      <c r="H20" s="453"/>
      <c r="I20" s="451"/>
      <c r="J20" s="453"/>
      <c r="K20" s="451"/>
      <c r="L20" s="453"/>
      <c r="M20" s="451"/>
      <c r="N20" s="453"/>
      <c r="O20" s="451"/>
      <c r="P20" s="453"/>
      <c r="Q20" s="445" t="s">
        <v>590</v>
      </c>
    </row>
    <row r="21" spans="2:22">
      <c r="B21" s="451">
        <v>18</v>
      </c>
      <c r="C21" s="464" t="s">
        <v>223</v>
      </c>
      <c r="D21" s="464" t="s">
        <v>572</v>
      </c>
      <c r="E21" s="451" t="s">
        <v>42</v>
      </c>
      <c r="F21" s="453">
        <v>6.0000000000000001E-3</v>
      </c>
      <c r="G21" s="451"/>
      <c r="H21" s="453"/>
      <c r="I21" s="451"/>
      <c r="J21" s="453"/>
      <c r="K21" s="451"/>
      <c r="L21" s="453"/>
      <c r="M21" s="451"/>
      <c r="N21" s="453"/>
      <c r="O21" s="451"/>
      <c r="P21" s="453"/>
      <c r="Q21" s="445" t="s">
        <v>590</v>
      </c>
    </row>
    <row r="22" spans="2:22">
      <c r="B22" s="451">
        <v>19</v>
      </c>
      <c r="C22" s="464" t="s">
        <v>223</v>
      </c>
      <c r="D22" s="464" t="s">
        <v>573</v>
      </c>
      <c r="E22" s="451" t="s">
        <v>42</v>
      </c>
      <c r="F22" s="453">
        <v>6.0000000000000001E-3</v>
      </c>
      <c r="G22" s="451"/>
      <c r="H22" s="453"/>
      <c r="I22" s="451"/>
      <c r="J22" s="453"/>
      <c r="K22" s="451"/>
      <c r="L22" s="453"/>
      <c r="M22" s="451"/>
      <c r="N22" s="453"/>
      <c r="O22" s="451"/>
      <c r="P22" s="453"/>
      <c r="Q22" s="445" t="s">
        <v>590</v>
      </c>
    </row>
    <row r="23" spans="2:22">
      <c r="B23" s="451">
        <v>20</v>
      </c>
      <c r="C23" s="464" t="s">
        <v>223</v>
      </c>
      <c r="D23" s="464" t="s">
        <v>574</v>
      </c>
      <c r="E23" s="451" t="s">
        <v>42</v>
      </c>
      <c r="F23" s="453">
        <v>6.0000000000000001E-3</v>
      </c>
      <c r="G23" s="451"/>
      <c r="H23" s="453"/>
      <c r="I23" s="451"/>
      <c r="J23" s="453"/>
      <c r="K23" s="451"/>
      <c r="L23" s="453"/>
      <c r="M23" s="451"/>
      <c r="N23" s="453"/>
      <c r="O23" s="451"/>
      <c r="P23" s="453"/>
      <c r="Q23" s="445" t="s">
        <v>590</v>
      </c>
    </row>
    <row r="24" spans="2:22">
      <c r="B24" s="451">
        <v>21</v>
      </c>
      <c r="C24" s="464" t="s">
        <v>223</v>
      </c>
      <c r="D24" s="464" t="s">
        <v>575</v>
      </c>
      <c r="E24" s="451" t="s">
        <v>42</v>
      </c>
      <c r="F24" s="453">
        <v>6.0000000000000001E-3</v>
      </c>
      <c r="G24" s="451"/>
      <c r="H24" s="453"/>
      <c r="I24" s="451"/>
      <c r="J24" s="453"/>
      <c r="K24" s="451"/>
      <c r="L24" s="453"/>
      <c r="M24" s="451"/>
      <c r="N24" s="453"/>
      <c r="O24" s="451"/>
      <c r="P24" s="453"/>
      <c r="Q24" s="445" t="s">
        <v>590</v>
      </c>
    </row>
    <row r="25" spans="2:22">
      <c r="B25" s="451">
        <v>22</v>
      </c>
      <c r="C25" s="464" t="s">
        <v>223</v>
      </c>
      <c r="D25" s="464" t="s">
        <v>576</v>
      </c>
      <c r="E25" s="451" t="s">
        <v>42</v>
      </c>
      <c r="F25" s="453">
        <v>6.0000000000000001E-3</v>
      </c>
      <c r="G25" s="451"/>
      <c r="H25" s="453"/>
      <c r="I25" s="451"/>
      <c r="J25" s="453"/>
      <c r="K25" s="451"/>
      <c r="L25" s="453"/>
      <c r="M25" s="451"/>
      <c r="N25" s="453"/>
      <c r="O25" s="451"/>
      <c r="P25" s="453"/>
      <c r="Q25" s="445" t="s">
        <v>590</v>
      </c>
    </row>
    <row r="26" spans="2:22" ht="18" customHeight="1">
      <c r="B26" s="451">
        <v>23</v>
      </c>
      <c r="C26" s="464" t="s">
        <v>223</v>
      </c>
      <c r="D26" s="464" t="s">
        <v>577</v>
      </c>
      <c r="E26" s="451" t="s">
        <v>42</v>
      </c>
      <c r="F26" s="453">
        <v>6.0000000000000001E-3</v>
      </c>
      <c r="G26" s="451"/>
      <c r="H26" s="453"/>
      <c r="I26" s="451"/>
      <c r="J26" s="453"/>
      <c r="K26" s="451"/>
      <c r="L26" s="453"/>
      <c r="M26" s="451"/>
      <c r="N26" s="453"/>
      <c r="O26" s="451"/>
      <c r="P26" s="453"/>
      <c r="Q26" s="445" t="s">
        <v>590</v>
      </c>
    </row>
    <row r="27" spans="2:22">
      <c r="B27" s="451">
        <v>24</v>
      </c>
      <c r="C27" s="464" t="s">
        <v>713</v>
      </c>
      <c r="D27" s="464" t="s">
        <v>726</v>
      </c>
      <c r="E27" s="451"/>
      <c r="F27" s="453"/>
      <c r="G27" s="451" t="s">
        <v>725</v>
      </c>
      <c r="H27" s="453">
        <v>0</v>
      </c>
      <c r="I27" s="451"/>
      <c r="J27" s="453"/>
      <c r="K27" s="451"/>
      <c r="L27" s="453"/>
      <c r="M27" s="451"/>
      <c r="N27" s="453"/>
      <c r="O27" s="451"/>
      <c r="P27" s="453"/>
      <c r="Q27" s="445" t="s">
        <v>590</v>
      </c>
    </row>
    <row r="28" spans="2:22">
      <c r="B28" s="451">
        <v>25</v>
      </c>
      <c r="C28" s="464" t="s">
        <v>3227</v>
      </c>
      <c r="D28" s="464" t="s">
        <v>223</v>
      </c>
      <c r="E28" s="451"/>
      <c r="F28" s="453"/>
      <c r="G28" s="451" t="s">
        <v>296</v>
      </c>
      <c r="H28" s="453">
        <v>0</v>
      </c>
      <c r="I28" s="451"/>
      <c r="J28" s="453"/>
      <c r="K28" s="451"/>
      <c r="L28" s="453"/>
      <c r="M28" s="451"/>
      <c r="N28" s="453"/>
      <c r="O28" s="451"/>
      <c r="P28" s="453"/>
      <c r="Q28" s="445" t="s">
        <v>587</v>
      </c>
    </row>
    <row r="29" spans="2:22">
      <c r="B29" s="451">
        <v>26</v>
      </c>
      <c r="C29" s="464" t="s">
        <v>3228</v>
      </c>
      <c r="D29" s="464" t="s">
        <v>223</v>
      </c>
      <c r="E29" s="451"/>
      <c r="F29" s="453"/>
      <c r="G29" s="451" t="s">
        <v>296</v>
      </c>
      <c r="H29" s="453">
        <v>0</v>
      </c>
      <c r="I29" s="451"/>
      <c r="J29" s="453"/>
      <c r="K29" s="451"/>
      <c r="L29" s="453"/>
      <c r="M29" s="451"/>
      <c r="N29" s="453"/>
      <c r="O29" s="451"/>
      <c r="P29" s="453"/>
      <c r="Q29" s="445" t="s">
        <v>587</v>
      </c>
    </row>
    <row r="30" spans="2:22">
      <c r="B30" s="445" t="s">
        <v>503</v>
      </c>
      <c r="D30" s="675">
        <v>1</v>
      </c>
      <c r="E30" s="675">
        <v>2</v>
      </c>
      <c r="F30" s="675">
        <v>3</v>
      </c>
      <c r="G30" s="675">
        <v>4</v>
      </c>
      <c r="H30" s="675">
        <v>5</v>
      </c>
      <c r="I30" s="675">
        <v>6</v>
      </c>
      <c r="J30" s="675">
        <v>7</v>
      </c>
      <c r="K30" s="675">
        <v>8</v>
      </c>
      <c r="L30" s="675">
        <v>9</v>
      </c>
      <c r="M30" s="675">
        <v>10</v>
      </c>
      <c r="N30" s="675">
        <v>11</v>
      </c>
      <c r="O30" s="675">
        <v>12</v>
      </c>
      <c r="P30" s="675">
        <v>13</v>
      </c>
      <c r="Q30" s="675">
        <v>14</v>
      </c>
      <c r="R30" s="675">
        <v>15</v>
      </c>
      <c r="S30" s="675">
        <v>16</v>
      </c>
      <c r="T30" s="445">
        <v>17</v>
      </c>
      <c r="U30" s="445">
        <v>18</v>
      </c>
      <c r="V30" s="445">
        <v>19</v>
      </c>
    </row>
    <row r="31" spans="2:22">
      <c r="B31" s="447"/>
      <c r="C31" s="448" t="s">
        <v>210</v>
      </c>
      <c r="D31" s="448" t="s">
        <v>242</v>
      </c>
      <c r="E31" s="448" t="s">
        <v>300</v>
      </c>
      <c r="F31" s="449" t="s">
        <v>294</v>
      </c>
      <c r="G31" s="448" t="s">
        <v>244</v>
      </c>
      <c r="H31" s="449" t="s">
        <v>245</v>
      </c>
      <c r="I31" s="448" t="s">
        <v>246</v>
      </c>
      <c r="J31" s="449" t="s">
        <v>243</v>
      </c>
      <c r="K31" s="448" t="s">
        <v>247</v>
      </c>
      <c r="L31" s="449" t="s">
        <v>248</v>
      </c>
      <c r="M31" s="448" t="s">
        <v>249</v>
      </c>
      <c r="N31" s="449" t="s">
        <v>250</v>
      </c>
      <c r="O31" s="448" t="s">
        <v>251</v>
      </c>
      <c r="P31" s="449" t="s">
        <v>252</v>
      </c>
      <c r="Q31" s="449" t="s">
        <v>586</v>
      </c>
      <c r="R31" s="466">
        <v>1145</v>
      </c>
      <c r="S31" s="466">
        <v>1168</v>
      </c>
      <c r="V31" s="445" t="s">
        <v>1259</v>
      </c>
    </row>
    <row r="32" spans="2:22">
      <c r="B32" s="451">
        <v>1</v>
      </c>
      <c r="C32" s="452" t="s">
        <v>218</v>
      </c>
      <c r="D32" s="452" t="s">
        <v>216</v>
      </c>
      <c r="E32" s="451" t="s">
        <v>512</v>
      </c>
      <c r="F32" s="453">
        <v>0</v>
      </c>
      <c r="G32" s="451"/>
      <c r="H32" s="453"/>
      <c r="I32" s="451" t="s">
        <v>506</v>
      </c>
      <c r="J32" s="453">
        <v>5.4999999999999997E-3</v>
      </c>
      <c r="K32" s="451"/>
      <c r="L32" s="453"/>
      <c r="M32" s="451"/>
      <c r="N32" s="453"/>
      <c r="O32" s="451"/>
      <c r="P32" s="453"/>
      <c r="Q32" s="445" t="s">
        <v>587</v>
      </c>
      <c r="R32" s="445" t="s">
        <v>476</v>
      </c>
      <c r="S32" s="445" t="s">
        <v>702</v>
      </c>
      <c r="U32" s="445" t="s">
        <v>1143</v>
      </c>
      <c r="V32" s="445" t="s">
        <v>1260</v>
      </c>
    </row>
    <row r="33" spans="2:22">
      <c r="B33" s="451">
        <v>2</v>
      </c>
      <c r="C33" s="452" t="s">
        <v>218</v>
      </c>
      <c r="D33" s="452" t="s">
        <v>231</v>
      </c>
      <c r="E33" s="451" t="s">
        <v>512</v>
      </c>
      <c r="F33" s="453">
        <v>0</v>
      </c>
      <c r="G33" s="458" t="s">
        <v>518</v>
      </c>
      <c r="H33" s="453">
        <v>0</v>
      </c>
      <c r="I33" s="451" t="s">
        <v>507</v>
      </c>
      <c r="J33" s="453">
        <v>5.4999999999999997E-3</v>
      </c>
      <c r="K33" s="451" t="s">
        <v>514</v>
      </c>
      <c r="L33" s="455">
        <v>0</v>
      </c>
      <c r="M33" s="451"/>
      <c r="N33" s="455"/>
      <c r="O33" s="451"/>
      <c r="P33" s="455"/>
      <c r="Q33" s="445" t="s">
        <v>588</v>
      </c>
      <c r="R33" s="445" t="s">
        <v>612</v>
      </c>
      <c r="S33" s="475" t="s">
        <v>587</v>
      </c>
      <c r="U33" s="445" t="s">
        <v>1143</v>
      </c>
      <c r="V33" s="445" t="s">
        <v>1260</v>
      </c>
    </row>
    <row r="34" spans="2:22">
      <c r="B34" s="451">
        <v>3</v>
      </c>
      <c r="C34" s="452" t="s">
        <v>218</v>
      </c>
      <c r="D34" s="452" t="s">
        <v>220</v>
      </c>
      <c r="E34" s="451" t="s">
        <v>512</v>
      </c>
      <c r="F34" s="453">
        <v>0</v>
      </c>
      <c r="G34" s="451"/>
      <c r="H34" s="453"/>
      <c r="I34" s="456" t="s">
        <v>517</v>
      </c>
      <c r="J34" s="457">
        <v>5.4999999999999997E-3</v>
      </c>
      <c r="K34" s="451"/>
      <c r="L34" s="453"/>
      <c r="M34" s="451"/>
      <c r="N34" s="453"/>
      <c r="O34" s="451"/>
      <c r="P34" s="453"/>
      <c r="Q34" s="445" t="s">
        <v>587</v>
      </c>
      <c r="R34" s="445" t="s">
        <v>587</v>
      </c>
      <c r="S34" s="445" t="s">
        <v>703</v>
      </c>
      <c r="U34" s="445" t="s">
        <v>1154</v>
      </c>
      <c r="V34" s="445" t="s">
        <v>1260</v>
      </c>
    </row>
    <row r="35" spans="2:22">
      <c r="B35" s="451">
        <v>4</v>
      </c>
      <c r="C35" s="452" t="s">
        <v>218</v>
      </c>
      <c r="D35" s="452" t="s">
        <v>221</v>
      </c>
      <c r="E35" s="451" t="s">
        <v>512</v>
      </c>
      <c r="F35" s="453">
        <v>0</v>
      </c>
      <c r="G35" s="451"/>
      <c r="H35" s="453"/>
      <c r="I35" s="458" t="s">
        <v>508</v>
      </c>
      <c r="J35" s="453">
        <v>5.4999999999999997E-3</v>
      </c>
      <c r="K35" s="458"/>
      <c r="L35" s="453"/>
      <c r="M35" s="451"/>
      <c r="N35" s="453"/>
      <c r="O35" s="451" t="s">
        <v>658</v>
      </c>
      <c r="P35" s="453">
        <v>2E-3</v>
      </c>
      <c r="Q35" s="445" t="s">
        <v>589</v>
      </c>
      <c r="R35" s="445" t="s">
        <v>613</v>
      </c>
      <c r="S35" s="475" t="s">
        <v>588</v>
      </c>
      <c r="U35" s="445" t="s">
        <v>1144</v>
      </c>
      <c r="V35" s="445" t="s">
        <v>1260</v>
      </c>
    </row>
    <row r="36" spans="2:22">
      <c r="B36" s="451">
        <v>5</v>
      </c>
      <c r="C36" s="452" t="s">
        <v>218</v>
      </c>
      <c r="D36" s="452" t="s">
        <v>615</v>
      </c>
      <c r="E36" s="451" t="s">
        <v>506</v>
      </c>
      <c r="F36" s="453">
        <v>0</v>
      </c>
      <c r="G36" s="451"/>
      <c r="H36" s="453"/>
      <c r="I36" s="458" t="s">
        <v>506</v>
      </c>
      <c r="J36" s="453">
        <v>5.4999999999999997E-3</v>
      </c>
      <c r="K36" s="458"/>
      <c r="L36" s="453"/>
      <c r="M36" s="451"/>
      <c r="N36" s="453"/>
      <c r="O36" s="451"/>
      <c r="P36" s="453"/>
      <c r="Q36" s="445" t="s">
        <v>587</v>
      </c>
      <c r="R36" s="445" t="s">
        <v>587</v>
      </c>
      <c r="S36" s="445" t="s">
        <v>659</v>
      </c>
      <c r="U36" s="445" t="s">
        <v>1157</v>
      </c>
      <c r="V36" s="445" t="s">
        <v>1260</v>
      </c>
    </row>
    <row r="37" spans="2:22">
      <c r="B37" s="451">
        <v>6</v>
      </c>
      <c r="C37" s="452" t="s">
        <v>218</v>
      </c>
      <c r="D37" s="452" t="s">
        <v>238</v>
      </c>
      <c r="E37" s="451" t="s">
        <v>512</v>
      </c>
      <c r="F37" s="453">
        <v>0</v>
      </c>
      <c r="G37" s="451"/>
      <c r="H37" s="453"/>
      <c r="I37" s="456" t="s">
        <v>507</v>
      </c>
      <c r="J37" s="457">
        <v>5.4999999999999997E-3</v>
      </c>
      <c r="K37" s="451"/>
      <c r="L37" s="453"/>
      <c r="M37" s="451"/>
      <c r="N37" s="453"/>
      <c r="O37" s="451"/>
      <c r="P37" s="453"/>
      <c r="Q37" s="445" t="s">
        <v>590</v>
      </c>
      <c r="R37" s="445" t="s">
        <v>587</v>
      </c>
      <c r="S37" s="445" t="s">
        <v>659</v>
      </c>
      <c r="U37" s="445" t="s">
        <v>1156</v>
      </c>
      <c r="V37" s="445" t="s">
        <v>1260</v>
      </c>
    </row>
    <row r="38" spans="2:22">
      <c r="B38" s="451">
        <v>7</v>
      </c>
      <c r="C38" s="459" t="s">
        <v>267</v>
      </c>
      <c r="D38" s="459" t="s">
        <v>268</v>
      </c>
      <c r="E38" s="451" t="s">
        <v>512</v>
      </c>
      <c r="F38" s="453">
        <v>6.0000000000000001E-3</v>
      </c>
      <c r="G38" s="451"/>
      <c r="H38" s="453"/>
      <c r="I38" s="451"/>
      <c r="J38" s="453"/>
      <c r="K38" s="451"/>
      <c r="L38" s="453"/>
      <c r="M38" s="451"/>
      <c r="N38" s="453"/>
      <c r="O38" s="451"/>
      <c r="P38" s="453"/>
      <c r="Q38" s="445" t="s">
        <v>591</v>
      </c>
      <c r="R38" s="445" t="s">
        <v>476</v>
      </c>
      <c r="S38" s="445" t="s">
        <v>705</v>
      </c>
      <c r="U38" s="445" t="s">
        <v>587</v>
      </c>
      <c r="V38" s="445" t="s">
        <v>1260</v>
      </c>
    </row>
    <row r="39" spans="2:22">
      <c r="B39" s="451">
        <v>8</v>
      </c>
      <c r="C39" s="459" t="s">
        <v>267</v>
      </c>
      <c r="D39" s="459" t="s">
        <v>1488</v>
      </c>
      <c r="E39" s="451" t="s">
        <v>512</v>
      </c>
      <c r="F39" s="453">
        <v>6.0000000000000001E-3</v>
      </c>
      <c r="G39" s="451"/>
      <c r="H39" s="453"/>
      <c r="I39" s="451"/>
      <c r="J39" s="453"/>
      <c r="K39" s="451"/>
      <c r="L39" s="453"/>
      <c r="M39" s="451"/>
      <c r="N39" s="453"/>
      <c r="O39" s="451"/>
      <c r="P39" s="453"/>
      <c r="Q39" s="445" t="s">
        <v>592</v>
      </c>
      <c r="R39" s="445" t="s">
        <v>476</v>
      </c>
      <c r="S39" s="445" t="s">
        <v>704</v>
      </c>
      <c r="U39" s="445" t="s">
        <v>587</v>
      </c>
      <c r="V39" s="445" t="s">
        <v>1260</v>
      </c>
    </row>
    <row r="40" spans="2:22">
      <c r="B40" s="451">
        <v>10</v>
      </c>
      <c r="C40" s="452" t="s">
        <v>262</v>
      </c>
      <c r="D40" s="452" t="s">
        <v>225</v>
      </c>
      <c r="E40" s="451" t="s">
        <v>512</v>
      </c>
      <c r="F40" s="453">
        <v>0</v>
      </c>
      <c r="G40" s="451"/>
      <c r="H40" s="453"/>
      <c r="I40" s="451" t="s">
        <v>509</v>
      </c>
      <c r="J40" s="453">
        <v>3.3E-3</v>
      </c>
      <c r="K40" s="451" t="s">
        <v>510</v>
      </c>
      <c r="L40" s="453">
        <v>2E-3</v>
      </c>
      <c r="M40" s="451"/>
      <c r="N40" s="453"/>
      <c r="O40" s="451"/>
      <c r="P40" s="453"/>
      <c r="Q40" s="445" t="s">
        <v>593</v>
      </c>
      <c r="R40" s="445" t="s">
        <v>708</v>
      </c>
      <c r="S40" s="445" t="s">
        <v>702</v>
      </c>
      <c r="U40" s="445" t="s">
        <v>587</v>
      </c>
      <c r="V40" s="445" t="s">
        <v>1260</v>
      </c>
    </row>
    <row r="41" spans="2:22">
      <c r="B41" s="451">
        <v>11</v>
      </c>
      <c r="C41" s="452" t="s">
        <v>263</v>
      </c>
      <c r="D41" s="452" t="s">
        <v>228</v>
      </c>
      <c r="E41" s="451" t="s">
        <v>512</v>
      </c>
      <c r="F41" s="453">
        <v>0</v>
      </c>
      <c r="G41" s="451"/>
      <c r="H41" s="453"/>
      <c r="I41" s="456" t="s">
        <v>517</v>
      </c>
      <c r="J41" s="457">
        <v>7.0000000000000001E-3</v>
      </c>
      <c r="K41" s="451"/>
      <c r="L41" s="453"/>
      <c r="M41" s="451"/>
      <c r="N41" s="453">
        <v>0</v>
      </c>
      <c r="O41" s="451"/>
      <c r="P41" s="453"/>
      <c r="Q41" s="445" t="s">
        <v>594</v>
      </c>
      <c r="U41" s="445" t="s">
        <v>587</v>
      </c>
      <c r="V41" s="445" t="s">
        <v>1260</v>
      </c>
    </row>
    <row r="42" spans="2:22">
      <c r="B42" s="451">
        <v>13</v>
      </c>
      <c r="C42" s="452" t="s">
        <v>264</v>
      </c>
      <c r="D42" s="452" t="s">
        <v>233</v>
      </c>
      <c r="E42" s="451" t="s">
        <v>512</v>
      </c>
      <c r="F42" s="453">
        <v>0</v>
      </c>
      <c r="G42" s="451"/>
      <c r="H42" s="453"/>
      <c r="I42" s="456" t="s">
        <v>517</v>
      </c>
      <c r="J42" s="457">
        <v>5.4999999999999997E-3</v>
      </c>
      <c r="K42" s="451"/>
      <c r="L42" s="453"/>
      <c r="M42" s="451"/>
      <c r="N42" s="453"/>
      <c r="O42" s="451"/>
      <c r="P42" s="453"/>
      <c r="Q42" s="445" t="s">
        <v>591</v>
      </c>
      <c r="R42" s="445" t="s">
        <v>612</v>
      </c>
      <c r="U42" s="445" t="s">
        <v>587</v>
      </c>
      <c r="V42" s="445" t="s">
        <v>1261</v>
      </c>
    </row>
    <row r="43" spans="2:22">
      <c r="B43" s="451">
        <v>14</v>
      </c>
      <c r="C43" s="452" t="s">
        <v>563</v>
      </c>
      <c r="D43" s="452" t="s">
        <v>235</v>
      </c>
      <c r="E43" s="451" t="s">
        <v>512</v>
      </c>
      <c r="F43" s="453">
        <v>0</v>
      </c>
      <c r="G43" s="451"/>
      <c r="H43" s="453"/>
      <c r="I43" s="456" t="s">
        <v>517</v>
      </c>
      <c r="J43" s="457">
        <v>5.4999999999999997E-3</v>
      </c>
      <c r="K43" s="451"/>
      <c r="L43" s="453"/>
      <c r="M43" s="451"/>
      <c r="N43" s="453"/>
      <c r="O43" s="451"/>
      <c r="P43" s="453"/>
      <c r="Q43" s="445" t="s">
        <v>476</v>
      </c>
      <c r="R43" s="445" t="s">
        <v>612</v>
      </c>
      <c r="S43" s="445" t="s">
        <v>1135</v>
      </c>
      <c r="U43" s="445" t="s">
        <v>587</v>
      </c>
      <c r="V43" s="445" t="s">
        <v>1261</v>
      </c>
    </row>
    <row r="44" spans="2:22">
      <c r="B44" s="451">
        <v>15</v>
      </c>
      <c r="C44" s="452" t="s">
        <v>266</v>
      </c>
      <c r="D44" s="452" t="s">
        <v>219</v>
      </c>
      <c r="E44" s="451" t="s">
        <v>512</v>
      </c>
      <c r="F44" s="453">
        <v>0</v>
      </c>
      <c r="G44" s="451"/>
      <c r="H44" s="453"/>
      <c r="I44" s="456" t="s">
        <v>517</v>
      </c>
      <c r="J44" s="457">
        <v>5.4999999999999997E-3</v>
      </c>
      <c r="K44" s="451"/>
      <c r="L44" s="453"/>
      <c r="M44" s="451"/>
      <c r="N44" s="453"/>
      <c r="O44" s="451"/>
      <c r="P44" s="453"/>
      <c r="Q44" s="445" t="s">
        <v>589</v>
      </c>
      <c r="R44" s="445" t="s">
        <v>612</v>
      </c>
      <c r="U44" s="445" t="s">
        <v>587</v>
      </c>
      <c r="V44" s="445" t="s">
        <v>1261</v>
      </c>
    </row>
    <row r="45" spans="2:22">
      <c r="B45" s="451">
        <v>16</v>
      </c>
      <c r="C45" s="460" t="s">
        <v>559</v>
      </c>
      <c r="D45" s="460" t="s">
        <v>560</v>
      </c>
      <c r="E45" s="460" t="s">
        <v>517</v>
      </c>
      <c r="F45" s="461">
        <v>6.0000000000000001E-3</v>
      </c>
      <c r="G45" s="460"/>
      <c r="H45" s="461"/>
      <c r="I45" s="462"/>
      <c r="J45" s="463"/>
      <c r="K45" s="460"/>
      <c r="L45" s="461"/>
      <c r="M45" s="460"/>
      <c r="N45" s="461"/>
      <c r="O45" s="460"/>
      <c r="P45" s="461"/>
      <c r="U45" s="445" t="s">
        <v>587</v>
      </c>
      <c r="V45" s="445" t="s">
        <v>1261</v>
      </c>
    </row>
    <row r="46" spans="2:22">
      <c r="B46" s="451">
        <v>17</v>
      </c>
      <c r="C46" s="464" t="s">
        <v>553</v>
      </c>
      <c r="D46" s="464" t="s">
        <v>571</v>
      </c>
      <c r="E46" s="451" t="s">
        <v>506</v>
      </c>
      <c r="F46" s="453">
        <v>6.0000000000000001E-3</v>
      </c>
      <c r="G46" s="451"/>
      <c r="H46" s="453"/>
      <c r="I46" s="451"/>
      <c r="J46" s="453"/>
      <c r="K46" s="451"/>
      <c r="L46" s="453"/>
      <c r="M46" s="451"/>
      <c r="N46" s="453"/>
      <c r="O46" s="451"/>
      <c r="P46" s="453"/>
      <c r="Q46" s="445" t="s">
        <v>595</v>
      </c>
      <c r="R46" s="475" t="s">
        <v>1131</v>
      </c>
      <c r="S46" s="475" t="s">
        <v>659</v>
      </c>
      <c r="U46" s="445" t="s">
        <v>1155</v>
      </c>
      <c r="V46" s="445" t="s">
        <v>1260</v>
      </c>
    </row>
    <row r="47" spans="2:22">
      <c r="B47" s="451">
        <v>18</v>
      </c>
      <c r="C47" s="464" t="s">
        <v>223</v>
      </c>
      <c r="D47" s="464" t="s">
        <v>572</v>
      </c>
      <c r="E47" s="451" t="s">
        <v>506</v>
      </c>
      <c r="F47" s="453">
        <v>6.0000000000000001E-3</v>
      </c>
      <c r="G47" s="451"/>
      <c r="H47" s="453"/>
      <c r="I47" s="451"/>
      <c r="J47" s="453"/>
      <c r="K47" s="451"/>
      <c r="L47" s="453"/>
      <c r="M47" s="451"/>
      <c r="N47" s="453"/>
      <c r="O47" s="451"/>
      <c r="P47" s="453"/>
      <c r="Q47" s="445" t="s">
        <v>595</v>
      </c>
      <c r="R47" s="445" t="s">
        <v>701</v>
      </c>
      <c r="S47" s="475" t="s">
        <v>704</v>
      </c>
      <c r="U47" s="445" t="s">
        <v>587</v>
      </c>
      <c r="V47" s="445" t="s">
        <v>1260</v>
      </c>
    </row>
    <row r="48" spans="2:22">
      <c r="B48" s="451">
        <v>19</v>
      </c>
      <c r="C48" s="464" t="s">
        <v>223</v>
      </c>
      <c r="D48" s="464" t="s">
        <v>573</v>
      </c>
      <c r="E48" s="451" t="s">
        <v>506</v>
      </c>
      <c r="F48" s="453">
        <v>6.0000000000000001E-3</v>
      </c>
      <c r="G48" s="451"/>
      <c r="H48" s="453"/>
      <c r="I48" s="451"/>
      <c r="J48" s="453"/>
      <c r="K48" s="451"/>
      <c r="L48" s="453"/>
      <c r="M48" s="451"/>
      <c r="N48" s="453"/>
      <c r="O48" s="451"/>
      <c r="P48" s="453"/>
      <c r="Q48" s="445" t="s">
        <v>596</v>
      </c>
      <c r="R48" s="445" t="s">
        <v>706</v>
      </c>
      <c r="S48" s="445" t="s">
        <v>1138</v>
      </c>
      <c r="U48" s="445" t="s">
        <v>587</v>
      </c>
      <c r="V48" s="445" t="s">
        <v>1260</v>
      </c>
    </row>
    <row r="49" spans="2:22">
      <c r="B49" s="451">
        <v>20</v>
      </c>
      <c r="C49" s="464" t="s">
        <v>223</v>
      </c>
      <c r="D49" s="464" t="s">
        <v>574</v>
      </c>
      <c r="E49" s="451" t="s">
        <v>506</v>
      </c>
      <c r="F49" s="453">
        <v>6.0000000000000001E-3</v>
      </c>
      <c r="G49" s="451"/>
      <c r="H49" s="453"/>
      <c r="I49" s="451"/>
      <c r="J49" s="453"/>
      <c r="K49" s="451"/>
      <c r="L49" s="453"/>
      <c r="M49" s="451"/>
      <c r="N49" s="453"/>
      <c r="O49" s="451"/>
      <c r="P49" s="453"/>
      <c r="Q49" s="445" t="s">
        <v>597</v>
      </c>
      <c r="U49" s="445" t="s">
        <v>587</v>
      </c>
      <c r="V49" s="445" t="s">
        <v>1260</v>
      </c>
    </row>
    <row r="50" spans="2:22">
      <c r="B50" s="451">
        <v>21</v>
      </c>
      <c r="C50" s="464" t="s">
        <v>223</v>
      </c>
      <c r="D50" s="464" t="s">
        <v>575</v>
      </c>
      <c r="E50" s="451" t="s">
        <v>506</v>
      </c>
      <c r="F50" s="453">
        <v>6.0000000000000001E-3</v>
      </c>
      <c r="G50" s="451"/>
      <c r="H50" s="453"/>
      <c r="I50" s="451"/>
      <c r="J50" s="453"/>
      <c r="K50" s="451"/>
      <c r="L50" s="453"/>
      <c r="M50" s="451"/>
      <c r="N50" s="453"/>
      <c r="O50" s="451"/>
      <c r="P50" s="453"/>
      <c r="Q50" s="445" t="s">
        <v>595</v>
      </c>
      <c r="U50" s="445" t="s">
        <v>587</v>
      </c>
      <c r="V50" s="445" t="s">
        <v>1261</v>
      </c>
    </row>
    <row r="51" spans="2:22">
      <c r="B51" s="451">
        <v>22</v>
      </c>
      <c r="C51" s="464" t="s">
        <v>223</v>
      </c>
      <c r="D51" s="464" t="s">
        <v>576</v>
      </c>
      <c r="E51" s="451" t="s">
        <v>506</v>
      </c>
      <c r="F51" s="453">
        <v>6.0000000000000001E-3</v>
      </c>
      <c r="G51" s="451"/>
      <c r="H51" s="453"/>
      <c r="I51" s="451"/>
      <c r="J51" s="453"/>
      <c r="K51" s="451"/>
      <c r="L51" s="453"/>
      <c r="M51" s="451"/>
      <c r="N51" s="453"/>
      <c r="O51" s="451"/>
      <c r="P51" s="453"/>
      <c r="Q51" s="445" t="s">
        <v>598</v>
      </c>
      <c r="U51" s="445" t="s">
        <v>587</v>
      </c>
      <c r="V51" s="445" t="s">
        <v>1260</v>
      </c>
    </row>
    <row r="52" spans="2:22">
      <c r="B52" s="451">
        <v>23</v>
      </c>
      <c r="C52" s="464" t="s">
        <v>223</v>
      </c>
      <c r="D52" s="464" t="s">
        <v>577</v>
      </c>
      <c r="E52" s="451" t="s">
        <v>506</v>
      </c>
      <c r="F52" s="453">
        <v>6.0000000000000001E-3</v>
      </c>
      <c r="G52" s="451"/>
      <c r="H52" s="453"/>
      <c r="I52" s="451"/>
      <c r="J52" s="453"/>
      <c r="K52" s="451"/>
      <c r="L52" s="453"/>
      <c r="M52" s="451"/>
      <c r="N52" s="453"/>
      <c r="O52" s="451"/>
      <c r="P52" s="453"/>
      <c r="Q52" s="445" t="s">
        <v>595</v>
      </c>
      <c r="U52" s="445" t="s">
        <v>587</v>
      </c>
      <c r="V52" s="445" t="s">
        <v>1261</v>
      </c>
    </row>
    <row r="53" spans="2:22">
      <c r="B53" s="451">
        <v>24</v>
      </c>
      <c r="C53" s="464"/>
      <c r="D53" s="464" t="s">
        <v>614</v>
      </c>
      <c r="E53" s="451"/>
      <c r="F53" s="453"/>
      <c r="G53" s="451"/>
      <c r="H53" s="453"/>
      <c r="I53" s="451"/>
      <c r="J53" s="453"/>
      <c r="K53" s="451"/>
      <c r="L53" s="453"/>
      <c r="M53" s="451"/>
      <c r="N53" s="453"/>
      <c r="O53" s="451"/>
      <c r="P53" s="453"/>
      <c r="Q53" s="445" t="s">
        <v>476</v>
      </c>
      <c r="U53" s="445" t="s">
        <v>587</v>
      </c>
      <c r="V53" s="445" t="s">
        <v>1261</v>
      </c>
    </row>
    <row r="54" spans="2:22">
      <c r="B54" s="451">
        <v>25</v>
      </c>
      <c r="C54" s="464" t="s">
        <v>722</v>
      </c>
      <c r="D54" s="464" t="s">
        <v>723</v>
      </c>
      <c r="E54" s="451" t="s">
        <v>724</v>
      </c>
      <c r="F54" s="453">
        <v>6.0000000000000001E-3</v>
      </c>
      <c r="G54" s="451"/>
      <c r="H54" s="453"/>
      <c r="I54" s="451"/>
      <c r="J54" s="453"/>
      <c r="K54" s="451"/>
      <c r="L54" s="453"/>
      <c r="M54" s="451"/>
      <c r="N54" s="453"/>
      <c r="O54" s="451"/>
      <c r="P54" s="453"/>
      <c r="Q54" s="445" t="s">
        <v>476</v>
      </c>
      <c r="U54" s="445" t="s">
        <v>587</v>
      </c>
      <c r="V54" s="445" t="s">
        <v>1261</v>
      </c>
    </row>
  </sheetData>
  <phoneticPr fontId="2"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pageSetUpPr fitToPage="1"/>
  </sheetPr>
  <dimension ref="D5:K40"/>
  <sheetViews>
    <sheetView showGridLines="0" view="pageBreakPreview" zoomScale="85" zoomScaleNormal="100" zoomScaleSheetLayoutView="85" workbookViewId="0">
      <selection activeCell="E14" sqref="E14"/>
    </sheetView>
  </sheetViews>
  <sheetFormatPr defaultRowHeight="16.5"/>
  <cols>
    <col min="1" max="2" width="3.625" customWidth="1"/>
    <col min="3" max="3" width="6.5" customWidth="1"/>
    <col min="4" max="5" width="9.75" customWidth="1"/>
    <col min="6" max="6" width="15.625" customWidth="1"/>
    <col min="7" max="7" width="15.125" customWidth="1"/>
    <col min="8" max="8" width="3.625" customWidth="1"/>
    <col min="9" max="9" width="7.875" customWidth="1"/>
    <col min="10" max="10" width="8.75" customWidth="1"/>
    <col min="11" max="11" width="21.625" customWidth="1"/>
  </cols>
  <sheetData>
    <row r="5" spans="4:10" ht="93.75" customHeight="1">
      <c r="F5" s="2346" t="s">
        <v>1631</v>
      </c>
      <c r="G5" s="2347"/>
      <c r="H5" s="2347"/>
      <c r="I5" s="2347"/>
      <c r="J5" s="2347"/>
    </row>
    <row r="8" spans="4:10" ht="26.25">
      <c r="D8" s="886" t="s">
        <v>1632</v>
      </c>
      <c r="E8" s="886"/>
    </row>
    <row r="10" spans="4:10" ht="26.25">
      <c r="D10" s="886" t="s">
        <v>1633</v>
      </c>
      <c r="E10" s="886"/>
    </row>
    <row r="12" spans="4:10" ht="26.25">
      <c r="D12" s="886" t="s">
        <v>1634</v>
      </c>
      <c r="E12" s="886"/>
    </row>
    <row r="14" spans="4:10" ht="26.25">
      <c r="D14" s="886" t="s">
        <v>1635</v>
      </c>
      <c r="E14" s="886"/>
    </row>
    <row r="19" spans="4:11" ht="17.25" thickBot="1">
      <c r="D19" s="2348"/>
      <c r="E19" s="2348"/>
      <c r="F19" s="2348"/>
      <c r="G19" s="2348"/>
      <c r="H19" s="2348"/>
      <c r="I19" s="2348"/>
      <c r="J19" s="2348"/>
    </row>
    <row r="20" spans="4:11" ht="35.25" customHeight="1" thickBot="1">
      <c r="E20" s="2349" t="s">
        <v>1636</v>
      </c>
      <c r="F20" s="2350"/>
      <c r="G20" s="2351"/>
      <c r="I20" s="2349" t="s">
        <v>1637</v>
      </c>
      <c r="J20" s="2350"/>
      <c r="K20" s="2351"/>
    </row>
    <row r="21" spans="4:11">
      <c r="E21" s="2352"/>
      <c r="F21" s="2348"/>
      <c r="G21" s="2353"/>
      <c r="I21" s="2352"/>
      <c r="J21" s="2348"/>
      <c r="K21" s="2353"/>
    </row>
    <row r="22" spans="4:11" ht="53.25" customHeight="1">
      <c r="E22" s="2352"/>
      <c r="F22" s="2348"/>
      <c r="G22" s="2353"/>
      <c r="I22" s="2352"/>
      <c r="J22" s="2348"/>
      <c r="K22" s="2353"/>
    </row>
    <row r="23" spans="4:11" ht="17.25" thickBot="1">
      <c r="E23" s="2354"/>
      <c r="F23" s="2355"/>
      <c r="G23" s="2356"/>
      <c r="I23" s="2354"/>
      <c r="J23" s="2355"/>
      <c r="K23" s="2356"/>
    </row>
    <row r="27" spans="4:11" ht="57" customHeight="1" thickBot="1">
      <c r="D27" s="2344" t="s">
        <v>1638</v>
      </c>
      <c r="E27" s="2344"/>
      <c r="F27" s="887"/>
      <c r="G27" s="887"/>
      <c r="H27" t="s">
        <v>516</v>
      </c>
      <c r="I27" s="2345" t="s">
        <v>1639</v>
      </c>
      <c r="J27" s="2345"/>
      <c r="K27" s="888"/>
    </row>
    <row r="34" spans="6:11" ht="43.5" customHeight="1">
      <c r="F34" s="889" t="s">
        <v>1640</v>
      </c>
      <c r="G34" s="889"/>
      <c r="H34" s="889"/>
      <c r="I34" s="889"/>
    </row>
    <row r="38" spans="6:11" ht="30" customHeight="1" thickBot="1">
      <c r="H38" s="890" t="s">
        <v>1641</v>
      </c>
      <c r="K38" s="888"/>
    </row>
    <row r="39" spans="6:11" ht="23.25" customHeight="1"/>
    <row r="40" spans="6:11" ht="30" customHeight="1" thickBot="1">
      <c r="H40" s="890" t="s">
        <v>1642</v>
      </c>
      <c r="K40" s="888"/>
    </row>
  </sheetData>
  <mergeCells count="9">
    <mergeCell ref="D27:E27"/>
    <mergeCell ref="I27:J27"/>
    <mergeCell ref="F5:J5"/>
    <mergeCell ref="D19:G19"/>
    <mergeCell ref="H19:J19"/>
    <mergeCell ref="E20:G20"/>
    <mergeCell ref="I20:K20"/>
    <mergeCell ref="E21:G23"/>
    <mergeCell ref="I21:K23"/>
  </mergeCells>
  <phoneticPr fontId="2" type="noConversion"/>
  <pageMargins left="0.7" right="0.7" top="0.75" bottom="0.75" header="0.3" footer="0.3"/>
  <pageSetup paperSize="9" scale="74" orientation="portrait" r:id="rId1"/>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tabColor theme="4" tint="0.59999389629810485"/>
    <pageSetUpPr fitToPage="1"/>
  </sheetPr>
  <dimension ref="A1:DA52"/>
  <sheetViews>
    <sheetView showGridLines="0" topLeftCell="B1" zoomScale="85" zoomScaleNormal="85" zoomScaleSheetLayoutView="90" workbookViewId="0">
      <selection activeCell="E14" sqref="E14"/>
    </sheetView>
  </sheetViews>
  <sheetFormatPr defaultColWidth="5.5" defaultRowHeight="0" customHeight="1" zeroHeight="1"/>
  <cols>
    <col min="1" max="1" width="1.375" style="36" hidden="1" customWidth="1"/>
    <col min="2" max="39" width="3" style="36" customWidth="1"/>
    <col min="40" max="65" width="2.5" style="36" customWidth="1"/>
    <col min="66" max="66" width="3" style="36" customWidth="1"/>
    <col min="67" max="67" width="2.75" style="36" customWidth="1"/>
    <col min="68" max="68" width="9.125" style="36" customWidth="1"/>
    <col min="69" max="69" width="9" style="36" hidden="1" customWidth="1"/>
    <col min="70" max="70" width="10.5" style="36" hidden="1" customWidth="1"/>
    <col min="71" max="71" width="0.75" style="36" customWidth="1"/>
    <col min="72" max="72" width="17.125" style="36" customWidth="1"/>
    <col min="73" max="16384" width="5.5" style="36"/>
  </cols>
  <sheetData>
    <row r="1" spans="2:105" ht="20.100000000000001" customHeight="1">
      <c r="AF1" s="119"/>
      <c r="AM1" s="1194"/>
      <c r="AN1" s="2442" t="s">
        <v>3058</v>
      </c>
      <c r="AO1" s="2442"/>
      <c r="AP1" s="2442"/>
      <c r="AQ1" s="2442"/>
      <c r="AR1" s="2442"/>
      <c r="AS1" s="2442"/>
      <c r="AT1" s="2442"/>
      <c r="AU1" s="2442"/>
      <c r="AV1" s="2442"/>
      <c r="AW1" s="2442"/>
      <c r="AX1" s="2442"/>
      <c r="AY1" s="2442"/>
      <c r="AZ1" s="2442"/>
      <c r="BA1" s="2442"/>
      <c r="BB1" s="2442"/>
      <c r="BC1" s="2442"/>
      <c r="BD1" s="2442"/>
      <c r="BE1" s="2442"/>
      <c r="BF1" s="2442"/>
      <c r="BG1" s="2442"/>
      <c r="BH1" s="2442"/>
      <c r="BI1" s="2442"/>
      <c r="BJ1" s="2442"/>
      <c r="BK1" s="2442"/>
      <c r="BL1" s="2442"/>
      <c r="BM1" s="2442"/>
      <c r="BN1" s="1195"/>
    </row>
    <row r="2" spans="2:105" ht="20.100000000000001" customHeight="1" thickBot="1">
      <c r="AM2" s="1196"/>
      <c r="AN2" s="2443"/>
      <c r="AO2" s="2443"/>
      <c r="AP2" s="2443"/>
      <c r="AQ2" s="2443"/>
      <c r="AR2" s="2443"/>
      <c r="AS2" s="2443"/>
      <c r="AT2" s="2443"/>
      <c r="AU2" s="2443"/>
      <c r="AV2" s="2443"/>
      <c r="AW2" s="2443"/>
      <c r="AX2" s="2443"/>
      <c r="AY2" s="2443"/>
      <c r="AZ2" s="2443"/>
      <c r="BA2" s="2443"/>
      <c r="BB2" s="2443"/>
      <c r="BC2" s="2443"/>
      <c r="BD2" s="2443"/>
      <c r="BE2" s="2443"/>
      <c r="BF2" s="2443"/>
      <c r="BG2" s="2443"/>
      <c r="BH2" s="2443"/>
      <c r="BI2" s="2443"/>
      <c r="BJ2" s="2443"/>
      <c r="BK2" s="2443"/>
      <c r="BL2" s="2443"/>
      <c r="BM2" s="2443"/>
      <c r="BN2" s="1197"/>
      <c r="BT2" s="1057" t="s">
        <v>2481</v>
      </c>
      <c r="BU2"/>
      <c r="BV2"/>
      <c r="BW2"/>
      <c r="BX2"/>
    </row>
    <row r="3" spans="2:105" ht="20.100000000000001" customHeight="1" thickBot="1">
      <c r="D3" s="1561" t="str">
        <f>IF(BR3=1,"할부금융 견적서","금융리스 견적서")</f>
        <v>할부금융 견적서</v>
      </c>
      <c r="E3" s="1561"/>
      <c r="F3" s="1561"/>
      <c r="G3" s="1561"/>
      <c r="H3" s="1561"/>
      <c r="I3" s="1561"/>
      <c r="J3" s="1561"/>
      <c r="K3" s="1561"/>
      <c r="L3" s="1561"/>
      <c r="M3" s="1561"/>
      <c r="N3" s="1561"/>
      <c r="O3" s="1561"/>
      <c r="P3" s="1561"/>
      <c r="Q3" s="1561"/>
      <c r="R3" s="1561"/>
      <c r="S3" s="1561"/>
      <c r="T3" s="1561"/>
      <c r="U3" s="1561"/>
      <c r="V3" s="1561"/>
      <c r="W3" s="1561"/>
      <c r="X3" s="1561"/>
      <c r="Y3" s="1561"/>
      <c r="Z3" s="1561"/>
      <c r="AA3" s="1561"/>
      <c r="AB3" s="1561"/>
      <c r="AC3" s="1561"/>
      <c r="AD3" s="1561"/>
      <c r="AE3" s="1561"/>
      <c r="AF3" s="1561"/>
      <c r="AG3" s="1561"/>
      <c r="AH3" s="1561"/>
      <c r="AM3" s="1196"/>
      <c r="AN3" s="1190" t="s">
        <v>425</v>
      </c>
      <c r="AO3" s="1191"/>
      <c r="AP3" s="1191"/>
      <c r="AQ3" s="1191"/>
      <c r="AR3" s="1191"/>
      <c r="AS3" s="1191"/>
      <c r="AT3" s="1191"/>
      <c r="AU3" s="1191"/>
      <c r="AV3" s="1191"/>
      <c r="AW3" s="1191"/>
      <c r="AX3" s="1191"/>
      <c r="AY3" s="1191"/>
      <c r="AZ3" s="1191"/>
      <c r="BA3" s="1191"/>
      <c r="BB3" s="1191"/>
      <c r="BC3" s="1191"/>
      <c r="BD3" s="1191"/>
      <c r="BE3" s="1191"/>
      <c r="BF3" s="1191"/>
      <c r="BG3" s="1191"/>
      <c r="BH3" s="1191"/>
      <c r="BI3" s="1191"/>
      <c r="BJ3" s="1191"/>
      <c r="BK3" s="1191"/>
      <c r="BL3" s="1191"/>
      <c r="BM3" s="1191"/>
      <c r="BN3" s="1197"/>
      <c r="BO3" s="982"/>
      <c r="BR3" s="36">
        <v>1</v>
      </c>
      <c r="BT3" s="1058" t="s">
        <v>2482</v>
      </c>
    </row>
    <row r="4" spans="2:105" ht="20.100000000000001" customHeight="1">
      <c r="D4" s="1561"/>
      <c r="E4" s="1561"/>
      <c r="F4" s="1561"/>
      <c r="G4" s="1561"/>
      <c r="H4" s="1561"/>
      <c r="I4" s="1561"/>
      <c r="J4" s="1561"/>
      <c r="K4" s="1561"/>
      <c r="L4" s="1561"/>
      <c r="M4" s="1561"/>
      <c r="N4" s="1561"/>
      <c r="O4" s="1561"/>
      <c r="P4" s="1561"/>
      <c r="Q4" s="1561"/>
      <c r="R4" s="1561"/>
      <c r="S4" s="1561"/>
      <c r="T4" s="1561"/>
      <c r="U4" s="1561"/>
      <c r="V4" s="1561"/>
      <c r="W4" s="1561"/>
      <c r="X4" s="1561"/>
      <c r="Y4" s="1561"/>
      <c r="Z4" s="1561"/>
      <c r="AA4" s="1561"/>
      <c r="AB4" s="1561"/>
      <c r="AC4" s="1561"/>
      <c r="AD4" s="1561"/>
      <c r="AE4" s="1561"/>
      <c r="AF4" s="1561"/>
      <c r="AG4" s="1561"/>
      <c r="AH4" s="1561"/>
      <c r="AM4" s="1196"/>
      <c r="AN4" s="1841" t="s">
        <v>440</v>
      </c>
      <c r="AO4" s="1841"/>
      <c r="AP4" s="1841"/>
      <c r="AQ4" s="1841"/>
      <c r="AR4" s="1431"/>
      <c r="AS4" s="1842" t="s">
        <v>421</v>
      </c>
      <c r="AT4" s="1843"/>
      <c r="AU4" s="1843"/>
      <c r="AV4" s="1843"/>
      <c r="AW4" s="1843"/>
      <c r="AX4" s="1843"/>
      <c r="AY4" s="1843"/>
      <c r="AZ4" s="1843"/>
      <c r="BA4" s="1843"/>
      <c r="BB4" s="1843"/>
      <c r="BC4" s="1843"/>
      <c r="BD4" s="1843"/>
      <c r="BE4" s="1843"/>
      <c r="BF4" s="1843"/>
      <c r="BG4" s="1843"/>
      <c r="BH4" s="1843"/>
      <c r="BI4" s="1843"/>
      <c r="BJ4" s="1843"/>
      <c r="BK4" s="1843"/>
      <c r="BL4" s="1843"/>
      <c r="BM4" s="1844"/>
      <c r="BN4" s="1197"/>
    </row>
    <row r="5" spans="2:105" ht="20.100000000000001" customHeight="1">
      <c r="D5" s="1561"/>
      <c r="E5" s="1561"/>
      <c r="F5" s="1561"/>
      <c r="G5" s="1561"/>
      <c r="H5" s="1561"/>
      <c r="I5" s="1561"/>
      <c r="J5" s="1561"/>
      <c r="K5" s="1561"/>
      <c r="L5" s="1561"/>
      <c r="M5" s="1561"/>
      <c r="N5" s="1561"/>
      <c r="O5" s="1561"/>
      <c r="P5" s="1561"/>
      <c r="Q5" s="1561"/>
      <c r="R5" s="1561"/>
      <c r="S5" s="1561"/>
      <c r="T5" s="1561"/>
      <c r="U5" s="1561"/>
      <c r="V5" s="1561"/>
      <c r="W5" s="1561"/>
      <c r="X5" s="1561"/>
      <c r="Y5" s="1561"/>
      <c r="Z5" s="1561"/>
      <c r="AA5" s="1561"/>
      <c r="AB5" s="1561"/>
      <c r="AC5" s="1561"/>
      <c r="AD5" s="1561"/>
      <c r="AE5" s="1561"/>
      <c r="AF5" s="1561"/>
      <c r="AG5" s="1561"/>
      <c r="AH5" s="1561"/>
      <c r="AM5" s="1196"/>
      <c r="AN5" s="1406" t="s">
        <v>209</v>
      </c>
      <c r="AO5" s="1422"/>
      <c r="AP5" s="1422"/>
      <c r="AQ5" s="1422"/>
      <c r="AR5" s="1422"/>
      <c r="AS5" s="1530" t="str">
        <f>'AG 입력시트'!S5</f>
        <v>국산</v>
      </c>
      <c r="AT5" s="1531"/>
      <c r="AU5" s="1531"/>
      <c r="AV5" s="1531"/>
      <c r="AW5" s="1531"/>
      <c r="AX5" s="1531"/>
      <c r="AY5" s="1531"/>
      <c r="AZ5" s="1531"/>
      <c r="BA5" s="1531"/>
      <c r="BB5" s="1531"/>
      <c r="BC5" s="1531"/>
      <c r="BD5" s="1531"/>
      <c r="BE5" s="1531"/>
      <c r="BF5" s="1531"/>
      <c r="BG5" s="1531"/>
      <c r="BH5" s="1531"/>
      <c r="BI5" s="1531"/>
      <c r="BJ5" s="1531"/>
      <c r="BK5" s="1531"/>
      <c r="BL5" s="1531"/>
      <c r="BM5" s="1532"/>
      <c r="BN5" s="1197"/>
    </row>
    <row r="6" spans="2:105" ht="20.100000000000001" customHeight="1">
      <c r="Y6" s="1583" t="str">
        <f>할부!AS4</f>
        <v>VVIP 고객님</v>
      </c>
      <c r="Z6" s="1583"/>
      <c r="AA6" s="1583"/>
      <c r="AB6" s="1583"/>
      <c r="AC6" s="1583"/>
      <c r="AD6" s="1583"/>
      <c r="AE6" s="1583"/>
      <c r="AF6" s="1583"/>
      <c r="AG6" s="1584" t="s">
        <v>273</v>
      </c>
      <c r="AH6" s="1584"/>
      <c r="AM6" s="1196"/>
      <c r="AN6" s="1406" t="s">
        <v>210</v>
      </c>
      <c r="AO6" s="1422"/>
      <c r="AP6" s="1422"/>
      <c r="AQ6" s="1422"/>
      <c r="AR6" s="1422"/>
      <c r="AS6" s="1530" t="str">
        <f>'AG 입력시트'!S7</f>
        <v>현대</v>
      </c>
      <c r="AT6" s="1531"/>
      <c r="AU6" s="1531"/>
      <c r="AV6" s="1531"/>
      <c r="AW6" s="1531"/>
      <c r="AX6" s="1531"/>
      <c r="AY6" s="1531"/>
      <c r="AZ6" s="1531"/>
      <c r="BA6" s="1531"/>
      <c r="BB6" s="1531"/>
      <c r="BC6" s="1531"/>
      <c r="BD6" s="1531"/>
      <c r="BE6" s="1531"/>
      <c r="BF6" s="1531"/>
      <c r="BG6" s="1531"/>
      <c r="BH6" s="1531"/>
      <c r="BI6" s="1531"/>
      <c r="BJ6" s="1531"/>
      <c r="BK6" s="1531"/>
      <c r="BL6" s="1531"/>
      <c r="BM6" s="1532"/>
      <c r="BN6" s="1197"/>
    </row>
    <row r="7" spans="2:105" ht="20.100000000000001" customHeight="1">
      <c r="Y7" s="1584" t="s">
        <v>427</v>
      </c>
      <c r="Z7" s="1584"/>
      <c r="AA7" s="1584"/>
      <c r="AB7" s="1594">
        <f ca="1">TODAY()</f>
        <v>45646</v>
      </c>
      <c r="AC7" s="1594"/>
      <c r="AD7" s="1594"/>
      <c r="AE7" s="1594"/>
      <c r="AF7" s="1594"/>
      <c r="AG7" s="1594"/>
      <c r="AM7" s="1196"/>
      <c r="AN7" s="1406" t="s">
        <v>212</v>
      </c>
      <c r="AO7" s="1422"/>
      <c r="AP7" s="1422"/>
      <c r="AQ7" s="1422"/>
      <c r="AR7" s="1422"/>
      <c r="AS7" s="2449" t="s">
        <v>3060</v>
      </c>
      <c r="AT7" s="2450"/>
      <c r="AU7" s="2450"/>
      <c r="AV7" s="2450"/>
      <c r="AW7" s="2450"/>
      <c r="AX7" s="2450"/>
      <c r="AY7" s="2450"/>
      <c r="AZ7" s="2450"/>
      <c r="BA7" s="2450"/>
      <c r="BB7" s="2450"/>
      <c r="BC7" s="2450"/>
      <c r="BD7" s="2450"/>
      <c r="BE7" s="2450"/>
      <c r="BF7" s="2450"/>
      <c r="BG7" s="2450"/>
      <c r="BH7" s="2450"/>
      <c r="BI7" s="2450"/>
      <c r="BJ7" s="2450"/>
      <c r="BK7" s="2450"/>
      <c r="BL7" s="2450"/>
      <c r="BM7" s="2451"/>
      <c r="BN7" s="1197"/>
    </row>
    <row r="8" spans="2:105" ht="20.100000000000001" customHeight="1">
      <c r="D8" s="53" t="s">
        <v>447</v>
      </c>
      <c r="E8" s="47" t="s">
        <v>448</v>
      </c>
      <c r="AB8" s="2452"/>
      <c r="AC8" s="1584"/>
      <c r="AD8" s="1584"/>
      <c r="AE8" s="1584"/>
      <c r="AF8" s="1584"/>
      <c r="AG8" s="1584"/>
      <c r="AI8" s="1122" t="str">
        <f>할부금융계산!B1</f>
        <v>Ver.241202</v>
      </c>
      <c r="AM8" s="1196"/>
      <c r="AN8" s="1406"/>
      <c r="AO8" s="1422"/>
      <c r="AP8" s="1422"/>
      <c r="AQ8" s="1422"/>
      <c r="AR8" s="1422"/>
      <c r="AS8" s="2449"/>
      <c r="AT8" s="2450"/>
      <c r="AU8" s="2450"/>
      <c r="AV8" s="2450"/>
      <c r="AW8" s="2450"/>
      <c r="AX8" s="2450"/>
      <c r="AY8" s="2450"/>
      <c r="AZ8" s="2450"/>
      <c r="BA8" s="2450"/>
      <c r="BB8" s="2450"/>
      <c r="BC8" s="2450"/>
      <c r="BD8" s="2450"/>
      <c r="BE8" s="2450"/>
      <c r="BF8" s="2450"/>
      <c r="BG8" s="2450"/>
      <c r="BH8" s="2450"/>
      <c r="BI8" s="2450"/>
      <c r="BJ8" s="2450"/>
      <c r="BK8" s="2450"/>
      <c r="BL8" s="2450"/>
      <c r="BM8" s="2451"/>
      <c r="BN8" s="1197"/>
    </row>
    <row r="9" spans="2:105" ht="20.100000000000001" customHeight="1" thickBot="1">
      <c r="D9" s="1500" t="s">
        <v>210</v>
      </c>
      <c r="E9" s="1501"/>
      <c r="F9" s="1501"/>
      <c r="G9" s="1501"/>
      <c r="H9" s="1501"/>
      <c r="I9" s="1501"/>
      <c r="J9" s="1501"/>
      <c r="K9" s="1774" t="str">
        <f>AS6</f>
        <v>현대</v>
      </c>
      <c r="L9" s="1774"/>
      <c r="M9" s="1774"/>
      <c r="N9" s="1774"/>
      <c r="O9" s="1774"/>
      <c r="P9" s="1774"/>
      <c r="Q9" s="1774"/>
      <c r="R9" s="1774"/>
      <c r="S9" s="1774"/>
      <c r="T9" s="1774"/>
      <c r="U9" s="1774"/>
      <c r="V9" s="1774"/>
      <c r="W9" s="1774"/>
      <c r="X9" s="1774"/>
      <c r="Y9" s="1774"/>
      <c r="Z9" s="1774"/>
      <c r="AA9" s="1774"/>
      <c r="AB9" s="1774"/>
      <c r="AC9" s="1774"/>
      <c r="AD9" s="1774"/>
      <c r="AE9" s="1774"/>
      <c r="AF9" s="1774"/>
      <c r="AG9" s="1774"/>
      <c r="AH9" s="1774"/>
      <c r="AI9" s="1775"/>
      <c r="AJ9" s="68"/>
      <c r="AM9" s="1196"/>
      <c r="AN9" s="1425" t="s">
        <v>28</v>
      </c>
      <c r="AO9" s="1426"/>
      <c r="AP9" s="1426"/>
      <c r="AQ9" s="1426"/>
      <c r="AR9" s="1426"/>
      <c r="AS9" s="2444">
        <f>VLOOKUP(AS7,차량정보!D:O,2,0)</f>
        <v>1999</v>
      </c>
      <c r="AT9" s="2445"/>
      <c r="AU9" s="2445"/>
      <c r="AV9" s="2445"/>
      <c r="AW9" s="2445"/>
      <c r="AX9" s="2445"/>
      <c r="AY9" s="2445"/>
      <c r="AZ9" s="2445"/>
      <c r="BA9" s="2445"/>
      <c r="BB9" s="2445"/>
      <c r="BC9" s="2445"/>
      <c r="BD9" s="2445"/>
      <c r="BE9" s="2445"/>
      <c r="BF9" s="2445"/>
      <c r="BG9" s="2445"/>
      <c r="BH9" s="2445"/>
      <c r="BI9" s="2445"/>
      <c r="BJ9" s="2445"/>
      <c r="BK9" s="2445"/>
      <c r="BL9" s="2445"/>
      <c r="BM9" s="2446"/>
      <c r="BN9" s="1197"/>
    </row>
    <row r="10" spans="2:105" ht="20.100000000000001" customHeight="1" thickBot="1">
      <c r="D10" s="1500" t="s">
        <v>275</v>
      </c>
      <c r="E10" s="1501"/>
      <c r="F10" s="1501"/>
      <c r="G10" s="1501"/>
      <c r="H10" s="1501"/>
      <c r="I10" s="1501"/>
      <c r="J10" s="1501"/>
      <c r="K10" s="2447" t="str">
        <f>IF(할부!AS39="기타","",할부!AS39)</f>
        <v/>
      </c>
      <c r="L10" s="2447"/>
      <c r="M10" s="2447"/>
      <c r="N10" s="2447"/>
      <c r="O10" s="2447"/>
      <c r="P10" s="2447"/>
      <c r="Q10" s="2447"/>
      <c r="R10" s="2447"/>
      <c r="S10" s="2447"/>
      <c r="T10" s="2447"/>
      <c r="U10" s="2447"/>
      <c r="V10" s="2447"/>
      <c r="W10" s="2447"/>
      <c r="X10" s="2447"/>
      <c r="Y10" s="2447"/>
      <c r="Z10" s="2447"/>
      <c r="AA10" s="2447"/>
      <c r="AB10" s="2447"/>
      <c r="AC10" s="2447"/>
      <c r="AD10" s="2447"/>
      <c r="AE10" s="2447"/>
      <c r="AF10" s="2447"/>
      <c r="AG10" s="2447"/>
      <c r="AH10" s="2447"/>
      <c r="AI10" s="2448"/>
      <c r="AJ10" s="69"/>
      <c r="AM10" s="1196"/>
      <c r="AN10" s="1190" t="s">
        <v>426</v>
      </c>
      <c r="AO10" s="1191"/>
      <c r="AP10" s="1191"/>
      <c r="AQ10" s="1191"/>
      <c r="AR10" s="1191"/>
      <c r="AS10" s="1191"/>
      <c r="AT10" s="1191"/>
      <c r="AU10" s="1191"/>
      <c r="AV10" s="1191"/>
      <c r="AW10" s="1191"/>
      <c r="AX10" s="1191"/>
      <c r="AY10" s="1191"/>
      <c r="AZ10" s="1191"/>
      <c r="BA10" s="1191"/>
      <c r="BB10" s="1191"/>
      <c r="BC10" s="1191"/>
      <c r="BD10" s="1191"/>
      <c r="BE10" s="1191"/>
      <c r="BF10" s="1191"/>
      <c r="BG10" s="1191"/>
      <c r="BH10" s="1191"/>
      <c r="BI10" s="1191"/>
      <c r="BJ10" s="1191"/>
      <c r="BK10" s="1191"/>
      <c r="BL10" s="1191"/>
      <c r="BM10" s="1191"/>
      <c r="BN10" s="1197"/>
      <c r="BT10" s="36" t="s">
        <v>516</v>
      </c>
    </row>
    <row r="11" spans="2:105" ht="20.100000000000001" customHeight="1">
      <c r="D11" s="1500" t="s">
        <v>274</v>
      </c>
      <c r="E11" s="1501"/>
      <c r="F11" s="1501"/>
      <c r="G11" s="1501"/>
      <c r="H11" s="1501"/>
      <c r="I11" s="1501"/>
      <c r="J11" s="1501"/>
      <c r="K11" s="1775" t="str">
        <f>AS7</f>
        <v>C 300 4M AV</v>
      </c>
      <c r="L11" s="1585"/>
      <c r="M11" s="1585"/>
      <c r="N11" s="1585"/>
      <c r="O11" s="1585"/>
      <c r="P11" s="1585"/>
      <c r="Q11" s="1585"/>
      <c r="R11" s="1585"/>
      <c r="S11" s="1585"/>
      <c r="T11" s="1585"/>
      <c r="U11" s="1585"/>
      <c r="V11" s="1585"/>
      <c r="W11" s="1585"/>
      <c r="X11" s="1585"/>
      <c r="Y11" s="1585"/>
      <c r="Z11" s="1585"/>
      <c r="AA11" s="1585"/>
      <c r="AB11" s="1585"/>
      <c r="AC11" s="1585"/>
      <c r="AD11" s="1592">
        <f>AS9</f>
        <v>1999</v>
      </c>
      <c r="AE11" s="1592"/>
      <c r="AF11" s="1592"/>
      <c r="AG11" s="1592"/>
      <c r="AH11" s="1592"/>
      <c r="AI11" s="1592"/>
      <c r="AJ11" s="70"/>
      <c r="AM11" s="1196"/>
      <c r="AN11" s="1587" t="s">
        <v>240</v>
      </c>
      <c r="AO11" s="1588"/>
      <c r="AP11" s="1588"/>
      <c r="AQ11" s="1588"/>
      <c r="AR11" s="1589"/>
      <c r="AS11" s="1629">
        <v>50000000</v>
      </c>
      <c r="AT11" s="1630"/>
      <c r="AU11" s="1630"/>
      <c r="AV11" s="1630"/>
      <c r="AW11" s="1630"/>
      <c r="AX11" s="1630"/>
      <c r="AY11" s="1630"/>
      <c r="AZ11" s="1630"/>
      <c r="BA11" s="1630"/>
      <c r="BB11" s="1630"/>
      <c r="BC11" s="1630"/>
      <c r="BD11" s="1630"/>
      <c r="BE11" s="1630"/>
      <c r="BF11" s="1630"/>
      <c r="BG11" s="1630"/>
      <c r="BH11" s="1630"/>
      <c r="BI11" s="1630"/>
      <c r="BJ11" s="1630"/>
      <c r="BK11" s="1630"/>
      <c r="BL11" s="1630"/>
      <c r="BM11" s="1631"/>
      <c r="BN11" s="1197"/>
    </row>
    <row r="12" spans="2:105" ht="20.100000000000001" customHeight="1">
      <c r="D12" s="1536" t="s">
        <v>279</v>
      </c>
      <c r="E12" s="1537"/>
      <c r="F12" s="1537"/>
      <c r="G12" s="1537"/>
      <c r="H12" s="1537"/>
      <c r="I12" s="1537"/>
      <c r="J12" s="1537"/>
      <c r="K12" s="2438">
        <f>AS11</f>
        <v>50000000</v>
      </c>
      <c r="L12" s="2438"/>
      <c r="M12" s="2438"/>
      <c r="N12" s="2438"/>
      <c r="O12" s="2438"/>
      <c r="P12" s="2438"/>
      <c r="Q12" s="2438"/>
      <c r="R12" s="2438"/>
      <c r="S12" s="2438"/>
      <c r="T12" s="2438"/>
      <c r="U12" s="2438"/>
      <c r="V12" s="2438"/>
      <c r="W12" s="2438"/>
      <c r="X12" s="2438"/>
      <c r="Y12" s="2438"/>
      <c r="Z12" s="2438"/>
      <c r="AA12" s="2438"/>
      <c r="AB12" s="2438"/>
      <c r="AC12" s="2438"/>
      <c r="AD12" s="2438"/>
      <c r="AE12" s="2438"/>
      <c r="AF12" s="2438"/>
      <c r="AG12" s="2438"/>
      <c r="AH12" s="2438"/>
      <c r="AI12" s="1573"/>
      <c r="AJ12" s="71"/>
      <c r="AM12" s="1196"/>
      <c r="AN12" s="1406" t="s">
        <v>428</v>
      </c>
      <c r="AO12" s="1422"/>
      <c r="AP12" s="1422"/>
      <c r="AQ12" s="1422"/>
      <c r="AR12" s="1422"/>
      <c r="AS12" s="1599">
        <f>AS28*VLOOKUP(할부!AS39,제휴조건!$D$32:$H$53,5,0)</f>
        <v>0</v>
      </c>
      <c r="AT12" s="1600"/>
      <c r="AU12" s="1600"/>
      <c r="AV12" s="1600"/>
      <c r="AW12" s="1600"/>
      <c r="AX12" s="1600"/>
      <c r="AY12" s="1192"/>
      <c r="AZ12" s="1192"/>
      <c r="BA12" s="1622" t="s">
        <v>241</v>
      </c>
      <c r="BB12" s="1623"/>
      <c r="BC12" s="1623"/>
      <c r="BD12" s="1623"/>
      <c r="BE12" s="1829"/>
      <c r="BF12" s="1830">
        <v>0</v>
      </c>
      <c r="BG12" s="1624"/>
      <c r="BH12" s="1624"/>
      <c r="BI12" s="1624"/>
      <c r="BJ12" s="1624"/>
      <c r="BK12" s="1624"/>
      <c r="BL12" s="1624"/>
      <c r="BM12" s="1625"/>
      <c r="BN12" s="1198"/>
    </row>
    <row r="13" spans="2:105" ht="20.100000000000001" customHeight="1">
      <c r="D13" s="1536" t="s">
        <v>241</v>
      </c>
      <c r="E13" s="1537"/>
      <c r="F13" s="1537"/>
      <c r="G13" s="1537"/>
      <c r="H13" s="1537"/>
      <c r="I13" s="1537"/>
      <c r="J13" s="1537"/>
      <c r="K13" s="2438">
        <f>BF12</f>
        <v>0</v>
      </c>
      <c r="L13" s="2438"/>
      <c r="M13" s="2438"/>
      <c r="N13" s="2438"/>
      <c r="O13" s="2438"/>
      <c r="P13" s="2438"/>
      <c r="Q13" s="2438"/>
      <c r="R13" s="2438"/>
      <c r="S13" s="2438"/>
      <c r="T13" s="2438"/>
      <c r="U13" s="2438"/>
      <c r="V13" s="2438"/>
      <c r="W13" s="2438"/>
      <c r="X13" s="2438"/>
      <c r="Y13" s="2438"/>
      <c r="Z13" s="2438"/>
      <c r="AA13" s="2438"/>
      <c r="AB13" s="2438"/>
      <c r="AC13" s="2438"/>
      <c r="AD13" s="2438"/>
      <c r="AE13" s="2438"/>
      <c r="AF13" s="2438"/>
      <c r="AG13" s="2438"/>
      <c r="AH13" s="2438"/>
      <c r="AI13" s="1573"/>
      <c r="AJ13" s="71"/>
      <c r="AM13" s="1196"/>
      <c r="AN13" s="1417" t="s">
        <v>261</v>
      </c>
      <c r="AO13" s="1418"/>
      <c r="AP13" s="1418"/>
      <c r="AQ13" s="1418"/>
      <c r="AR13" s="1418"/>
      <c r="AS13" s="2439">
        <v>0</v>
      </c>
      <c r="AT13" s="1839"/>
      <c r="AU13" s="1839"/>
      <c r="AV13" s="1839"/>
      <c r="AW13" s="1839"/>
      <c r="AX13" s="1839"/>
      <c r="AY13" s="1189"/>
      <c r="AZ13" s="1189"/>
      <c r="BA13" s="1579" t="s">
        <v>432</v>
      </c>
      <c r="BB13" s="1580"/>
      <c r="BC13" s="1580"/>
      <c r="BD13" s="1580"/>
      <c r="BE13" s="1780"/>
      <c r="BF13" s="1781">
        <f>할부!AS12+할부!AS13</f>
        <v>0</v>
      </c>
      <c r="BG13" s="1782"/>
      <c r="BH13" s="1782"/>
      <c r="BI13" s="1782"/>
      <c r="BJ13" s="1782"/>
      <c r="BK13" s="1782"/>
      <c r="BL13" s="1782"/>
      <c r="BM13" s="1783"/>
      <c r="BN13" s="1199"/>
    </row>
    <row r="14" spans="2:105" s="40" customFormat="1" ht="20.100000000000001" customHeight="1">
      <c r="B14" s="36"/>
      <c r="C14" s="36"/>
      <c r="D14" s="1536" t="s">
        <v>276</v>
      </c>
      <c r="E14" s="1537"/>
      <c r="F14" s="1537"/>
      <c r="G14" s="1537"/>
      <c r="H14" s="1537"/>
      <c r="I14" s="1537"/>
      <c r="J14" s="1537"/>
      <c r="K14" s="2438">
        <f>BF13</f>
        <v>0</v>
      </c>
      <c r="L14" s="2438"/>
      <c r="M14" s="2438"/>
      <c r="N14" s="2438"/>
      <c r="O14" s="2438"/>
      <c r="P14" s="2438"/>
      <c r="Q14" s="2438"/>
      <c r="R14" s="2438"/>
      <c r="S14" s="2438"/>
      <c r="T14" s="2438"/>
      <c r="U14" s="2438"/>
      <c r="V14" s="2438"/>
      <c r="W14" s="2438"/>
      <c r="X14" s="2438"/>
      <c r="Y14" s="2438"/>
      <c r="Z14" s="2438"/>
      <c r="AA14" s="2438"/>
      <c r="AB14" s="2438"/>
      <c r="AC14" s="2438"/>
      <c r="AD14" s="2438"/>
      <c r="AE14" s="2438"/>
      <c r="AF14" s="2438"/>
      <c r="AG14" s="2438"/>
      <c r="AH14" s="2438"/>
      <c r="AI14" s="1573"/>
      <c r="AJ14" s="71"/>
      <c r="AK14" s="38"/>
      <c r="AL14" s="36"/>
      <c r="AM14" s="1196"/>
      <c r="AN14" s="1406" t="s">
        <v>429</v>
      </c>
      <c r="AO14" s="1422"/>
      <c r="AP14" s="1422"/>
      <c r="AQ14" s="1422"/>
      <c r="AR14" s="1422"/>
      <c r="AS14" s="1650">
        <f>SUM(AS11,BF12)-BF13</f>
        <v>50000000</v>
      </c>
      <c r="AT14" s="1651"/>
      <c r="AU14" s="1651"/>
      <c r="AV14" s="1651"/>
      <c r="AW14" s="1651"/>
      <c r="AX14" s="1651"/>
      <c r="AY14" s="2440"/>
      <c r="AZ14" s="2440"/>
      <c r="BA14" s="1651"/>
      <c r="BB14" s="1651"/>
      <c r="BC14" s="1651"/>
      <c r="BD14" s="1651"/>
      <c r="BE14" s="1651"/>
      <c r="BF14" s="1651"/>
      <c r="BG14" s="1651"/>
      <c r="BH14" s="1651"/>
      <c r="BI14" s="1651"/>
      <c r="BJ14" s="1651"/>
      <c r="BK14" s="1651"/>
      <c r="BL14" s="1651"/>
      <c r="BM14" s="1652"/>
      <c r="BN14" s="1197"/>
      <c r="BO14" s="37"/>
      <c r="BP14" s="36"/>
      <c r="BQ14" s="36"/>
      <c r="BR14" s="39"/>
      <c r="BS14" s="39"/>
      <c r="BT14" s="39"/>
      <c r="BU14" s="39"/>
      <c r="BV14" s="39"/>
      <c r="BW14" s="39"/>
      <c r="BX14" s="39"/>
      <c r="BY14" s="39"/>
      <c r="BZ14" s="39"/>
      <c r="CA14" s="39"/>
      <c r="CB14" s="39"/>
      <c r="CC14" s="39"/>
      <c r="CD14" s="39"/>
      <c r="CE14" s="39"/>
      <c r="CF14" s="39"/>
      <c r="CG14" s="39"/>
      <c r="CH14" s="39"/>
      <c r="CI14" s="39"/>
      <c r="CJ14" s="39"/>
      <c r="CK14" s="39"/>
      <c r="CL14" s="39"/>
      <c r="CM14" s="39"/>
      <c r="CN14" s="39"/>
      <c r="CO14" s="39"/>
      <c r="CP14" s="39"/>
      <c r="CQ14" s="39"/>
      <c r="CR14" s="39"/>
      <c r="CS14" s="39"/>
      <c r="CT14" s="39"/>
      <c r="CU14" s="39"/>
      <c r="CV14" s="39"/>
      <c r="CW14" s="39"/>
      <c r="CX14" s="39"/>
      <c r="CY14" s="39"/>
      <c r="CZ14" s="39"/>
      <c r="DA14" s="39"/>
    </row>
    <row r="15" spans="2:105" s="40" customFormat="1" ht="20.100000000000001" customHeight="1" thickBot="1">
      <c r="B15" s="36"/>
      <c r="C15" s="36"/>
      <c r="D15" s="36"/>
      <c r="E15" s="37"/>
      <c r="F15" s="37"/>
      <c r="G15" s="37"/>
      <c r="H15" s="37"/>
      <c r="I15" s="37"/>
      <c r="J15" s="37"/>
      <c r="K15" s="37"/>
      <c r="L15" s="37"/>
      <c r="M15" s="37"/>
      <c r="N15" s="37"/>
      <c r="O15" s="37"/>
      <c r="P15" s="37"/>
      <c r="Q15" s="37"/>
      <c r="R15" s="37"/>
      <c r="S15" s="36"/>
      <c r="T15" s="37"/>
      <c r="U15" s="37"/>
      <c r="V15" s="37"/>
      <c r="W15" s="37"/>
      <c r="X15" s="37"/>
      <c r="Y15" s="37"/>
      <c r="Z15" s="37"/>
      <c r="AA15" s="37"/>
      <c r="AB15" s="37"/>
      <c r="AC15" s="37"/>
      <c r="AD15" s="37"/>
      <c r="AE15" s="37"/>
      <c r="AF15" s="37"/>
      <c r="AG15" s="37"/>
      <c r="AH15" s="37"/>
      <c r="AI15" s="36"/>
      <c r="AJ15" s="36"/>
      <c r="AK15" s="38"/>
      <c r="AL15" s="36"/>
      <c r="AM15" s="1196"/>
      <c r="AN15" s="1555" t="s">
        <v>253</v>
      </c>
      <c r="AO15" s="1556"/>
      <c r="AP15" s="1556"/>
      <c r="AQ15" s="1556"/>
      <c r="AR15" s="1556"/>
      <c r="AS15" s="1609">
        <f>AS14+IF(BR20=TRUE,IF(AS5="국산",할부!BD22,0))</f>
        <v>50000000</v>
      </c>
      <c r="AT15" s="1610"/>
      <c r="AU15" s="1610"/>
      <c r="AV15" s="1610"/>
      <c r="AW15" s="1610"/>
      <c r="AX15" s="1610"/>
      <c r="AY15" s="1610"/>
      <c r="AZ15" s="1610"/>
      <c r="BA15" s="1610"/>
      <c r="BB15" s="1610"/>
      <c r="BC15" s="1610"/>
      <c r="BD15" s="1610"/>
      <c r="BE15" s="1610"/>
      <c r="BF15" s="1610"/>
      <c r="BG15" s="1610"/>
      <c r="BH15" s="1610"/>
      <c r="BI15" s="1610"/>
      <c r="BJ15" s="1610"/>
      <c r="BK15" s="1610"/>
      <c r="BL15" s="1610"/>
      <c r="BM15" s="1611"/>
      <c r="BN15" s="1197"/>
      <c r="BO15" s="37"/>
      <c r="BP15" s="36"/>
      <c r="BQ15" s="36"/>
      <c r="BR15" s="39"/>
      <c r="BS15" s="39"/>
      <c r="BT15" s="39"/>
      <c r="BU15" s="39"/>
      <c r="BV15" s="39"/>
      <c r="BW15" s="39"/>
      <c r="BX15" s="39"/>
      <c r="BY15" s="39"/>
      <c r="BZ15" s="39"/>
      <c r="CA15" s="39"/>
      <c r="CB15" s="39"/>
      <c r="CC15" s="39"/>
      <c r="CD15" s="39"/>
      <c r="CE15" s="39"/>
      <c r="CF15" s="39"/>
      <c r="CG15" s="39"/>
      <c r="CH15" s="39"/>
      <c r="CI15" s="39"/>
      <c r="CJ15" s="39"/>
      <c r="CK15" s="39"/>
      <c r="CL15" s="39"/>
      <c r="CM15" s="39"/>
      <c r="CN15" s="39"/>
      <c r="CO15" s="39"/>
      <c r="CP15" s="39"/>
      <c r="CQ15" s="39"/>
      <c r="CR15" s="39"/>
      <c r="CS15" s="39"/>
      <c r="CT15" s="39"/>
      <c r="CU15" s="39"/>
      <c r="CV15" s="39"/>
      <c r="CW15" s="39"/>
      <c r="CX15" s="39"/>
      <c r="CY15" s="39"/>
      <c r="CZ15" s="39"/>
      <c r="DA15" s="39"/>
    </row>
    <row r="16" spans="2:105" ht="20.100000000000001" customHeight="1" thickBot="1">
      <c r="D16" s="53" t="s">
        <v>447</v>
      </c>
      <c r="E16" s="51" t="s">
        <v>450</v>
      </c>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42"/>
      <c r="AL16" s="38"/>
      <c r="AM16" s="1196"/>
      <c r="AN16" s="1190" t="s">
        <v>254</v>
      </c>
      <c r="AO16" s="1191"/>
      <c r="AP16" s="1191"/>
      <c r="AQ16" s="1191"/>
      <c r="AR16" s="1191"/>
      <c r="AS16" s="1191"/>
      <c r="AT16" s="1191"/>
      <c r="AU16" s="1191"/>
      <c r="AV16" s="1191"/>
      <c r="AW16" s="1191"/>
      <c r="AX16" s="1191"/>
      <c r="AY16" s="1191"/>
      <c r="AZ16" s="1191"/>
      <c r="BA16" s="1191"/>
      <c r="BB16" s="1191"/>
      <c r="BC16" s="1191"/>
      <c r="BD16" s="1191"/>
      <c r="BE16" s="1191"/>
      <c r="BF16" s="1191"/>
      <c r="BG16" s="1191"/>
      <c r="BH16" s="1191"/>
      <c r="BI16" s="1191"/>
      <c r="BJ16" s="1191"/>
      <c r="BK16" s="1191"/>
      <c r="BL16" s="1191"/>
      <c r="BM16" s="1191"/>
      <c r="BN16" s="1197"/>
    </row>
    <row r="17" spans="4:77" ht="20.100000000000001" customHeight="1">
      <c r="D17" s="2378" t="s">
        <v>278</v>
      </c>
      <c r="E17" s="2430"/>
      <c r="F17" s="2430"/>
      <c r="G17" s="2430"/>
      <c r="H17" s="2430"/>
      <c r="I17" s="2430"/>
      <c r="J17" s="2430"/>
      <c r="K17" s="2431">
        <f>AS14</f>
        <v>50000000</v>
      </c>
      <c r="L17" s="2431"/>
      <c r="M17" s="2431"/>
      <c r="N17" s="2431"/>
      <c r="O17" s="2431"/>
      <c r="P17" s="2431"/>
      <c r="Q17" s="2431"/>
      <c r="R17" s="2432"/>
      <c r="S17" s="35"/>
      <c r="T17" s="2377" t="str">
        <f>IF(BR3=1,"할부기간","리스기간")</f>
        <v>할부기간</v>
      </c>
      <c r="U17" s="2377"/>
      <c r="V17" s="2377"/>
      <c r="W17" s="2377"/>
      <c r="X17" s="2377"/>
      <c r="Y17" s="2377"/>
      <c r="Z17" s="2378"/>
      <c r="AA17" s="1577">
        <f>+AS27</f>
        <v>48</v>
      </c>
      <c r="AB17" s="1577"/>
      <c r="AC17" s="1577"/>
      <c r="AD17" s="1577"/>
      <c r="AE17" s="1577"/>
      <c r="AF17" s="1577"/>
      <c r="AG17" s="1577"/>
      <c r="AH17" s="1577"/>
      <c r="AI17" s="1577"/>
      <c r="AJ17" s="72"/>
      <c r="AL17" s="38"/>
      <c r="AM17" s="1196"/>
      <c r="AN17" s="1522" t="s">
        <v>45</v>
      </c>
      <c r="AO17" s="1522"/>
      <c r="AP17" s="1522"/>
      <c r="AQ17" s="1522"/>
      <c r="AR17" s="1523"/>
      <c r="AS17" s="1634">
        <f>IF($BR$18=FALSE,할부금융계산!C8,BD18)</f>
        <v>3181810</v>
      </c>
      <c r="AT17" s="1635"/>
      <c r="AU17" s="1635"/>
      <c r="AV17" s="1635"/>
      <c r="AW17" s="1635"/>
      <c r="AX17" s="1635"/>
      <c r="AY17" s="1635"/>
      <c r="AZ17" s="1635"/>
      <c r="BA17" s="1635"/>
      <c r="BB17" s="1635"/>
      <c r="BC17" s="1635"/>
      <c r="BD17" s="1635"/>
      <c r="BE17" s="1635"/>
      <c r="BF17" s="1635"/>
      <c r="BG17" s="1635"/>
      <c r="BH17" s="1635"/>
      <c r="BI17" s="1635"/>
      <c r="BJ17" s="1635"/>
      <c r="BK17" s="1635"/>
      <c r="BL17" s="1635"/>
      <c r="BM17" s="1636"/>
      <c r="BN17" s="1197"/>
      <c r="BQ17" s="128"/>
      <c r="BR17" s="131" t="b">
        <v>1</v>
      </c>
    </row>
    <row r="18" spans="4:77" ht="20.100000000000001" customHeight="1" thickBot="1">
      <c r="D18" s="2378"/>
      <c r="E18" s="2430"/>
      <c r="F18" s="2430"/>
      <c r="G18" s="2430"/>
      <c r="H18" s="2430"/>
      <c r="I18" s="2430"/>
      <c r="J18" s="2430"/>
      <c r="K18" s="2431"/>
      <c r="L18" s="2431"/>
      <c r="M18" s="2431"/>
      <c r="N18" s="2431"/>
      <c r="O18" s="2431"/>
      <c r="P18" s="2431"/>
      <c r="Q18" s="2431"/>
      <c r="R18" s="2432"/>
      <c r="S18" s="35"/>
      <c r="T18" s="2377"/>
      <c r="U18" s="2377"/>
      <c r="V18" s="2377"/>
      <c r="W18" s="2377"/>
      <c r="X18" s="2377"/>
      <c r="Y18" s="2377"/>
      <c r="Z18" s="2378"/>
      <c r="AA18" s="1577"/>
      <c r="AB18" s="1577"/>
      <c r="AC18" s="1577"/>
      <c r="AD18" s="1577"/>
      <c r="AE18" s="1577"/>
      <c r="AF18" s="1577"/>
      <c r="AG18" s="1577"/>
      <c r="AH18" s="1577"/>
      <c r="AI18" s="1577"/>
      <c r="AJ18" s="73"/>
      <c r="AM18" s="1196"/>
      <c r="AN18" s="1524"/>
      <c r="AO18" s="1524"/>
      <c r="AP18" s="1524"/>
      <c r="AQ18" s="1524"/>
      <c r="AR18" s="1525"/>
      <c r="AS18" s="2426"/>
      <c r="AT18" s="2427"/>
      <c r="AU18" s="2427"/>
      <c r="AV18" s="2427"/>
      <c r="AW18" s="2427"/>
      <c r="AX18" s="2427"/>
      <c r="AY18" s="2427"/>
      <c r="AZ18" s="2427"/>
      <c r="BA18" s="2427"/>
      <c r="BB18" s="2427"/>
      <c r="BC18" s="2427"/>
      <c r="BD18" s="2428">
        <v>0</v>
      </c>
      <c r="BE18" s="2428"/>
      <c r="BF18" s="2428"/>
      <c r="BG18" s="2428"/>
      <c r="BH18" s="2428"/>
      <c r="BI18" s="2428"/>
      <c r="BJ18" s="2428"/>
      <c r="BK18" s="2428"/>
      <c r="BL18" s="2428"/>
      <c r="BM18" s="2429"/>
      <c r="BN18" s="1198"/>
      <c r="BO18" s="39"/>
      <c r="BQ18" s="132" t="s">
        <v>45</v>
      </c>
      <c r="BR18" s="133" t="b">
        <v>0</v>
      </c>
    </row>
    <row r="19" spans="4:77" ht="20.100000000000001" customHeight="1">
      <c r="D19" s="2381" t="s">
        <v>500</v>
      </c>
      <c r="E19" s="2382"/>
      <c r="F19" s="2382"/>
      <c r="G19" s="2382"/>
      <c r="H19" s="2382"/>
      <c r="I19" s="2382"/>
      <c r="J19" s="2382"/>
      <c r="K19" s="2383">
        <f>AS17</f>
        <v>3181810</v>
      </c>
      <c r="L19" s="2383"/>
      <c r="M19" s="2383"/>
      <c r="N19" s="2383"/>
      <c r="O19" s="2383"/>
      <c r="P19" s="2383"/>
      <c r="Q19" s="2383"/>
      <c r="R19" s="2384"/>
      <c r="S19" s="35"/>
      <c r="T19" s="2377" t="str">
        <f>IF(BR3=1,"할부원금","리스원금")</f>
        <v>할부원금</v>
      </c>
      <c r="U19" s="2377"/>
      <c r="V19" s="2377"/>
      <c r="W19" s="2377"/>
      <c r="X19" s="2377"/>
      <c r="Y19" s="2377"/>
      <c r="Z19" s="2378"/>
      <c r="AA19" s="2437">
        <f>AS28</f>
        <v>150000000</v>
      </c>
      <c r="AB19" s="2437"/>
      <c r="AC19" s="2437"/>
      <c r="AD19" s="2437"/>
      <c r="AE19" s="2437"/>
      <c r="AF19" s="2437"/>
      <c r="AG19" s="2437"/>
      <c r="AH19" s="2437"/>
      <c r="AI19" s="2437"/>
      <c r="AJ19" s="77"/>
      <c r="AM19" s="1196"/>
      <c r="AN19" s="1406" t="s">
        <v>8</v>
      </c>
      <c r="AO19" s="1422"/>
      <c r="AP19" s="1422"/>
      <c r="AQ19" s="1422"/>
      <c r="AR19" s="1422"/>
      <c r="AS19" s="2435" t="s">
        <v>333</v>
      </c>
      <c r="AT19" s="2436"/>
      <c r="AU19" s="2436"/>
      <c r="AV19" s="2436"/>
      <c r="AW19" s="2436"/>
      <c r="AX19" s="2436"/>
      <c r="AY19" s="2436"/>
      <c r="AZ19" s="2436"/>
      <c r="BA19" s="2436"/>
      <c r="BB19" s="2436"/>
      <c r="BC19" s="2436"/>
      <c r="BD19" s="2436"/>
      <c r="BE19" s="2436"/>
      <c r="BF19" s="2436"/>
      <c r="BG19" s="2436"/>
      <c r="BH19" s="2436"/>
      <c r="BI19" s="2436"/>
      <c r="BJ19" s="2436"/>
      <c r="BK19" s="2436"/>
      <c r="BL19" s="2436"/>
      <c r="BM19" s="2436"/>
      <c r="BN19" s="1197"/>
      <c r="BQ19" s="132" t="s">
        <v>463</v>
      </c>
      <c r="BR19" s="133" t="b">
        <v>1</v>
      </c>
    </row>
    <row r="20" spans="4:77" ht="20.100000000000001" customHeight="1">
      <c r="D20" s="2381"/>
      <c r="E20" s="2382"/>
      <c r="F20" s="2382"/>
      <c r="G20" s="2382"/>
      <c r="H20" s="2382"/>
      <c r="I20" s="2382"/>
      <c r="J20" s="2382"/>
      <c r="K20" s="2383"/>
      <c r="L20" s="2383"/>
      <c r="M20" s="2383"/>
      <c r="N20" s="2383"/>
      <c r="O20" s="2383"/>
      <c r="P20" s="2383"/>
      <c r="Q20" s="2383"/>
      <c r="R20" s="2384"/>
      <c r="S20" s="35"/>
      <c r="T20" s="2377"/>
      <c r="U20" s="2377"/>
      <c r="V20" s="2377"/>
      <c r="W20" s="2377"/>
      <c r="X20" s="2377"/>
      <c r="Y20" s="2377"/>
      <c r="Z20" s="2378"/>
      <c r="AA20" s="2437"/>
      <c r="AB20" s="2437"/>
      <c r="AC20" s="2437"/>
      <c r="AD20" s="2437"/>
      <c r="AE20" s="2437"/>
      <c r="AF20" s="2437"/>
      <c r="AG20" s="2437"/>
      <c r="AH20" s="2437"/>
      <c r="AI20" s="2437"/>
      <c r="AJ20" s="77"/>
      <c r="AM20" s="1196"/>
      <c r="AN20" s="1406" t="s">
        <v>52</v>
      </c>
      <c r="AO20" s="1422"/>
      <c r="AP20" s="1422"/>
      <c r="AQ20" s="1422"/>
      <c r="AR20" s="1422"/>
      <c r="AS20" s="1557" t="s">
        <v>537</v>
      </c>
      <c r="AT20" s="1558"/>
      <c r="AU20" s="1558"/>
      <c r="AV20" s="1558"/>
      <c r="AW20" s="1558"/>
      <c r="AX20" s="1558"/>
      <c r="AY20" s="1558"/>
      <c r="AZ20" s="1558"/>
      <c r="BA20" s="1558"/>
      <c r="BB20" s="1558"/>
      <c r="BC20" s="1558"/>
      <c r="BD20" s="1900">
        <v>0.12</v>
      </c>
      <c r="BE20" s="1900"/>
      <c r="BF20" s="1900"/>
      <c r="BG20" s="1900"/>
      <c r="BH20" s="1900"/>
      <c r="BI20" s="1900"/>
      <c r="BJ20" s="1900"/>
      <c r="BK20" s="1900"/>
      <c r="BL20" s="1900"/>
      <c r="BM20" s="1901"/>
      <c r="BN20" s="1198"/>
      <c r="BQ20" s="132" t="s">
        <v>56</v>
      </c>
      <c r="BR20" s="133" t="b">
        <v>0</v>
      </c>
    </row>
    <row r="21" spans="4:77" ht="20.100000000000001" customHeight="1">
      <c r="D21" s="2381" t="s">
        <v>52</v>
      </c>
      <c r="E21" s="2382"/>
      <c r="F21" s="2382"/>
      <c r="G21" s="2382"/>
      <c r="H21" s="2382"/>
      <c r="I21" s="2382"/>
      <c r="J21" s="2382"/>
      <c r="K21" s="2383">
        <f>AS21</f>
        <v>654500</v>
      </c>
      <c r="L21" s="2383"/>
      <c r="M21" s="2383"/>
      <c r="N21" s="2383"/>
      <c r="O21" s="2383"/>
      <c r="P21" s="2383"/>
      <c r="Q21" s="2383"/>
      <c r="R21" s="2384"/>
      <c r="S21" s="35"/>
      <c r="T21" s="2377" t="s">
        <v>338</v>
      </c>
      <c r="U21" s="2377"/>
      <c r="V21" s="2377"/>
      <c r="W21" s="2377"/>
      <c r="X21" s="2377"/>
      <c r="Y21" s="2377"/>
      <c r="Z21" s="2378"/>
      <c r="AA21" s="2357">
        <f>K17-AA19</f>
        <v>-100000000</v>
      </c>
      <c r="AB21" s="2357"/>
      <c r="AC21" s="2357"/>
      <c r="AD21" s="2357"/>
      <c r="AE21" s="2357"/>
      <c r="AF21" s="2357"/>
      <c r="AG21" s="2357"/>
      <c r="AH21" s="2357"/>
      <c r="AI21" s="2357"/>
      <c r="AJ21" s="77"/>
      <c r="AM21" s="1196"/>
      <c r="AN21" s="1406"/>
      <c r="AO21" s="1422"/>
      <c r="AP21" s="1422"/>
      <c r="AQ21" s="1422"/>
      <c r="AR21" s="1422"/>
      <c r="AS21" s="2433">
        <f>할부금융계산!I12</f>
        <v>654500</v>
      </c>
      <c r="AT21" s="2434"/>
      <c r="AU21" s="2434"/>
      <c r="AV21" s="2434"/>
      <c r="AW21" s="2434"/>
      <c r="AX21" s="2434"/>
      <c r="AY21" s="2434"/>
      <c r="AZ21" s="2434"/>
      <c r="BA21" s="2434"/>
      <c r="BB21" s="2434"/>
      <c r="BC21" s="2434"/>
      <c r="BD21" s="2434"/>
      <c r="BE21" s="2434"/>
      <c r="BF21" s="2434"/>
      <c r="BG21" s="2434"/>
      <c r="BH21" s="2434"/>
      <c r="BI21" s="2434"/>
      <c r="BJ21" s="2434"/>
      <c r="BK21" s="2434"/>
      <c r="BL21" s="2434"/>
      <c r="BM21" s="2434"/>
      <c r="BN21" s="1197"/>
      <c r="BQ21" s="132" t="s">
        <v>61</v>
      </c>
      <c r="BR21" s="133" t="b">
        <v>0</v>
      </c>
    </row>
    <row r="22" spans="4:77" ht="20.100000000000001" customHeight="1">
      <c r="D22" s="2381"/>
      <c r="E22" s="2382"/>
      <c r="F22" s="2382"/>
      <c r="G22" s="2382"/>
      <c r="H22" s="2382"/>
      <c r="I22" s="2382"/>
      <c r="J22" s="2382"/>
      <c r="K22" s="2383"/>
      <c r="L22" s="2383"/>
      <c r="M22" s="2383"/>
      <c r="N22" s="2383"/>
      <c r="O22" s="2383"/>
      <c r="P22" s="2383"/>
      <c r="Q22" s="2383"/>
      <c r="R22" s="2384"/>
      <c r="S22" s="35"/>
      <c r="T22" s="2377"/>
      <c r="U22" s="2377"/>
      <c r="V22" s="2377"/>
      <c r="W22" s="2377"/>
      <c r="X22" s="2377"/>
      <c r="Y22" s="2377"/>
      <c r="Z22" s="2378"/>
      <c r="AA22" s="2357"/>
      <c r="AB22" s="2357"/>
      <c r="AC22" s="2357"/>
      <c r="AD22" s="2357"/>
      <c r="AE22" s="2357"/>
      <c r="AF22" s="2357"/>
      <c r="AG22" s="2357"/>
      <c r="AH22" s="2357"/>
      <c r="AI22" s="2357"/>
      <c r="AJ22" s="77"/>
      <c r="AM22" s="1196"/>
      <c r="AN22" s="1406" t="s">
        <v>56</v>
      </c>
      <c r="AO22" s="1422"/>
      <c r="AP22" s="1422"/>
      <c r="AQ22" s="1422"/>
      <c r="AR22" s="1422"/>
      <c r="AS22" s="1557" t="s">
        <v>537</v>
      </c>
      <c r="AT22" s="1558"/>
      <c r="AU22" s="1558"/>
      <c r="AV22" s="1558"/>
      <c r="AW22" s="1558"/>
      <c r="AX22" s="1558"/>
      <c r="AY22" s="1558"/>
      <c r="AZ22" s="1558"/>
      <c r="BA22" s="1558"/>
      <c r="BB22" s="1558"/>
      <c r="BC22" s="1558"/>
      <c r="BD22" s="1559">
        <v>0</v>
      </c>
      <c r="BE22" s="1559"/>
      <c r="BF22" s="1559"/>
      <c r="BG22" s="1559"/>
      <c r="BH22" s="1559"/>
      <c r="BI22" s="1559"/>
      <c r="BJ22" s="1559"/>
      <c r="BK22" s="1559"/>
      <c r="BL22" s="1559"/>
      <c r="BM22" s="1560"/>
      <c r="BN22" s="1197"/>
      <c r="BQ22" s="132" t="s">
        <v>466</v>
      </c>
      <c r="BR22" s="133" t="b">
        <v>1</v>
      </c>
    </row>
    <row r="23" spans="4:77" ht="20.100000000000001" customHeight="1">
      <c r="D23" s="2381" t="s">
        <v>56</v>
      </c>
      <c r="E23" s="2382"/>
      <c r="F23" s="2382"/>
      <c r="G23" s="2382"/>
      <c r="H23" s="2382"/>
      <c r="I23" s="2382"/>
      <c r="J23" s="2382"/>
      <c r="K23" s="2383">
        <f>BD22</f>
        <v>0</v>
      </c>
      <c r="L23" s="2383"/>
      <c r="M23" s="2383"/>
      <c r="N23" s="2383"/>
      <c r="O23" s="2383"/>
      <c r="P23" s="2383"/>
      <c r="Q23" s="2383"/>
      <c r="R23" s="2384"/>
      <c r="S23" s="35"/>
      <c r="T23" s="2377" t="s">
        <v>480</v>
      </c>
      <c r="U23" s="2377"/>
      <c r="V23" s="2377"/>
      <c r="W23" s="2377"/>
      <c r="X23" s="2377"/>
      <c r="Y23" s="2377"/>
      <c r="Z23" s="2378"/>
      <c r="AA23" s="2357">
        <f>+할부금융계산!C48</f>
        <v>75000</v>
      </c>
      <c r="AB23" s="2357"/>
      <c r="AC23" s="2357"/>
      <c r="AD23" s="2357"/>
      <c r="AE23" s="2357"/>
      <c r="AF23" s="2357"/>
      <c r="AG23" s="2357"/>
      <c r="AH23" s="2357"/>
      <c r="AI23" s="2357"/>
      <c r="AJ23" s="77"/>
      <c r="AM23" s="1196"/>
      <c r="AN23" s="1406" t="s">
        <v>61</v>
      </c>
      <c r="AO23" s="1422"/>
      <c r="AP23" s="1422"/>
      <c r="AQ23" s="1422"/>
      <c r="AR23" s="1422"/>
      <c r="AS23" s="1557" t="s">
        <v>537</v>
      </c>
      <c r="AT23" s="1558"/>
      <c r="AU23" s="1558"/>
      <c r="AV23" s="1558"/>
      <c r="AW23" s="1558"/>
      <c r="AX23" s="1558"/>
      <c r="AY23" s="1558"/>
      <c r="AZ23" s="1558"/>
      <c r="BA23" s="1558"/>
      <c r="BB23" s="1558"/>
      <c r="BC23" s="1558"/>
      <c r="BD23" s="1559">
        <v>100000</v>
      </c>
      <c r="BE23" s="1559"/>
      <c r="BF23" s="1559"/>
      <c r="BG23" s="1559"/>
      <c r="BH23" s="1559"/>
      <c r="BI23" s="1559"/>
      <c r="BJ23" s="1559"/>
      <c r="BK23" s="1559"/>
      <c r="BL23" s="1559"/>
      <c r="BM23" s="1560"/>
      <c r="BN23" s="1197"/>
      <c r="BQ23" s="128"/>
      <c r="BR23" s="128"/>
    </row>
    <row r="24" spans="4:77" ht="20.100000000000001" customHeight="1">
      <c r="D24" s="2381"/>
      <c r="E24" s="2382"/>
      <c r="F24" s="2382"/>
      <c r="G24" s="2382"/>
      <c r="H24" s="2382"/>
      <c r="I24" s="2382"/>
      <c r="J24" s="2382"/>
      <c r="K24" s="2383"/>
      <c r="L24" s="2383"/>
      <c r="M24" s="2383"/>
      <c r="N24" s="2383"/>
      <c r="O24" s="2383"/>
      <c r="P24" s="2383"/>
      <c r="Q24" s="2383"/>
      <c r="R24" s="2384"/>
      <c r="T24" s="2377"/>
      <c r="U24" s="2377"/>
      <c r="V24" s="2377"/>
      <c r="W24" s="2377"/>
      <c r="X24" s="2377"/>
      <c r="Y24" s="2377"/>
      <c r="Z24" s="2378"/>
      <c r="AA24" s="2357"/>
      <c r="AB24" s="2357"/>
      <c r="AC24" s="2357"/>
      <c r="AD24" s="2357"/>
      <c r="AE24" s="2357"/>
      <c r="AF24" s="2357"/>
      <c r="AG24" s="2357"/>
      <c r="AH24" s="2357"/>
      <c r="AI24" s="2357"/>
      <c r="AJ24" s="77"/>
      <c r="AM24" s="1196"/>
      <c r="AN24" s="1595" t="s">
        <v>488</v>
      </c>
      <c r="AO24" s="1595"/>
      <c r="AP24" s="1595"/>
      <c r="AQ24" s="1595"/>
      <c r="AR24" s="1596"/>
      <c r="AS24" s="2395">
        <f>할부금융계산!C22</f>
        <v>53936310</v>
      </c>
      <c r="AT24" s="2396"/>
      <c r="AU24" s="2396"/>
      <c r="AV24" s="2396"/>
      <c r="AW24" s="2396"/>
      <c r="AX24" s="2396"/>
      <c r="AY24" s="2396"/>
      <c r="AZ24" s="2396"/>
      <c r="BA24" s="2396"/>
      <c r="BB24" s="2396"/>
      <c r="BC24" s="2396"/>
      <c r="BD24" s="2396"/>
      <c r="BE24" s="2396"/>
      <c r="BF24" s="2396"/>
      <c r="BG24" s="2396"/>
      <c r="BH24" s="2396"/>
      <c r="BI24" s="2396"/>
      <c r="BJ24" s="2396"/>
      <c r="BK24" s="2396"/>
      <c r="BL24" s="2396"/>
      <c r="BM24" s="2396"/>
      <c r="BN24" s="1197"/>
      <c r="BQ24" s="128"/>
      <c r="BR24" s="152">
        <f>할부!Z28</f>
        <v>0</v>
      </c>
      <c r="BS24" s="54"/>
      <c r="BT24" s="54"/>
    </row>
    <row r="25" spans="4:77" ht="20.100000000000001" customHeight="1" thickBot="1">
      <c r="D25" s="2381" t="s">
        <v>61</v>
      </c>
      <c r="E25" s="2382"/>
      <c r="F25" s="2382"/>
      <c r="G25" s="2382"/>
      <c r="H25" s="2382"/>
      <c r="I25" s="2382"/>
      <c r="J25" s="2382"/>
      <c r="K25" s="2383">
        <f>BD23</f>
        <v>100000</v>
      </c>
      <c r="L25" s="2383"/>
      <c r="M25" s="2383"/>
      <c r="N25" s="2383"/>
      <c r="O25" s="2383"/>
      <c r="P25" s="2383"/>
      <c r="Q25" s="2383"/>
      <c r="R25" s="2384"/>
      <c r="AJ25" s="78"/>
      <c r="AM25" s="1196"/>
      <c r="AN25" s="2393"/>
      <c r="AO25" s="2393"/>
      <c r="AP25" s="2393"/>
      <c r="AQ25" s="2393"/>
      <c r="AR25" s="2394"/>
      <c r="AS25" s="2397"/>
      <c r="AT25" s="2398"/>
      <c r="AU25" s="2398"/>
      <c r="AV25" s="2398"/>
      <c r="AW25" s="2398"/>
      <c r="AX25" s="2398"/>
      <c r="AY25" s="2398"/>
      <c r="AZ25" s="2398"/>
      <c r="BA25" s="2398"/>
      <c r="BB25" s="2398"/>
      <c r="BC25" s="2398"/>
      <c r="BD25" s="2398"/>
      <c r="BE25" s="2398"/>
      <c r="BF25" s="2398"/>
      <c r="BG25" s="2398"/>
      <c r="BH25" s="2398"/>
      <c r="BI25" s="2398"/>
      <c r="BJ25" s="2398"/>
      <c r="BK25" s="2398"/>
      <c r="BL25" s="2398"/>
      <c r="BM25" s="2398"/>
      <c r="BN25" s="1197"/>
      <c r="BQ25" s="128"/>
      <c r="BR25" s="136"/>
    </row>
    <row r="26" spans="4:77" ht="20.100000000000001" customHeight="1" thickBot="1">
      <c r="D26" s="2381"/>
      <c r="E26" s="2382"/>
      <c r="F26" s="2382"/>
      <c r="G26" s="2382"/>
      <c r="H26" s="2382"/>
      <c r="I26" s="2382"/>
      <c r="J26" s="2382"/>
      <c r="K26" s="2383"/>
      <c r="L26" s="2383"/>
      <c r="M26" s="2383"/>
      <c r="N26" s="2383"/>
      <c r="O26" s="2383"/>
      <c r="P26" s="2383"/>
      <c r="Q26" s="2383"/>
      <c r="R26" s="2384"/>
      <c r="T26" s="2359" t="s">
        <v>340</v>
      </c>
      <c r="U26" s="2359"/>
      <c r="V26" s="2359"/>
      <c r="W26" s="2359"/>
      <c r="X26" s="2359"/>
      <c r="Y26" s="2359"/>
      <c r="Z26" s="2360"/>
      <c r="AA26" s="2361" t="e">
        <f>할부금융계산!M13</f>
        <v>#N/A</v>
      </c>
      <c r="AB26" s="2361"/>
      <c r="AC26" s="2361"/>
      <c r="AD26" s="2361"/>
      <c r="AE26" s="2361"/>
      <c r="AF26" s="2361"/>
      <c r="AG26" s="2361"/>
      <c r="AH26" s="2361"/>
      <c r="AI26" s="2361"/>
      <c r="AJ26" s="79"/>
      <c r="AM26" s="1196"/>
      <c r="AN26" s="1190" t="s">
        <v>256</v>
      </c>
      <c r="AO26" s="1191"/>
      <c r="AP26" s="1191"/>
      <c r="AQ26" s="1191"/>
      <c r="AR26" s="1191"/>
      <c r="AS26" s="1191"/>
      <c r="AT26" s="1191"/>
      <c r="AU26" s="1191"/>
      <c r="AV26" s="1191"/>
      <c r="AW26" s="1191"/>
      <c r="AX26" s="1191"/>
      <c r="AY26" s="1191"/>
      <c r="AZ26" s="1191"/>
      <c r="BA26" s="1191"/>
      <c r="BB26" s="1191"/>
      <c r="BC26" s="1191"/>
      <c r="BD26" s="1191"/>
      <c r="BE26" s="1191"/>
      <c r="BF26" s="1191"/>
      <c r="BG26" s="1191"/>
      <c r="BH26" s="1191"/>
      <c r="BI26" s="1191"/>
      <c r="BJ26" s="1191"/>
      <c r="BK26" s="1191"/>
      <c r="BL26" s="1191"/>
      <c r="BM26" s="1191"/>
      <c r="BN26" s="1197"/>
      <c r="BQ26" s="128"/>
      <c r="BR26" s="136"/>
      <c r="BS26" s="55"/>
      <c r="BT26" s="2441" t="s">
        <v>1759</v>
      </c>
      <c r="BU26" s="2441"/>
      <c r="BV26" s="2441"/>
      <c r="BW26" s="2441"/>
      <c r="BX26" s="2441"/>
      <c r="BY26" s="2441"/>
    </row>
    <row r="27" spans="4:77" ht="20.100000000000001" customHeight="1">
      <c r="AJ27" s="79"/>
      <c r="AM27" s="1196"/>
      <c r="AN27" s="1431" t="s">
        <v>9</v>
      </c>
      <c r="AO27" s="1432"/>
      <c r="AP27" s="1432"/>
      <c r="AQ27" s="1432"/>
      <c r="AR27" s="1432"/>
      <c r="AS27" s="1496">
        <v>48</v>
      </c>
      <c r="AT27" s="1497"/>
      <c r="AU27" s="1497"/>
      <c r="AV27" s="1497"/>
      <c r="AW27" s="1497"/>
      <c r="AX27" s="1497"/>
      <c r="AY27" s="1497"/>
      <c r="AZ27" s="1497"/>
      <c r="BA27" s="1497"/>
      <c r="BB27" s="1497"/>
      <c r="BC27" s="1497"/>
      <c r="BD27" s="1497"/>
      <c r="BE27" s="1497"/>
      <c r="BF27" s="1497"/>
      <c r="BG27" s="1497"/>
      <c r="BH27" s="1497"/>
      <c r="BI27" s="1497"/>
      <c r="BJ27" s="1497"/>
      <c r="BK27" s="1497"/>
      <c r="BL27" s="1497"/>
      <c r="BM27" s="1497"/>
      <c r="BN27" s="1197"/>
      <c r="BQ27" s="128"/>
      <c r="BR27" s="136"/>
      <c r="BT27" s="2441"/>
      <c r="BU27" s="2441"/>
      <c r="BV27" s="2441"/>
      <c r="BW27" s="2441"/>
      <c r="BX27" s="2441"/>
      <c r="BY27" s="2441"/>
    </row>
    <row r="28" spans="4:77" ht="20.100000000000001" customHeight="1">
      <c r="D28" s="1663" t="s">
        <v>290</v>
      </c>
      <c r="E28" s="1663"/>
      <c r="F28" s="1663"/>
      <c r="G28" s="1663"/>
      <c r="H28" s="1663"/>
      <c r="I28" s="1663"/>
      <c r="J28" s="1664"/>
      <c r="K28" s="2365">
        <f>할부금융계산!C27</f>
        <v>-95988690</v>
      </c>
      <c r="L28" s="2366"/>
      <c r="M28" s="2366"/>
      <c r="N28" s="2366"/>
      <c r="O28" s="2366"/>
      <c r="P28" s="2366"/>
      <c r="Q28" s="2366"/>
      <c r="R28" s="2366"/>
      <c r="S28" s="118"/>
      <c r="T28" s="2358" t="str">
        <f>IF(할부!BR3=1,"월 할부금","월 리스료 A")</f>
        <v>월 할부금</v>
      </c>
      <c r="U28" s="2358"/>
      <c r="V28" s="2358"/>
      <c r="W28" s="2358"/>
      <c r="X28" s="2358"/>
      <c r="Y28" s="2358"/>
      <c r="Z28" s="2358"/>
      <c r="AA28" s="2358"/>
      <c r="AB28" s="2358"/>
      <c r="AC28" s="2358"/>
      <c r="AD28" s="2358"/>
      <c r="AE28" s="2358"/>
      <c r="AF28" s="2358"/>
      <c r="AG28" s="2358"/>
      <c r="AH28" s="2358"/>
      <c r="AI28" s="2358"/>
      <c r="AJ28" s="76"/>
      <c r="AM28" s="1196"/>
      <c r="AN28" s="1405" t="s">
        <v>484</v>
      </c>
      <c r="AO28" s="1405"/>
      <c r="AP28" s="1405"/>
      <c r="AQ28" s="1405"/>
      <c r="AR28" s="1406"/>
      <c r="AS28" s="2399">
        <v>150000000</v>
      </c>
      <c r="AT28" s="2400"/>
      <c r="AU28" s="2400"/>
      <c r="AV28" s="2400"/>
      <c r="AW28" s="2400"/>
      <c r="AX28" s="2400"/>
      <c r="AY28" s="2400"/>
      <c r="AZ28" s="2400"/>
      <c r="BA28" s="2400"/>
      <c r="BB28" s="2400"/>
      <c r="BC28" s="2400"/>
      <c r="BD28" s="2400"/>
      <c r="BE28" s="2400"/>
      <c r="BF28" s="2400"/>
      <c r="BG28" s="2400"/>
      <c r="BH28" s="2400"/>
      <c r="BI28" s="2400"/>
      <c r="BJ28" s="2400"/>
      <c r="BK28" s="2400"/>
      <c r="BL28" s="2400"/>
      <c r="BM28" s="2400"/>
      <c r="BN28" s="1197"/>
      <c r="BQ28" s="128" t="s">
        <v>475</v>
      </c>
      <c r="BR28" s="138">
        <v>0.65</v>
      </c>
      <c r="BT28" s="2441"/>
      <c r="BU28" s="2441"/>
      <c r="BV28" s="2441"/>
      <c r="BW28" s="2441"/>
      <c r="BX28" s="2441"/>
      <c r="BY28" s="2441"/>
    </row>
    <row r="29" spans="4:77" ht="20.100000000000001" customHeight="1" thickBot="1">
      <c r="D29" s="1665"/>
      <c r="E29" s="1665"/>
      <c r="F29" s="1665"/>
      <c r="G29" s="1665"/>
      <c r="H29" s="1665"/>
      <c r="I29" s="1665"/>
      <c r="J29" s="1666"/>
      <c r="K29" s="2367"/>
      <c r="L29" s="2368"/>
      <c r="M29" s="2368"/>
      <c r="N29" s="2368"/>
      <c r="O29" s="2368"/>
      <c r="P29" s="2368"/>
      <c r="Q29" s="2368"/>
      <c r="R29" s="2368"/>
      <c r="S29" s="118"/>
      <c r="T29" s="2358"/>
      <c r="U29" s="2358"/>
      <c r="V29" s="2358"/>
      <c r="W29" s="2358"/>
      <c r="X29" s="2358"/>
      <c r="Y29" s="2358"/>
      <c r="Z29" s="2358"/>
      <c r="AA29" s="2358"/>
      <c r="AB29" s="2358"/>
      <c r="AC29" s="2358"/>
      <c r="AD29" s="2358"/>
      <c r="AE29" s="2358"/>
      <c r="AF29" s="2358"/>
      <c r="AG29" s="2358"/>
      <c r="AH29" s="2358"/>
      <c r="AI29" s="2358"/>
      <c r="AJ29" s="76"/>
      <c r="AM29" s="1196"/>
      <c r="AN29" s="1405"/>
      <c r="AO29" s="1405"/>
      <c r="AP29" s="1405"/>
      <c r="AQ29" s="1405"/>
      <c r="AR29" s="1406"/>
      <c r="AS29" s="2401"/>
      <c r="AT29" s="2402"/>
      <c r="AU29" s="2402"/>
      <c r="AV29" s="2402"/>
      <c r="AW29" s="2402"/>
      <c r="AX29" s="2402"/>
      <c r="AY29" s="2402"/>
      <c r="AZ29" s="2402"/>
      <c r="BA29" s="2402"/>
      <c r="BB29" s="2402"/>
      <c r="BC29" s="2402"/>
      <c r="BD29" s="2402"/>
      <c r="BE29" s="2402"/>
      <c r="BF29" s="2402"/>
      <c r="BG29" s="2402"/>
      <c r="BH29" s="2402"/>
      <c r="BI29" s="2402"/>
      <c r="BJ29" s="2402"/>
      <c r="BK29" s="2402"/>
      <c r="BL29" s="2402"/>
      <c r="BM29" s="2402"/>
      <c r="BN29" s="1197"/>
      <c r="BQ29" s="132" t="s">
        <v>471</v>
      </c>
      <c r="BR29" s="132" t="b">
        <v>1</v>
      </c>
      <c r="BT29" s="2441"/>
      <c r="BU29" s="2441"/>
      <c r="BV29" s="2441"/>
      <c r="BW29" s="2441"/>
      <c r="BX29" s="2441"/>
      <c r="BY29" s="2441"/>
    </row>
    <row r="30" spans="4:77" ht="20.100000000000001" customHeight="1">
      <c r="D30" s="2360" t="s">
        <v>479</v>
      </c>
      <c r="E30" s="2362"/>
      <c r="F30" s="2362"/>
      <c r="G30" s="2362"/>
      <c r="H30" s="2362"/>
      <c r="I30" s="2362"/>
      <c r="J30" s="2362"/>
      <c r="K30" s="2365">
        <f>할부금융계산!C22</f>
        <v>53936310</v>
      </c>
      <c r="L30" s="2366"/>
      <c r="M30" s="2366"/>
      <c r="N30" s="2366"/>
      <c r="O30" s="2366"/>
      <c r="P30" s="2366"/>
      <c r="Q30" s="2366"/>
      <c r="R30" s="2366"/>
      <c r="T30" s="2379" t="e">
        <f>IF(AND(AS28&lt;=9999999,'AG 입력시트'!S9="모터원"),"최소이용금액 3,000만원",IF(AS28&lt;=9999999,"최소이용금액 1,000만원",할부금융계산!M3))</f>
        <v>#N/A</v>
      </c>
      <c r="U30" s="2379"/>
      <c r="V30" s="2379"/>
      <c r="W30" s="2379"/>
      <c r="X30" s="2379"/>
      <c r="Y30" s="2379"/>
      <c r="Z30" s="2379"/>
      <c r="AA30" s="2379"/>
      <c r="AB30" s="2379"/>
      <c r="AC30" s="2379"/>
      <c r="AD30" s="2379"/>
      <c r="AE30" s="2379"/>
      <c r="AF30" s="2379"/>
      <c r="AG30" s="2379"/>
      <c r="AH30" s="2379"/>
      <c r="AI30" s="2379"/>
      <c r="AJ30" s="76"/>
      <c r="AM30" s="1196"/>
      <c r="AN30" s="2363" t="s">
        <v>485</v>
      </c>
      <c r="AO30" s="1405"/>
      <c r="AP30" s="1405"/>
      <c r="AQ30" s="1405"/>
      <c r="AR30" s="1406"/>
      <c r="AS30" s="2369">
        <v>0.5</v>
      </c>
      <c r="AT30" s="2370"/>
      <c r="AU30" s="2370"/>
      <c r="AV30" s="2370"/>
      <c r="AW30" s="2370"/>
      <c r="AX30" s="2370"/>
      <c r="AY30" s="2370"/>
      <c r="AZ30" s="2370"/>
      <c r="BA30" s="2370"/>
      <c r="BB30" s="2370"/>
      <c r="BC30" s="2371"/>
      <c r="BD30" s="2375">
        <f>IF(BR3=2,0,할부금융계산!I35)</f>
        <v>75000000</v>
      </c>
      <c r="BE30" s="2375"/>
      <c r="BF30" s="2375"/>
      <c r="BG30" s="2375"/>
      <c r="BH30" s="2375"/>
      <c r="BI30" s="2375"/>
      <c r="BJ30" s="2375"/>
      <c r="BK30" s="2375"/>
      <c r="BL30" s="2375"/>
      <c r="BM30" s="2375"/>
      <c r="BN30" s="1197"/>
      <c r="BQ30" s="132" t="s">
        <v>472</v>
      </c>
      <c r="BR30" s="132" t="b">
        <v>1</v>
      </c>
    </row>
    <row r="31" spans="4:77" ht="20.100000000000001" customHeight="1" thickBot="1">
      <c r="D31" s="2360"/>
      <c r="E31" s="2362"/>
      <c r="F31" s="2362"/>
      <c r="G31" s="2362"/>
      <c r="H31" s="2362"/>
      <c r="I31" s="2362"/>
      <c r="J31" s="2362"/>
      <c r="K31" s="2367"/>
      <c r="L31" s="2368"/>
      <c r="M31" s="2368"/>
      <c r="N31" s="2368"/>
      <c r="O31" s="2368"/>
      <c r="P31" s="2368"/>
      <c r="Q31" s="2368"/>
      <c r="R31" s="2368"/>
      <c r="T31" s="2380"/>
      <c r="U31" s="2380"/>
      <c r="V31" s="2380"/>
      <c r="W31" s="2380"/>
      <c r="X31" s="2380"/>
      <c r="Y31" s="2380"/>
      <c r="Z31" s="2380"/>
      <c r="AA31" s="2380"/>
      <c r="AB31" s="2380"/>
      <c r="AC31" s="2380"/>
      <c r="AD31" s="2380"/>
      <c r="AE31" s="2380"/>
      <c r="AF31" s="2380"/>
      <c r="AG31" s="2380"/>
      <c r="AH31" s="2380"/>
      <c r="AI31" s="2380"/>
      <c r="AM31" s="1196"/>
      <c r="AN31" s="2364"/>
      <c r="AO31" s="2364"/>
      <c r="AP31" s="2364"/>
      <c r="AQ31" s="2364"/>
      <c r="AR31" s="1567"/>
      <c r="AS31" s="2372"/>
      <c r="AT31" s="2373"/>
      <c r="AU31" s="2373"/>
      <c r="AV31" s="2373"/>
      <c r="AW31" s="2373"/>
      <c r="AX31" s="2373"/>
      <c r="AY31" s="2373"/>
      <c r="AZ31" s="2373"/>
      <c r="BA31" s="2373"/>
      <c r="BB31" s="2373"/>
      <c r="BC31" s="2374"/>
      <c r="BD31" s="2376"/>
      <c r="BE31" s="2376"/>
      <c r="BF31" s="2376"/>
      <c r="BG31" s="2376"/>
      <c r="BH31" s="2376"/>
      <c r="BI31" s="2376"/>
      <c r="BJ31" s="2376"/>
      <c r="BK31" s="2376"/>
      <c r="BL31" s="2376"/>
      <c r="BM31" s="2376"/>
      <c r="BN31" s="1197"/>
      <c r="BQ31" s="132" t="s">
        <v>473</v>
      </c>
      <c r="BR31" s="132" t="b">
        <v>1</v>
      </c>
      <c r="BT31" s="54"/>
    </row>
    <row r="32" spans="4:77" ht="20.100000000000001" customHeight="1">
      <c r="L32" s="989"/>
      <c r="M32" s="989"/>
      <c r="N32" s="989"/>
      <c r="O32" s="989"/>
      <c r="P32" s="989"/>
      <c r="Q32" s="989"/>
      <c r="R32" s="989"/>
      <c r="AM32" s="1196"/>
      <c r="AN32" s="1596" t="s">
        <v>486</v>
      </c>
      <c r="AO32" s="2406"/>
      <c r="AP32" s="2406"/>
      <c r="AQ32" s="2406"/>
      <c r="AR32" s="2406"/>
      <c r="AS32" s="2414" t="s">
        <v>487</v>
      </c>
      <c r="AT32" s="2414"/>
      <c r="AU32" s="2414"/>
      <c r="AV32" s="2414"/>
      <c r="AW32" s="2414"/>
      <c r="AX32" s="2414"/>
      <c r="AY32" s="2414"/>
      <c r="AZ32" s="2414"/>
      <c r="BA32" s="2417" t="e">
        <f>할부금융계산!M13</f>
        <v>#N/A</v>
      </c>
      <c r="BB32" s="2418"/>
      <c r="BC32" s="2418"/>
      <c r="BD32" s="2418"/>
      <c r="BE32" s="2418"/>
      <c r="BF32" s="2418"/>
      <c r="BG32" s="2418"/>
      <c r="BH32" s="2418"/>
      <c r="BI32" s="2418"/>
      <c r="BJ32" s="2418"/>
      <c r="BK32" s="2418"/>
      <c r="BL32" s="2418"/>
      <c r="BM32" s="2419"/>
      <c r="BN32" s="1197"/>
      <c r="BQ32" s="128"/>
      <c r="BR32" s="128" t="b">
        <v>1</v>
      </c>
      <c r="BT32" s="54"/>
    </row>
    <row r="33" spans="4:73" ht="20.100000000000001" customHeight="1">
      <c r="L33" s="988"/>
      <c r="M33" s="988"/>
      <c r="N33" s="988"/>
      <c r="O33" s="988"/>
      <c r="P33" s="988"/>
      <c r="Q33" s="988"/>
      <c r="R33" s="988"/>
      <c r="AM33" s="1196"/>
      <c r="AN33" s="2407"/>
      <c r="AO33" s="2408"/>
      <c r="AP33" s="2408"/>
      <c r="AQ33" s="2408"/>
      <c r="AR33" s="2408"/>
      <c r="AS33" s="2415"/>
      <c r="AT33" s="2415"/>
      <c r="AU33" s="2415"/>
      <c r="AV33" s="2415"/>
      <c r="AW33" s="2415"/>
      <c r="AX33" s="2415"/>
      <c r="AY33" s="2415"/>
      <c r="AZ33" s="2415"/>
      <c r="BA33" s="2420"/>
      <c r="BB33" s="2421"/>
      <c r="BC33" s="2421"/>
      <c r="BD33" s="2421"/>
      <c r="BE33" s="2421"/>
      <c r="BF33" s="2421"/>
      <c r="BG33" s="2421"/>
      <c r="BH33" s="2421"/>
      <c r="BI33" s="2421"/>
      <c r="BJ33" s="2421"/>
      <c r="BK33" s="2421"/>
      <c r="BL33" s="2421"/>
      <c r="BM33" s="2422"/>
      <c r="BN33" s="1197"/>
    </row>
    <row r="34" spans="4:73" ht="20.100000000000001" customHeight="1">
      <c r="D34" s="990"/>
      <c r="E34" s="990"/>
      <c r="F34" s="990"/>
      <c r="G34" s="990"/>
      <c r="H34" s="990"/>
      <c r="I34" s="990"/>
      <c r="J34" s="990"/>
      <c r="K34" s="988"/>
      <c r="L34" s="988"/>
      <c r="M34" s="988"/>
      <c r="N34" s="988"/>
      <c r="O34" s="988"/>
      <c r="P34" s="988"/>
      <c r="Q34" s="988"/>
      <c r="R34" s="988"/>
      <c r="AM34" s="1196"/>
      <c r="AN34" s="1563"/>
      <c r="AO34" s="2409"/>
      <c r="AP34" s="2409"/>
      <c r="AQ34" s="2409"/>
      <c r="AR34" s="2409"/>
      <c r="AS34" s="2416"/>
      <c r="AT34" s="2416"/>
      <c r="AU34" s="2416"/>
      <c r="AV34" s="2416"/>
      <c r="AW34" s="2416"/>
      <c r="AX34" s="2416"/>
      <c r="AY34" s="2416"/>
      <c r="AZ34" s="2416"/>
      <c r="BA34" s="2423"/>
      <c r="BB34" s="2424"/>
      <c r="BC34" s="2424"/>
      <c r="BD34" s="2424"/>
      <c r="BE34" s="2424"/>
      <c r="BF34" s="2424"/>
      <c r="BG34" s="2424"/>
      <c r="BH34" s="2424"/>
      <c r="BI34" s="2424"/>
      <c r="BJ34" s="2424"/>
      <c r="BK34" s="2424"/>
      <c r="BL34" s="2424"/>
      <c r="BM34" s="2425"/>
      <c r="BN34" s="1197"/>
    </row>
    <row r="35" spans="4:73" ht="20.100000000000001" customHeight="1">
      <c r="D35" s="52" t="s">
        <v>447</v>
      </c>
      <c r="E35" s="47" t="s">
        <v>451</v>
      </c>
      <c r="V35" s="52" t="s">
        <v>447</v>
      </c>
      <c r="W35" s="47" t="s">
        <v>453</v>
      </c>
      <c r="AJ35" s="80"/>
      <c r="AM35" s="1196"/>
      <c r="AN35" s="1191"/>
      <c r="AO35" s="1191"/>
      <c r="AP35" s="1191"/>
      <c r="AQ35" s="1191"/>
      <c r="AR35" s="1191"/>
      <c r="AS35" s="1191"/>
      <c r="AT35" s="1191"/>
      <c r="AU35" s="1191"/>
      <c r="AV35" s="1191"/>
      <c r="AW35" s="1191"/>
      <c r="AX35" s="1191"/>
      <c r="AY35" s="1191"/>
      <c r="AZ35" s="1191"/>
      <c r="BA35" s="1191"/>
      <c r="BB35" s="1191"/>
      <c r="BC35" s="1191"/>
      <c r="BD35" s="1191"/>
      <c r="BE35" s="1191"/>
      <c r="BF35" s="1191"/>
      <c r="BG35" s="1191"/>
      <c r="BH35" s="1191"/>
      <c r="BI35" s="1191"/>
      <c r="BJ35" s="1191"/>
      <c r="BK35" s="1191"/>
      <c r="BL35" s="1191"/>
      <c r="BM35" s="1191"/>
      <c r="BN35" s="1197"/>
      <c r="BO35" s="41"/>
    </row>
    <row r="36" spans="4:73" ht="20.100000000000001" customHeight="1">
      <c r="D36" s="1466" t="str">
        <f>할부!AS39&amp;" "&amp;할부!AS40</f>
        <v xml:space="preserve">기타 </v>
      </c>
      <c r="E36" s="1691"/>
      <c r="F36" s="1691"/>
      <c r="G36" s="1691"/>
      <c r="H36" s="1691"/>
      <c r="I36" s="1691"/>
      <c r="J36" s="1691"/>
      <c r="K36" s="1691"/>
      <c r="L36" s="1691"/>
      <c r="M36" s="1691"/>
      <c r="N36" s="1691"/>
      <c r="O36" s="1691"/>
      <c r="P36" s="1691"/>
      <c r="Q36" s="1692"/>
      <c r="V36" s="1466" t="str">
        <f>할부!BF39</f>
        <v>iM캐피탈</v>
      </c>
      <c r="W36" s="1691"/>
      <c r="X36" s="1691"/>
      <c r="Y36" s="1691"/>
      <c r="Z36" s="1691"/>
      <c r="AA36" s="1691"/>
      <c r="AB36" s="1691"/>
      <c r="AC36" s="1691"/>
      <c r="AD36" s="1691"/>
      <c r="AE36" s="1691"/>
      <c r="AF36" s="1691"/>
      <c r="AG36" s="1691"/>
      <c r="AH36" s="1691"/>
      <c r="AI36" s="1692"/>
      <c r="AJ36" s="46"/>
      <c r="AM36" s="1196"/>
      <c r="AN36" s="1191"/>
      <c r="AO36" s="1191"/>
      <c r="AP36" s="1191"/>
      <c r="AQ36" s="1191"/>
      <c r="AR36" s="1191"/>
      <c r="AS36" s="1191"/>
      <c r="AT36" s="1191"/>
      <c r="AU36" s="1191"/>
      <c r="AV36" s="1191"/>
      <c r="AW36" s="1191"/>
      <c r="AX36" s="1191"/>
      <c r="AY36" s="1191"/>
      <c r="AZ36" s="1191"/>
      <c r="BA36" s="1191"/>
      <c r="BB36" s="1191"/>
      <c r="BC36" s="1191"/>
      <c r="BD36" s="1191"/>
      <c r="BE36" s="1191"/>
      <c r="BF36" s="1191"/>
      <c r="BG36" s="1191"/>
      <c r="BH36" s="1191"/>
      <c r="BI36" s="1191"/>
      <c r="BJ36" s="1191"/>
      <c r="BK36" s="1191"/>
      <c r="BL36" s="1191"/>
      <c r="BM36" s="1191"/>
      <c r="BN36" s="1197"/>
      <c r="BO36" s="2405"/>
      <c r="BP36" s="2405"/>
      <c r="BQ36" s="2405"/>
      <c r="BR36" s="2405"/>
      <c r="BT36" s="45"/>
      <c r="BU36" s="45"/>
    </row>
    <row r="37" spans="4:73" ht="20.100000000000001" customHeight="1">
      <c r="D37" s="1466">
        <f>할부!AS41</f>
        <v>0</v>
      </c>
      <c r="E37" s="1691"/>
      <c r="F37" s="1691"/>
      <c r="G37" s="1691"/>
      <c r="H37" s="2410"/>
      <c r="I37" s="2411">
        <f>할부!AS42</f>
        <v>0</v>
      </c>
      <c r="J37" s="2412"/>
      <c r="K37" s="2412"/>
      <c r="L37" s="2412"/>
      <c r="M37" s="2412"/>
      <c r="N37" s="2412"/>
      <c r="O37" s="2412"/>
      <c r="P37" s="2412"/>
      <c r="Q37" s="2413"/>
      <c r="V37" s="1466">
        <f>할부!BF40</f>
        <v>0</v>
      </c>
      <c r="W37" s="1691"/>
      <c r="X37" s="1691"/>
      <c r="Y37" s="1691"/>
      <c r="Z37" s="2410"/>
      <c r="AA37" s="2411">
        <f>할부!BF41</f>
        <v>0</v>
      </c>
      <c r="AB37" s="2412"/>
      <c r="AC37" s="2412"/>
      <c r="AD37" s="2412"/>
      <c r="AE37" s="2412"/>
      <c r="AF37" s="2412"/>
      <c r="AG37" s="2412"/>
      <c r="AH37" s="2412"/>
      <c r="AI37" s="2413"/>
      <c r="AM37" s="1196"/>
      <c r="AN37" s="1191"/>
      <c r="AO37" s="1191"/>
      <c r="AP37" s="1191"/>
      <c r="AQ37" s="1191"/>
      <c r="AR37" s="1191"/>
      <c r="AS37" s="1191"/>
      <c r="AT37" s="1191"/>
      <c r="AU37" s="1191"/>
      <c r="AV37" s="1191"/>
      <c r="AW37" s="1191"/>
      <c r="AX37" s="1191"/>
      <c r="AY37" s="1191"/>
      <c r="AZ37" s="1191"/>
      <c r="BA37" s="1191"/>
      <c r="BB37" s="1191"/>
      <c r="BC37" s="1191"/>
      <c r="BD37" s="1191"/>
      <c r="BE37" s="1191"/>
      <c r="BF37" s="1191"/>
      <c r="BG37" s="1191"/>
      <c r="BH37" s="1191"/>
      <c r="BI37" s="1191"/>
      <c r="BJ37" s="1191"/>
      <c r="BK37" s="1191"/>
      <c r="BL37" s="1191"/>
      <c r="BM37" s="1191"/>
      <c r="BN37" s="1197"/>
      <c r="BR37" s="48"/>
    </row>
    <row r="38" spans="4:73" ht="20.100000000000001" customHeight="1" thickBot="1">
      <c r="D38" s="57"/>
      <c r="AM38" s="1196"/>
      <c r="AN38" s="1190" t="s">
        <v>423</v>
      </c>
      <c r="AO38" s="1191"/>
      <c r="AP38" s="1191"/>
      <c r="AQ38" s="1191"/>
      <c r="AR38" s="1191"/>
      <c r="AS38" s="1191"/>
      <c r="AT38" s="1191"/>
      <c r="AU38" s="1191"/>
      <c r="AV38" s="1191"/>
      <c r="AW38" s="1191"/>
      <c r="AX38" s="1191"/>
      <c r="AY38" s="1191"/>
      <c r="AZ38" s="1191"/>
      <c r="BA38" s="1190" t="s">
        <v>424</v>
      </c>
      <c r="BB38" s="1191"/>
      <c r="BC38" s="1191"/>
      <c r="BD38" s="1191"/>
      <c r="BE38" s="1191"/>
      <c r="BF38" s="1191"/>
      <c r="BG38" s="1191"/>
      <c r="BH38" s="1191"/>
      <c r="BI38" s="1191"/>
      <c r="BJ38" s="1191"/>
      <c r="BK38" s="1191"/>
      <c r="BL38" s="1191"/>
      <c r="BM38" s="1191"/>
      <c r="BN38" s="1197"/>
      <c r="BR38" s="48"/>
    </row>
    <row r="39" spans="4:73" ht="20.100000000000001" customHeight="1">
      <c r="AM39" s="1196"/>
      <c r="AN39" s="1438" t="s">
        <v>242</v>
      </c>
      <c r="AO39" s="1439"/>
      <c r="AP39" s="1439"/>
      <c r="AQ39" s="1439"/>
      <c r="AR39" s="1439"/>
      <c r="AS39" s="1428" t="str">
        <f>'AG 입력시트'!S9</f>
        <v>기타</v>
      </c>
      <c r="AT39" s="1429"/>
      <c r="AU39" s="1429"/>
      <c r="AV39" s="1429"/>
      <c r="AW39" s="1429"/>
      <c r="AX39" s="1429"/>
      <c r="AY39" s="1429"/>
      <c r="AZ39" s="1430"/>
      <c r="BA39" s="1431" t="s">
        <v>438</v>
      </c>
      <c r="BB39" s="1432"/>
      <c r="BC39" s="1432"/>
      <c r="BD39" s="1432"/>
      <c r="BE39" s="1432"/>
      <c r="BF39" s="1433" t="s">
        <v>3050</v>
      </c>
      <c r="BG39" s="1434"/>
      <c r="BH39" s="1434"/>
      <c r="BI39" s="1434"/>
      <c r="BJ39" s="1434"/>
      <c r="BK39" s="1434"/>
      <c r="BL39" s="1434"/>
      <c r="BM39" s="1435"/>
      <c r="BN39" s="1197"/>
      <c r="BR39" s="48"/>
    </row>
    <row r="40" spans="4:73" ht="20.100000000000001" customHeight="1">
      <c r="D40" s="62" t="s">
        <v>458</v>
      </c>
      <c r="E40" s="1424" t="s">
        <v>459</v>
      </c>
      <c r="F40" s="1424"/>
      <c r="G40" s="1424"/>
      <c r="H40" s="1424"/>
      <c r="I40" s="1424"/>
      <c r="J40" s="1424"/>
      <c r="K40" s="1424"/>
      <c r="L40" s="1424"/>
      <c r="M40" s="1424"/>
      <c r="N40" s="1424"/>
      <c r="O40" s="1424"/>
      <c r="P40" s="1424"/>
      <c r="Q40" s="1424"/>
      <c r="R40" s="1424"/>
      <c r="S40" s="1424"/>
      <c r="T40" s="1424"/>
      <c r="U40" s="1424"/>
      <c r="V40" s="1424"/>
      <c r="W40" s="1424"/>
      <c r="X40" s="1424"/>
      <c r="Y40" s="1424"/>
      <c r="Z40" s="1424"/>
      <c r="AA40" s="1424"/>
      <c r="AB40" s="1424"/>
      <c r="AC40" s="1424"/>
      <c r="AD40" s="1424"/>
      <c r="AE40" s="1424"/>
      <c r="AF40" s="1424"/>
      <c r="AG40" s="1424"/>
      <c r="AM40" s="1196"/>
      <c r="AN40" s="2403" t="s">
        <v>441</v>
      </c>
      <c r="AO40" s="2404"/>
      <c r="AP40" s="2404"/>
      <c r="AQ40" s="2404"/>
      <c r="AR40" s="2404"/>
      <c r="AS40" s="1414"/>
      <c r="AT40" s="1415"/>
      <c r="AU40" s="1415"/>
      <c r="AV40" s="1415"/>
      <c r="AW40" s="1415"/>
      <c r="AX40" s="1415"/>
      <c r="AY40" s="1415"/>
      <c r="AZ40" s="1416"/>
      <c r="BA40" s="1417" t="s">
        <v>339</v>
      </c>
      <c r="BB40" s="1418"/>
      <c r="BC40" s="1418"/>
      <c r="BD40" s="1418"/>
      <c r="BE40" s="1418"/>
      <c r="BF40" s="1414"/>
      <c r="BG40" s="1415"/>
      <c r="BH40" s="1415"/>
      <c r="BI40" s="1415"/>
      <c r="BJ40" s="1415"/>
      <c r="BK40" s="1415"/>
      <c r="BL40" s="1415"/>
      <c r="BM40" s="1423"/>
      <c r="BN40" s="1199"/>
    </row>
    <row r="41" spans="4:73" ht="20.100000000000001" customHeight="1">
      <c r="D41" s="62" t="s">
        <v>458</v>
      </c>
      <c r="E41" s="1427" t="s">
        <v>3057</v>
      </c>
      <c r="F41" s="1427"/>
      <c r="G41" s="1427"/>
      <c r="H41" s="1427"/>
      <c r="I41" s="1427"/>
      <c r="J41" s="1427"/>
      <c r="K41" s="1427"/>
      <c r="L41" s="1427"/>
      <c r="M41" s="1427"/>
      <c r="N41" s="1427"/>
      <c r="O41" s="1427"/>
      <c r="P41" s="1427"/>
      <c r="Q41" s="1427"/>
      <c r="R41" s="1427"/>
      <c r="S41" s="1427"/>
      <c r="T41" s="1427"/>
      <c r="U41" s="1427"/>
      <c r="V41" s="1427"/>
      <c r="W41" s="1427"/>
      <c r="X41" s="1427"/>
      <c r="Y41" s="1427"/>
      <c r="Z41" s="1427"/>
      <c r="AA41" s="1427"/>
      <c r="AB41" s="1427"/>
      <c r="AC41" s="1427"/>
      <c r="AD41" s="1427"/>
      <c r="AE41" s="1427"/>
      <c r="AF41" s="1427"/>
      <c r="AG41" s="1427"/>
      <c r="AM41" s="1196"/>
      <c r="AN41" s="2389" t="s">
        <v>442</v>
      </c>
      <c r="AO41" s="2390"/>
      <c r="AP41" s="2390"/>
      <c r="AQ41" s="2390"/>
      <c r="AR41" s="2390"/>
      <c r="AS41" s="1414"/>
      <c r="AT41" s="1415"/>
      <c r="AU41" s="1415"/>
      <c r="AV41" s="1415"/>
      <c r="AW41" s="1415"/>
      <c r="AX41" s="1415"/>
      <c r="AY41" s="1415"/>
      <c r="AZ41" s="1416"/>
      <c r="BA41" s="1406" t="s">
        <v>422</v>
      </c>
      <c r="BB41" s="1422"/>
      <c r="BC41" s="1422"/>
      <c r="BD41" s="1422"/>
      <c r="BE41" s="1422"/>
      <c r="BF41" s="1414"/>
      <c r="BG41" s="1415"/>
      <c r="BH41" s="1415"/>
      <c r="BI41" s="1415"/>
      <c r="BJ41" s="1415"/>
      <c r="BK41" s="1415"/>
      <c r="BL41" s="1415"/>
      <c r="BM41" s="1423"/>
      <c r="BN41" s="1197"/>
    </row>
    <row r="42" spans="4:73" ht="20.100000000000001" customHeight="1" thickBot="1">
      <c r="AM42" s="1196"/>
      <c r="AN42" s="1425" t="s">
        <v>422</v>
      </c>
      <c r="AO42" s="1426"/>
      <c r="AP42" s="1426"/>
      <c r="AQ42" s="1426"/>
      <c r="AR42" s="1426"/>
      <c r="AS42" s="1710"/>
      <c r="AT42" s="1711"/>
      <c r="AU42" s="1711"/>
      <c r="AV42" s="1711"/>
      <c r="AW42" s="1711"/>
      <c r="AX42" s="1711"/>
      <c r="AY42" s="1711"/>
      <c r="AZ42" s="1712"/>
      <c r="BA42" s="2391"/>
      <c r="BB42" s="2392"/>
      <c r="BC42" s="2392"/>
      <c r="BD42" s="2392"/>
      <c r="BE42" s="2392"/>
      <c r="BF42" s="1710"/>
      <c r="BG42" s="1711"/>
      <c r="BH42" s="1711"/>
      <c r="BI42" s="1711"/>
      <c r="BJ42" s="1711"/>
      <c r="BK42" s="1711"/>
      <c r="BL42" s="1711"/>
      <c r="BM42" s="1714"/>
      <c r="BN42" s="1197"/>
    </row>
    <row r="43" spans="4:73" ht="20.100000000000001" customHeight="1" thickBot="1">
      <c r="AM43" s="1200"/>
      <c r="AN43" s="1201"/>
      <c r="AO43" s="1201"/>
      <c r="AP43" s="1201"/>
      <c r="AQ43" s="1201"/>
      <c r="AR43" s="1201"/>
      <c r="AS43" s="1201"/>
      <c r="AT43" s="1201"/>
      <c r="AU43" s="1201"/>
      <c r="AV43" s="1201"/>
      <c r="AW43" s="1201"/>
      <c r="AX43" s="1201"/>
      <c r="AY43" s="1201"/>
      <c r="AZ43" s="1201"/>
      <c r="BA43" s="1201"/>
      <c r="BB43" s="1201"/>
      <c r="BC43" s="1201"/>
      <c r="BD43" s="1201"/>
      <c r="BE43" s="1201"/>
      <c r="BF43" s="1201"/>
      <c r="BG43" s="1201"/>
      <c r="BH43" s="1201"/>
      <c r="BI43" s="1201"/>
      <c r="BJ43" s="1201"/>
      <c r="BK43" s="1201"/>
      <c r="BL43" s="1201"/>
      <c r="BM43" s="1201"/>
      <c r="BN43" s="1202"/>
    </row>
    <row r="44" spans="4:73" ht="20.100000000000001" customHeight="1"/>
    <row r="45" spans="4:73" ht="20.100000000000001" customHeight="1"/>
    <row r="46" spans="4:73" ht="20.100000000000001" customHeight="1"/>
    <row r="47" spans="4:73" ht="20.100000000000001" customHeight="1"/>
    <row r="48" spans="4:73" ht="20.100000000000001" customHeight="1"/>
    <row r="49" spans="6:52" ht="20.100000000000001" customHeight="1">
      <c r="F49" s="46"/>
    </row>
    <row r="50" spans="6:52" ht="20.100000000000001" customHeight="1">
      <c r="F50" s="46"/>
    </row>
    <row r="51" spans="6:52" ht="20.100000000000001" customHeight="1">
      <c r="F51" s="46"/>
    </row>
    <row r="52" spans="6:52" ht="20.100000000000001" hidden="1" customHeight="1">
      <c r="AN52" s="2385" t="s">
        <v>271</v>
      </c>
      <c r="AO52" s="2385"/>
      <c r="AP52" s="2385"/>
      <c r="AQ52" s="2385"/>
      <c r="AR52" s="2385"/>
      <c r="AS52" s="2386"/>
      <c r="AT52" s="2387"/>
      <c r="AU52" s="2387"/>
      <c r="AV52" s="2387"/>
      <c r="AW52" s="2387"/>
      <c r="AX52" s="2387"/>
      <c r="AY52" s="2387"/>
      <c r="AZ52" s="2388"/>
    </row>
  </sheetData>
  <dataConsolidate/>
  <mergeCells count="126">
    <mergeCell ref="BT26:BY29"/>
    <mergeCell ref="AN1:BM2"/>
    <mergeCell ref="D3:AH5"/>
    <mergeCell ref="AN4:AR4"/>
    <mergeCell ref="AS4:BM4"/>
    <mergeCell ref="AN5:AR5"/>
    <mergeCell ref="AS5:BM5"/>
    <mergeCell ref="D9:J9"/>
    <mergeCell ref="K9:AI9"/>
    <mergeCell ref="AN9:AR9"/>
    <mergeCell ref="AS9:BM9"/>
    <mergeCell ref="D10:J10"/>
    <mergeCell ref="K10:AI10"/>
    <mergeCell ref="Y6:AF6"/>
    <mergeCell ref="AG6:AH6"/>
    <mergeCell ref="AN6:AR6"/>
    <mergeCell ref="AS6:BM6"/>
    <mergeCell ref="Y7:AA7"/>
    <mergeCell ref="AB7:AG7"/>
    <mergeCell ref="AN7:AR8"/>
    <mergeCell ref="AS7:BM8"/>
    <mergeCell ref="AB8:AG8"/>
    <mergeCell ref="D11:J11"/>
    <mergeCell ref="K11:AC11"/>
    <mergeCell ref="AD11:AI11"/>
    <mergeCell ref="AN11:AR11"/>
    <mergeCell ref="AS11:BM11"/>
    <mergeCell ref="D12:J12"/>
    <mergeCell ref="K12:AI12"/>
    <mergeCell ref="AN12:AR12"/>
    <mergeCell ref="AS12:AX12"/>
    <mergeCell ref="BA12:BE12"/>
    <mergeCell ref="D14:J14"/>
    <mergeCell ref="K14:AI14"/>
    <mergeCell ref="AN14:AR14"/>
    <mergeCell ref="AS14:BM14"/>
    <mergeCell ref="AN15:AR15"/>
    <mergeCell ref="AS15:BM15"/>
    <mergeCell ref="BF12:BM12"/>
    <mergeCell ref="D13:J13"/>
    <mergeCell ref="K13:AI13"/>
    <mergeCell ref="AN13:AR13"/>
    <mergeCell ref="AS13:AX13"/>
    <mergeCell ref="BA13:BE13"/>
    <mergeCell ref="BF13:BM13"/>
    <mergeCell ref="AS18:BC18"/>
    <mergeCell ref="BD18:BM18"/>
    <mergeCell ref="AN19:AR19"/>
    <mergeCell ref="AN17:AR18"/>
    <mergeCell ref="AS17:BM17"/>
    <mergeCell ref="D17:J18"/>
    <mergeCell ref="K17:R18"/>
    <mergeCell ref="K19:R20"/>
    <mergeCell ref="D21:J22"/>
    <mergeCell ref="K21:R22"/>
    <mergeCell ref="T17:Z18"/>
    <mergeCell ref="AA17:AI18"/>
    <mergeCell ref="AS21:BM21"/>
    <mergeCell ref="AN22:AR22"/>
    <mergeCell ref="AS22:BC22"/>
    <mergeCell ref="BD22:BM22"/>
    <mergeCell ref="AS19:BM19"/>
    <mergeCell ref="AN20:AR21"/>
    <mergeCell ref="AS20:BC20"/>
    <mergeCell ref="BD20:BM20"/>
    <mergeCell ref="D19:J20"/>
    <mergeCell ref="T19:Z20"/>
    <mergeCell ref="AA19:AI20"/>
    <mergeCell ref="T21:Z22"/>
    <mergeCell ref="AN24:AR25"/>
    <mergeCell ref="AS24:BM25"/>
    <mergeCell ref="AS28:BM29"/>
    <mergeCell ref="E40:AG40"/>
    <mergeCell ref="AN40:AR40"/>
    <mergeCell ref="AS40:AZ40"/>
    <mergeCell ref="BA40:BE40"/>
    <mergeCell ref="BO36:BR36"/>
    <mergeCell ref="AN32:AR34"/>
    <mergeCell ref="BF40:BM40"/>
    <mergeCell ref="D36:Q36"/>
    <mergeCell ref="V36:AI36"/>
    <mergeCell ref="D37:H37"/>
    <mergeCell ref="I37:Q37"/>
    <mergeCell ref="V37:Z37"/>
    <mergeCell ref="AA37:AI37"/>
    <mergeCell ref="AN39:AR39"/>
    <mergeCell ref="AS39:AZ39"/>
    <mergeCell ref="BA39:BE39"/>
    <mergeCell ref="BF39:BM39"/>
    <mergeCell ref="AS32:AZ34"/>
    <mergeCell ref="BA32:BM34"/>
    <mergeCell ref="AN52:AR52"/>
    <mergeCell ref="AS52:AZ52"/>
    <mergeCell ref="E41:AG41"/>
    <mergeCell ref="AN41:AR41"/>
    <mergeCell ref="AN42:AR42"/>
    <mergeCell ref="BA41:BE41"/>
    <mergeCell ref="BF41:BM41"/>
    <mergeCell ref="BA42:BE42"/>
    <mergeCell ref="BF42:BM42"/>
    <mergeCell ref="AS41:AZ41"/>
    <mergeCell ref="AS42:AZ42"/>
    <mergeCell ref="AA21:AI22"/>
    <mergeCell ref="AA23:AI24"/>
    <mergeCell ref="T28:AI29"/>
    <mergeCell ref="T26:Z26"/>
    <mergeCell ref="AA26:AI26"/>
    <mergeCell ref="D30:J31"/>
    <mergeCell ref="D28:J29"/>
    <mergeCell ref="AN23:AR23"/>
    <mergeCell ref="AS23:BC23"/>
    <mergeCell ref="AN30:AR31"/>
    <mergeCell ref="AN28:AR29"/>
    <mergeCell ref="AN27:AR27"/>
    <mergeCell ref="AS27:BM27"/>
    <mergeCell ref="K28:R29"/>
    <mergeCell ref="BD23:BM23"/>
    <mergeCell ref="AS30:BC31"/>
    <mergeCell ref="BD30:BM31"/>
    <mergeCell ref="T23:Z24"/>
    <mergeCell ref="T30:AI31"/>
    <mergeCell ref="D23:J24"/>
    <mergeCell ref="K23:R24"/>
    <mergeCell ref="D25:J26"/>
    <mergeCell ref="K25:R26"/>
    <mergeCell ref="K30:R31"/>
  </mergeCells>
  <phoneticPr fontId="2" type="noConversion"/>
  <conditionalFormatting sqref="BD18:BM18">
    <cfRule type="expression" dxfId="14" priority="28">
      <formula>$BR$18=FALSE</formula>
    </cfRule>
  </conditionalFormatting>
  <conditionalFormatting sqref="AJ16">
    <cfRule type="expression" dxfId="13" priority="25">
      <formula>$BR$30=FALSE</formula>
    </cfRule>
  </conditionalFormatting>
  <conditionalFormatting sqref="AJ26:AJ27">
    <cfRule type="expression" dxfId="12" priority="24">
      <formula>$BR$24=FALSE</formula>
    </cfRule>
  </conditionalFormatting>
  <conditionalFormatting sqref="AS30:BC31">
    <cfRule type="expression" dxfId="11" priority="19">
      <formula>$BR$3=2</formula>
    </cfRule>
  </conditionalFormatting>
  <conditionalFormatting sqref="T30 T28">
    <cfRule type="expression" dxfId="10" priority="6">
      <formula>$BR$3=2</formula>
    </cfRule>
  </conditionalFormatting>
  <conditionalFormatting sqref="AA26">
    <cfRule type="expression" dxfId="9" priority="5">
      <formula>$BR$32=FALSE</formula>
    </cfRule>
  </conditionalFormatting>
  <conditionalFormatting sqref="AA26">
    <cfRule type="expression" dxfId="8" priority="4">
      <formula>$BR$3=2</formula>
    </cfRule>
  </conditionalFormatting>
  <conditionalFormatting sqref="BT26">
    <cfRule type="expression" dxfId="7" priority="3">
      <formula>$BR$3=2</formula>
    </cfRule>
  </conditionalFormatting>
  <conditionalFormatting sqref="BT26:BY29">
    <cfRule type="expression" dxfId="6" priority="2">
      <formula>$AS$39="모터원"</formula>
    </cfRule>
  </conditionalFormatting>
  <dataValidations count="3">
    <dataValidation type="list" allowBlank="1" showInputMessage="1" showErrorMessage="1" sqref="AS7:BM8" xr:uid="{00000000-0002-0000-0E00-000000000000}">
      <formula1>INDIRECT($AS$6)</formula1>
    </dataValidation>
    <dataValidation type="decimal" allowBlank="1" showInputMessage="1" showErrorMessage="1" sqref="BD20" xr:uid="{00000000-0002-0000-0E00-000001000000}">
      <formula1>0</formula1>
      <formula2>0.9</formula2>
    </dataValidation>
    <dataValidation type="custom" allowBlank="1" showInputMessage="1" showErrorMessage="1" errorTitle="차량가 초과" error="할부원금은 차량가를 초과 할 수 없습니다." sqref="AS28:BM29" xr:uid="{00000000-0002-0000-0E00-000002000000}">
      <formula1>AS14+1&gt;AS28</formula1>
    </dataValidation>
  </dataValidations>
  <pageMargins left="0" right="0" top="0" bottom="0" header="0" footer="0"/>
  <pageSetup paperSize="9" scale="85" orientation="portrait" r:id="rId1"/>
  <colBreaks count="2" manualBreakCount="2">
    <brk id="37" max="1048575" man="1"/>
    <brk id="6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5297" r:id="rId4" name="Check Box 1">
              <controlPr defaultSize="0" autoFill="0" autoLine="0" autoPict="0">
                <anchor moveWithCells="1">
                  <from>
                    <xdr:col>47</xdr:col>
                    <xdr:colOff>38100</xdr:colOff>
                    <xdr:row>17</xdr:row>
                    <xdr:rowOff>9525</xdr:rowOff>
                  </from>
                  <to>
                    <xdr:col>51</xdr:col>
                    <xdr:colOff>38100</xdr:colOff>
                    <xdr:row>18</xdr:row>
                    <xdr:rowOff>0</xdr:rowOff>
                  </to>
                </anchor>
              </controlPr>
            </control>
          </mc:Choice>
        </mc:AlternateContent>
        <mc:AlternateContent xmlns:mc="http://schemas.openxmlformats.org/markup-compatibility/2006">
          <mc:Choice Requires="x14">
            <control shapeId="55304" r:id="rId5" name="Option Button 8">
              <controlPr defaultSize="0" autoFill="0" autoLine="0" autoPict="0">
                <anchor moveWithCells="1">
                  <from>
                    <xdr:col>56</xdr:col>
                    <xdr:colOff>171450</xdr:colOff>
                    <xdr:row>2</xdr:row>
                    <xdr:rowOff>0</xdr:rowOff>
                  </from>
                  <to>
                    <xdr:col>60</xdr:col>
                    <xdr:colOff>104775</xdr:colOff>
                    <xdr:row>3</xdr:row>
                    <xdr:rowOff>9525</xdr:rowOff>
                  </to>
                </anchor>
              </controlPr>
            </control>
          </mc:Choice>
        </mc:AlternateContent>
        <mc:AlternateContent xmlns:mc="http://schemas.openxmlformats.org/markup-compatibility/2006">
          <mc:Choice Requires="x14">
            <control shapeId="55311" r:id="rId6" name="Check Box 15">
              <controlPr defaultSize="0" autoFill="0" autoLine="0" autoPict="0">
                <anchor moveWithCells="1">
                  <from>
                    <xdr:col>124</xdr:col>
                    <xdr:colOff>285750</xdr:colOff>
                    <xdr:row>1</xdr:row>
                    <xdr:rowOff>114300</xdr:rowOff>
                  </from>
                  <to>
                    <xdr:col>126</xdr:col>
                    <xdr:colOff>190500</xdr:colOff>
                    <xdr:row>2</xdr:row>
                    <xdr:rowOff>104775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E00-000003000000}">
          <x14:formula1>
            <xm:f>IF($BR$3=1,할부금융계산!$H$4:$H$11,할부금융계산!$H$4:$H$5)</xm:f>
          </x14:formula1>
          <xm:sqref>AS19:BM19</xm:sqref>
        </x14:dataValidation>
        <x14:dataValidation type="list" allowBlank="1" showInputMessage="1" showErrorMessage="1" errorTitle="선수금 입력 오류" error="보증금과 선수금의 합계는 65%를 초과 할 수 없습니다" xr:uid="{00000000-0002-0000-0E00-000004000000}">
          <x14:formula1>
            <xm:f>할부금융계산!$H$26:$H$34</xm:f>
          </x14:formula1>
          <xm:sqref>AS30:BC31</xm:sqref>
        </x14:dataValidation>
        <x14:dataValidation type="list" allowBlank="1" showInputMessage="1" showErrorMessage="1" xr:uid="{00000000-0002-0000-0E00-000005000000}">
          <x14:formula1>
            <xm:f>할부금융계산!$P$5:$P$9</xm:f>
          </x14:formula1>
          <xm:sqref>AS27:BM27</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tabColor rgb="FFFF0000"/>
    <pageSetUpPr fitToPage="1"/>
  </sheetPr>
  <dimension ref="A1:AI96"/>
  <sheetViews>
    <sheetView showGridLines="0" zoomScaleNormal="100" workbookViewId="0">
      <selection activeCell="P29" sqref="P29"/>
    </sheetView>
  </sheetViews>
  <sheetFormatPr defaultColWidth="12.5" defaultRowHeight="12" customHeight="1"/>
  <cols>
    <col min="1" max="1" width="4.5" style="319" customWidth="1"/>
    <col min="2" max="5" width="12.5" style="319"/>
    <col min="6" max="6" width="13.125" style="319" bestFit="1" customWidth="1"/>
    <col min="7" max="12" width="12.5" style="319"/>
    <col min="13" max="13" width="16.875" style="319" bestFit="1" customWidth="1"/>
    <col min="14" max="21" width="12.5" style="319"/>
    <col min="22" max="22" width="12.5" style="321"/>
    <col min="23" max="28" width="12.5" style="319"/>
    <col min="29" max="16384" width="12.5" style="323"/>
  </cols>
  <sheetData>
    <row r="1" spans="2:35" ht="12" customHeight="1">
      <c r="B1" s="319" t="str">
        <f>'AG 입력시트'!AE51</f>
        <v>Ver.241202</v>
      </c>
    </row>
    <row r="2" spans="2:35" ht="12" customHeight="1">
      <c r="B2" s="320" t="s">
        <v>341</v>
      </c>
      <c r="G2" s="320" t="s">
        <v>342</v>
      </c>
      <c r="L2" s="320" t="s">
        <v>343</v>
      </c>
      <c r="M2" s="321"/>
      <c r="O2" s="2453" t="s">
        <v>344</v>
      </c>
      <c r="P2" s="2453"/>
      <c r="R2" s="320" t="s">
        <v>345</v>
      </c>
      <c r="AB2" s="322" t="s">
        <v>346</v>
      </c>
      <c r="AC2" s="322"/>
      <c r="AE2" s="322" t="s">
        <v>347</v>
      </c>
      <c r="AF2" s="322"/>
      <c r="AH2" s="322" t="s">
        <v>348</v>
      </c>
      <c r="AI2" s="322"/>
    </row>
    <row r="3" spans="2:35" ht="12" customHeight="1">
      <c r="B3" s="186" t="s">
        <v>349</v>
      </c>
      <c r="C3" s="324">
        <f>할부!AS14</f>
        <v>50000000</v>
      </c>
      <c r="D3" s="319" t="str">
        <f>IF(할부!BR3=1,"할부금융","금융리스")</f>
        <v>할부금융</v>
      </c>
      <c r="F3" s="325"/>
      <c r="G3" s="93">
        <v>1</v>
      </c>
      <c r="H3" s="93" t="s">
        <v>350</v>
      </c>
      <c r="I3" s="326"/>
      <c r="J3" s="325"/>
      <c r="K3" s="325"/>
      <c r="L3" s="327" t="s">
        <v>351</v>
      </c>
      <c r="M3" s="328" t="e">
        <f>IF(C46=TRUE,M11,FALSE)</f>
        <v>#N/A</v>
      </c>
      <c r="N3" s="325"/>
      <c r="O3" s="329">
        <v>3</v>
      </c>
      <c r="P3" s="330" t="s">
        <v>352</v>
      </c>
      <c r="Q3" s="325"/>
      <c r="R3" s="2454" t="s">
        <v>353</v>
      </c>
      <c r="S3" s="123" t="s">
        <v>354</v>
      </c>
      <c r="T3" s="96" t="s">
        <v>355</v>
      </c>
      <c r="U3" s="97" t="s">
        <v>356</v>
      </c>
      <c r="V3" s="98"/>
      <c r="W3" s="98"/>
      <c r="X3" s="98"/>
      <c r="Y3" s="99"/>
      <c r="Z3" s="2454" t="s">
        <v>357</v>
      </c>
      <c r="AB3" s="331"/>
      <c r="AC3" s="31" t="s">
        <v>358</v>
      </c>
      <c r="AE3" s="331"/>
      <c r="AF3" s="31" t="s">
        <v>358</v>
      </c>
      <c r="AH3" s="331"/>
      <c r="AI3" s="31" t="s">
        <v>358</v>
      </c>
    </row>
    <row r="4" spans="2:35" ht="12" customHeight="1">
      <c r="B4" s="186" t="s">
        <v>359</v>
      </c>
      <c r="C4" s="332" t="str">
        <f>VLOOKUP(할부!AS7,차량정보!D:O,3,0)</f>
        <v>승용일반</v>
      </c>
      <c r="D4" s="319" t="str">
        <f>할부!AS5</f>
        <v>국산</v>
      </c>
      <c r="G4" s="94">
        <v>1</v>
      </c>
      <c r="H4" s="94" t="s">
        <v>333</v>
      </c>
      <c r="I4" s="333">
        <f>+IF($C$6="서울",VLOOKUP($C$4,$R$5:$Y$15,4,0),0)</f>
        <v>654500</v>
      </c>
      <c r="O4" s="326">
        <v>1</v>
      </c>
      <c r="P4" s="334">
        <v>24</v>
      </c>
      <c r="R4" s="2455"/>
      <c r="S4" s="96" t="s">
        <v>360</v>
      </c>
      <c r="T4" s="96" t="s">
        <v>360</v>
      </c>
      <c r="U4" s="100" t="s">
        <v>361</v>
      </c>
      <c r="V4" s="100" t="s">
        <v>362</v>
      </c>
      <c r="W4" s="100" t="s">
        <v>363</v>
      </c>
      <c r="X4" s="100" t="s">
        <v>364</v>
      </c>
      <c r="Y4" s="100" t="s">
        <v>365</v>
      </c>
      <c r="Z4" s="2455"/>
      <c r="AB4" s="335"/>
      <c r="AC4" s="32" t="e">
        <f>IRR(AC6:AC66,0)*12</f>
        <v>#VALUE!</v>
      </c>
      <c r="AE4" s="335"/>
      <c r="AF4" s="32">
        <f>IRR(AF6:AF66,0)*12</f>
        <v>3.999863699529449E-2</v>
      </c>
      <c r="AH4" s="335"/>
      <c r="AI4" s="32">
        <f>IRR(AI6:AI66,0)*12</f>
        <v>3.999863699529449E-2</v>
      </c>
    </row>
    <row r="5" spans="2:35" ht="12" customHeight="1">
      <c r="B5" s="186" t="s">
        <v>366</v>
      </c>
      <c r="C5" s="332">
        <f>할부!AD11</f>
        <v>1999</v>
      </c>
      <c r="G5" s="94">
        <v>2</v>
      </c>
      <c r="H5" s="94" t="s">
        <v>534</v>
      </c>
      <c r="I5" s="333">
        <f>+IF($C$6="부산",VLOOKUP($C$4,$R$5:$Y$15,5,0),0)</f>
        <v>0</v>
      </c>
      <c r="L5" s="320" t="s">
        <v>367</v>
      </c>
      <c r="M5" s="321"/>
      <c r="O5" s="332">
        <v>2</v>
      </c>
      <c r="P5" s="334">
        <v>36</v>
      </c>
      <c r="R5" s="101" t="s">
        <v>368</v>
      </c>
      <c r="S5" s="102">
        <v>0.04</v>
      </c>
      <c r="T5" s="103">
        <f t="shared" ref="T5:T11" si="0">IF(ROUNDDOWN($C$3/1.1*S5,-1)&lt;=500000, 0,IF(ROUNDDOWN($C$3/1.1*S5,-1)-500000,ROUNDDOWN($C$3/1.1*S5,-1),0))</f>
        <v>1818180</v>
      </c>
      <c r="U5" s="104">
        <v>0</v>
      </c>
      <c r="V5" s="104">
        <v>0</v>
      </c>
      <c r="W5" s="104">
        <v>0</v>
      </c>
      <c r="X5" s="105">
        <v>0</v>
      </c>
      <c r="Y5" s="105">
        <v>0</v>
      </c>
      <c r="Z5" s="106">
        <f>IF(C5&gt;1600,C5*260,IF(C5&gt;1000,C5*182,C5*104))</f>
        <v>519740</v>
      </c>
      <c r="AB5" s="335"/>
      <c r="AC5" s="33"/>
      <c r="AE5" s="335"/>
      <c r="AF5" s="33"/>
      <c r="AH5" s="335"/>
      <c r="AI5" s="33"/>
    </row>
    <row r="6" spans="2:35" ht="12" customHeight="1">
      <c r="B6" s="186" t="s">
        <v>369</v>
      </c>
      <c r="C6" s="332" t="str">
        <f>할부!AS19</f>
        <v>서울</v>
      </c>
      <c r="G6" s="94">
        <v>3</v>
      </c>
      <c r="H6" s="94" t="s">
        <v>535</v>
      </c>
      <c r="I6" s="333">
        <f>+IF($C$6="대구",VLOOKUP($C$4,$R$5:$Y$15,5,0),0)</f>
        <v>0</v>
      </c>
      <c r="L6" s="336" t="s">
        <v>370</v>
      </c>
      <c r="M6" s="358" t="e">
        <f>RATE(C13,M3,-C14-E37-C49-C48,0,0)*12</f>
        <v>#N/A</v>
      </c>
      <c r="O6" s="332">
        <v>3</v>
      </c>
      <c r="P6" s="334">
        <v>48</v>
      </c>
      <c r="R6" s="101" t="s">
        <v>371</v>
      </c>
      <c r="S6" s="102">
        <v>7.0000000000000007E-2</v>
      </c>
      <c r="T6" s="103">
        <f t="shared" si="0"/>
        <v>3181810</v>
      </c>
      <c r="U6" s="104">
        <f>ROUNDDOWN(C3/1.1*IF(C5&gt;=2000,20%,IF(C5&gt;=1600,12%,9%))*C9,-2)</f>
        <v>654500</v>
      </c>
      <c r="V6" s="104">
        <f>IF(C6="부산",(ROUNDDOWN(C3/1.1*IF(C5&gt;=2000,5%,0%)*C9,-2)),(ROUNDDOWN(C3/1.1*IF(C5&gt;=2000,5%,0%)*C9,-2)))</f>
        <v>0</v>
      </c>
      <c r="W6" s="104">
        <f>IF(C6="인천",(ROUNDDOWN(C3/1.1*IF(C5&gt;=2000,5%,0%)*C9,-2)),(ROUNDDOWN(C3/1.1*IF(C5&gt;=2000,5%,IF(C5&gt;=1500,4%,0%))*C9,-2)))</f>
        <v>218100</v>
      </c>
      <c r="X6" s="105">
        <f>ROUNDDOWN(C3/1.1*IF(C5&gt;=2000,5%,IF(C5&gt;=1600,4%,3%))*C9,-2)</f>
        <v>218100</v>
      </c>
      <c r="Y6" s="105">
        <f>IF(C6="경기",
IF(C3&gt;=50000000,
IF(C5&lt;=1600,C3/ 1.1*6%*C9,
IF(C5&lt;=2000,C3/ 1.1*8%*C9,C3/ 1.1*12%*C9)),
IF(C5&lt;=2000, 0,C3/ 1.1*6%*C9)),
(ROUNDDOWN(C3/1.1*IF(C5&gt;=2000,12%,IF(C5&gt;=1600,8%,6%))*C9,-2)))</f>
        <v>436300</v>
      </c>
      <c r="Z6" s="103">
        <f>IF(C5&gt;1600,C5*260,IF(C5&gt;1000,C5*182,C5*104))</f>
        <v>519740</v>
      </c>
      <c r="AB6" s="335">
        <v>0</v>
      </c>
      <c r="AC6" s="33">
        <f>-C14-E37-C48-C49</f>
        <v>-153525000</v>
      </c>
      <c r="AE6" s="335">
        <v>0</v>
      </c>
      <c r="AF6" s="33">
        <f>-C14-E37-C48-C49</f>
        <v>-153525000</v>
      </c>
      <c r="AH6" s="335">
        <v>0</v>
      </c>
      <c r="AI6" s="33">
        <f>-C14-E37-C48-C49</f>
        <v>-153525000</v>
      </c>
    </row>
    <row r="7" spans="2:35" ht="12" customHeight="1">
      <c r="B7" s="186" t="s">
        <v>372</v>
      </c>
      <c r="C7" s="337">
        <f>+VLOOKUP(C4,R5:S15,2,0)</f>
        <v>7.0000000000000007E-2</v>
      </c>
      <c r="D7" s="319" t="b">
        <f>할부!BR18</f>
        <v>0</v>
      </c>
      <c r="F7" s="338"/>
      <c r="G7" s="94">
        <v>4</v>
      </c>
      <c r="H7" s="94" t="s">
        <v>334</v>
      </c>
      <c r="I7" s="333">
        <f>+IF(C6="경남",VLOOKUP(C4,R5:W15,6,0),0)</f>
        <v>0</v>
      </c>
      <c r="J7" s="338"/>
      <c r="K7" s="338"/>
      <c r="L7" s="339" t="s">
        <v>90</v>
      </c>
      <c r="M7" s="340" t="e">
        <f>TRUNC(PMT(M6/12,C13,-C14-E37-C48-C49,0,0),-1)</f>
        <v>#N/A</v>
      </c>
      <c r="N7" s="338"/>
      <c r="O7" s="332">
        <v>4</v>
      </c>
      <c r="P7" s="334">
        <v>60</v>
      </c>
      <c r="Q7" s="338"/>
      <c r="R7" s="101" t="s">
        <v>43</v>
      </c>
      <c r="S7" s="102">
        <v>7.0000000000000007E-2</v>
      </c>
      <c r="T7" s="103">
        <f t="shared" si="0"/>
        <v>3181810</v>
      </c>
      <c r="U7" s="104">
        <f>ROUNDDOWN(C3/1.1*5%*C9,-2)</f>
        <v>272700</v>
      </c>
      <c r="V7" s="104">
        <v>0</v>
      </c>
      <c r="W7" s="104">
        <f>IF(C6="인천",(ROUNDDOWN(C3/1.1*IF(C5&gt;=2000,4%,0%)*C9,-2)),(ROUNDDOWN(C3/1.1*IF(C5&gt;=2000,5%,IF(C5&gt;=1500,4%,0%))*C9,-2)))</f>
        <v>218100</v>
      </c>
      <c r="X7" s="105">
        <f>ROUNDDOWN(C3/1.1*IF(C5&gt;=2000,5%,IF(C5&gt;=1600,4%,3%))*C9,-2)</f>
        <v>218100</v>
      </c>
      <c r="Y7" s="105">
        <f>IF(C6="경기",
IF(C3&gt;=50000000,
IF(C5&lt;=1600,C3/ 1.1*6%*C9,
IF(C5&lt;=2000,C3/ 1.1*8%*C9,C3/ 1.1*12%*C9)),
IF(C5&lt;=2000, 0,C3/ 1.1*6%*C9)),
(ROUNDDOWN(C3/1.1*IF(C5&gt;=2000,12%,IF(C5&gt;=1600,8%,6%))*C9,-2)))</f>
        <v>436300</v>
      </c>
      <c r="Z7" s="103">
        <f>IF(C5&gt;1600,C5*260,IF(C5&gt;1000,C5*182,C5*104))</f>
        <v>519740</v>
      </c>
      <c r="AB7" s="335">
        <v>1</v>
      </c>
      <c r="AC7" s="33" t="e">
        <f>IF(AB7&lt;$C$13,$M$3,IF(AB7=$C$13,$M$3,0))</f>
        <v>#N/A</v>
      </c>
      <c r="AE7" s="335">
        <v>1</v>
      </c>
      <c r="AF7" s="33">
        <f>IF(AE7&lt;$C$13,$M$17,IF(AE7=$C$13,$M$17,0))</f>
        <v>3466440</v>
      </c>
      <c r="AH7" s="335">
        <v>1</v>
      </c>
      <c r="AI7" s="33">
        <f>IF(AH7&lt;$C$13,$M$31,IF(AH7=$C$13,$M$31,0))</f>
        <v>3466440</v>
      </c>
    </row>
    <row r="8" spans="2:35" ht="12" customHeight="1">
      <c r="B8" s="186" t="s">
        <v>373</v>
      </c>
      <c r="C8" s="333">
        <f>+IF(D7=TRUE,할부!AS17,VLOOKUP(C4,R5:T15,3,0))</f>
        <v>3181810</v>
      </c>
      <c r="F8" s="343"/>
      <c r="G8" s="94">
        <v>5</v>
      </c>
      <c r="H8" s="94" t="s">
        <v>335</v>
      </c>
      <c r="I8" s="333">
        <f>+IF(C6="인천",VLOOKUP(C4,R5:W15,6,0),0)</f>
        <v>0</v>
      </c>
      <c r="J8" s="343"/>
      <c r="K8" s="343"/>
      <c r="L8" s="339" t="s">
        <v>374</v>
      </c>
      <c r="M8" s="987" t="e">
        <f>INDEX($P$28:$R$32,MATCH($C$13,$O$28:$O$32,0),MATCH($M$14,$P$27:$R$27,0))</f>
        <v>#N/A</v>
      </c>
      <c r="N8" s="984">
        <f>IF(C13=36,7.8%,IF(C13=48,7.4%,IF(C13=60,7.4%,IF(C13=72,7.2%,IF(C13=84,7.2%)))))</f>
        <v>7.400000000000001E-2</v>
      </c>
      <c r="O8" s="332">
        <v>5</v>
      </c>
      <c r="P8" s="334">
        <v>72</v>
      </c>
      <c r="Q8" s="343"/>
      <c r="R8" s="101" t="s">
        <v>375</v>
      </c>
      <c r="S8" s="102">
        <v>7.0000000000000007E-2</v>
      </c>
      <c r="T8" s="103">
        <f t="shared" si="0"/>
        <v>3181810</v>
      </c>
      <c r="U8" s="104">
        <f>ROUNDDOWN(390000*C9,-2)</f>
        <v>46800</v>
      </c>
      <c r="V8" s="104">
        <v>0</v>
      </c>
      <c r="W8" s="104">
        <f>IF(C6="인천",0,(ROUNDDOWN(390000*C9,-2)))</f>
        <v>46800</v>
      </c>
      <c r="X8" s="105">
        <f>ROUNDDOWN(C3/1.1*IF(C5&gt;=2000,5%,IF(C5&gt;=1600,4%,3%))*C9,-2)</f>
        <v>218100</v>
      </c>
      <c r="Y8" s="105">
        <f>IF(C6="경기",
IF(C3&gt;=50000000,
IF(C5&lt;=1600,C3/ 1.1*6%*C9,
IF(C5&lt;=2000,C3/ 1.1*8%*C9,C3/ 1.1*12%*C9)),
IF(C5&lt;=2000, 0,C3/ 1.1*6%*C9)),
(ROUNDDOWN(C3/1.1*IF(C5&gt;=2000,12%,IF(C5&gt;=1600,8%,6%))*C9,-2)))</f>
        <v>436300</v>
      </c>
      <c r="Z8" s="103">
        <f>IF(C5&gt;1600,C5*260,IF(C5&gt;1000,C5*182,C5*104))</f>
        <v>519740</v>
      </c>
      <c r="AA8" s="323"/>
      <c r="AB8" s="335">
        <v>2</v>
      </c>
      <c r="AC8" s="33" t="e">
        <f t="shared" ref="AC8:AC48" si="1">IF(AB8&lt;$C$13,$M$3,IF(AB8=$C$13,$M$3,0))</f>
        <v>#N/A</v>
      </c>
      <c r="AE8" s="335">
        <v>2</v>
      </c>
      <c r="AF8" s="33">
        <f t="shared" ref="AF8:AF48" si="2">IF(AE8&lt;$C$13,$M$17,IF(AE8=$C$13,$M$17,0))</f>
        <v>3466440</v>
      </c>
      <c r="AH8" s="335">
        <v>2</v>
      </c>
      <c r="AI8" s="33">
        <f t="shared" ref="AI8:AI48" si="3">IF(AH8&lt;$C$13,$M$31,IF(AH8=$C$13,$M$31,0))</f>
        <v>3466440</v>
      </c>
    </row>
    <row r="9" spans="2:35" ht="12" customHeight="1">
      <c r="B9" s="186" t="s">
        <v>48</v>
      </c>
      <c r="C9" s="345">
        <f>할부!BD20</f>
        <v>0.12</v>
      </c>
      <c r="F9" s="346"/>
      <c r="G9" s="94">
        <v>6</v>
      </c>
      <c r="H9" s="94" t="s">
        <v>336</v>
      </c>
      <c r="I9" s="333">
        <f>+IF($C$6="제주",VLOOKUP($C$4,$R$5:$Y$15,7,0),0)</f>
        <v>0</v>
      </c>
      <c r="J9" s="346"/>
      <c r="K9" s="346"/>
      <c r="L9" s="339" t="s">
        <v>376</v>
      </c>
      <c r="M9" s="986" t="e">
        <f>+ROUND(M8,5)</f>
        <v>#N/A</v>
      </c>
      <c r="N9" s="985">
        <v>7.8E-2</v>
      </c>
      <c r="O9" s="341">
        <v>6</v>
      </c>
      <c r="P9" s="342">
        <v>84</v>
      </c>
      <c r="Q9" s="346"/>
      <c r="R9" s="107" t="s">
        <v>377</v>
      </c>
      <c r="S9" s="108">
        <v>7.0000000000000007E-2</v>
      </c>
      <c r="T9" s="106">
        <f t="shared" si="0"/>
        <v>3181810</v>
      </c>
      <c r="U9" s="109">
        <f>IF((C3/1.1*IF(C5&gt;=2000,20%,IF(C5&gt;=1600,12%,9%)))&lt;=2000000, 0, ROUNDDOWN((C3/1.1*IF(C5&gt;=2000,20%,IF(C5&gt;=1600,12%,9%))-2000000)*C9,-2))</f>
        <v>414500</v>
      </c>
      <c r="V9" s="110">
        <f>IF((C3/1.1*IF(C5&gt;=2000,5%,0%))&lt;=2000000, 0, ROUNDDOWN((C3/1.1*IF(C5&gt;=2000,5%,0%)-2000000)*C9,-2))</f>
        <v>0</v>
      </c>
      <c r="W9" s="109">
        <f>IF(C6="인천",(ROUNDDOWN(C3/1.1*IF(C5&gt;=2000,5%,0%)*C9,-2)),(ROUNDDOWN(C3/1.1*IF(C5&gt;=2000,5%,IF(C5&gt;=1500,4%,0%))*C9,-2)))</f>
        <v>218100</v>
      </c>
      <c r="X9" s="111">
        <f>ROUNDDOWN(C3/1.1*IF(C5&gt;=2000,5%,IF(C5&gt;=1600,4%,3%))*C9,-2)</f>
        <v>218100</v>
      </c>
      <c r="Y9" s="111">
        <f>IF(C6="경기",(IF(C5&gt;=2000,(ROUNDDOWN((IF(RIGHT(C3/1.1*6%,4)&lt;5000,((C3/1.1*6%)-(RIGHT(C3/1.1*6%,4))),(C3/1.1*6%)))*C9,-2)),0)),(ROUNDDOWN(C3/1.1*IF(C5&gt;=2000,12%,IF(C5&gt;=1600,8%,6%))*C9,-2)))</f>
        <v>436300</v>
      </c>
      <c r="Z9" s="106">
        <f>IF(C5&gt;1600,C5*260,IF(C5&gt;1000,C5*182,C5*104))</f>
        <v>519740</v>
      </c>
      <c r="AB9" s="335">
        <v>3</v>
      </c>
      <c r="AC9" s="33" t="e">
        <f t="shared" si="1"/>
        <v>#N/A</v>
      </c>
      <c r="AE9" s="335">
        <v>3</v>
      </c>
      <c r="AF9" s="33">
        <f t="shared" si="2"/>
        <v>3466440</v>
      </c>
      <c r="AH9" s="335">
        <v>3</v>
      </c>
      <c r="AI9" s="33">
        <f t="shared" si="3"/>
        <v>3466440</v>
      </c>
    </row>
    <row r="10" spans="2:35" ht="12" customHeight="1">
      <c r="B10" s="186" t="s">
        <v>52</v>
      </c>
      <c r="C10" s="333">
        <f>+I12</f>
        <v>654500</v>
      </c>
      <c r="D10" s="319" t="b">
        <f>할부!BR19</f>
        <v>1</v>
      </c>
      <c r="F10" s="343"/>
      <c r="G10" s="94">
        <v>7</v>
      </c>
      <c r="H10" s="94" t="s">
        <v>337</v>
      </c>
      <c r="I10" s="333">
        <f>+IF($C$6="경기",VLOOKUP($C$4,$R$5:$Y$15,8,0),0)</f>
        <v>0</v>
      </c>
      <c r="J10" s="343"/>
      <c r="K10" s="343"/>
      <c r="L10" s="339" t="s">
        <v>378</v>
      </c>
      <c r="M10" s="340" t="e">
        <f>+PMT(M9/12,C13,-C14,0)</f>
        <v>#N/A</v>
      </c>
      <c r="N10" s="343"/>
      <c r="Q10" s="343"/>
      <c r="R10" s="101" t="s">
        <v>379</v>
      </c>
      <c r="S10" s="102">
        <v>7.0000000000000007E-2</v>
      </c>
      <c r="T10" s="103">
        <f t="shared" si="0"/>
        <v>3181810</v>
      </c>
      <c r="U10" s="104">
        <f>IF((C3/1.1*5%)&lt;=2000000, 0, ROUNDDOWN(((C3/1.1*5%)-2000000)*C9,-2))</f>
        <v>32700</v>
      </c>
      <c r="V10" s="92">
        <v>0</v>
      </c>
      <c r="W10" s="104">
        <f>IF(C6="인천",(ROUNDDOWN(C3/1.1*IF(C5&gt;=2000,5%,0%)*C9,-2)),(ROUNDDOWN(C3/1.1*IF(C5&gt;=2000,5%,IF(C5&gt;=1500,4%,0%))*C9,-2)))</f>
        <v>218100</v>
      </c>
      <c r="X10" s="105">
        <f>ROUNDDOWN(C3/1.1*IF(C5&gt;=2000,5%,IF(C5&gt;=1600,4%,3%))*C9,-2)</f>
        <v>218100</v>
      </c>
      <c r="Y10" s="105">
        <f>IF(C6="경기",(IF(C5&gt;=2000,(ROUNDDOWN((IF(RIGHT(C3/1.1*6%,4)&lt;5000,((C3/1.1*6%)-(RIGHT(C3/1.1*6%,4))),(C3/1.1*6%)))*C9,-2)),0)),(ROUNDDOWN(C3/1.1*IF(C5&gt;=2000,12%,IF(C5&gt;=1600,8%,6%))*C9,-2)))</f>
        <v>436300</v>
      </c>
      <c r="Z10" s="103">
        <f>IF(C5&gt;1600,C5*260,IF(C5&gt;1000,C5*182,C5*104))</f>
        <v>519740</v>
      </c>
      <c r="AB10" s="335">
        <v>4</v>
      </c>
      <c r="AC10" s="33" t="e">
        <f t="shared" si="1"/>
        <v>#N/A</v>
      </c>
      <c r="AE10" s="335">
        <v>4</v>
      </c>
      <c r="AF10" s="33">
        <f t="shared" si="2"/>
        <v>3466440</v>
      </c>
      <c r="AH10" s="335">
        <v>4</v>
      </c>
      <c r="AI10" s="33">
        <f t="shared" si="3"/>
        <v>3466440</v>
      </c>
    </row>
    <row r="11" spans="2:35" ht="12" customHeight="1">
      <c r="B11" s="186" t="s">
        <v>380</v>
      </c>
      <c r="C11" s="333">
        <f>할부!BD22</f>
        <v>0</v>
      </c>
      <c r="D11" s="319" t="b">
        <f>할부!BR20</f>
        <v>0</v>
      </c>
      <c r="F11" s="343"/>
      <c r="G11" s="95">
        <v>8</v>
      </c>
      <c r="H11" s="95" t="s">
        <v>332</v>
      </c>
      <c r="I11" s="348">
        <f>+IF($C$6="기타",VLOOKUP($C$4,$R$5:$Y$15,8,0),0)</f>
        <v>0</v>
      </c>
      <c r="J11" s="343"/>
      <c r="K11" s="343"/>
      <c r="L11" s="339" t="s">
        <v>381</v>
      </c>
      <c r="M11" s="340" t="e">
        <f>+ROUNDDOWN(M10,-1)</f>
        <v>#N/A</v>
      </c>
      <c r="N11" s="343"/>
      <c r="Q11" s="343"/>
      <c r="R11" s="112" t="s">
        <v>382</v>
      </c>
      <c r="S11" s="113">
        <v>7.0000000000000007E-2</v>
      </c>
      <c r="T11" s="114">
        <f t="shared" si="0"/>
        <v>3181810</v>
      </c>
      <c r="U11" s="115">
        <f>ROUNDDOWN(C3/1.1*20%*C9,-2)</f>
        <v>1090900</v>
      </c>
      <c r="V11" s="116">
        <f>IF((C3/1.1*12%)&lt;=2500000, 0, ROUNDDOWN(((C3/1.1*12%)-2500000)*C9,-2))</f>
        <v>354500</v>
      </c>
      <c r="W11" s="115">
        <f>IF(C6="인천",0,(ROUNDDOWN(C3/1.1*5%*C9,-2)))</f>
        <v>272700</v>
      </c>
      <c r="X11" s="117">
        <f>ROUNDDOWN(C3/1.1*5%*C9,-2)</f>
        <v>272700</v>
      </c>
      <c r="Y11" s="117">
        <f>IF(C6="경기",(IF(C5&gt;=2000,(ROUNDDOWN((IF(RIGHT(C3/1.1*6%,4)&lt;5000,((C3/1.1*6%)-(RIGHT(C3/1.1*6%,4))),(C3/1.1*6%)))*C9,-2)),0)),(ROUNDDOWN(C3/1.1*IF(C5&gt;=2000,12%,IF(C5&gt;=1600,8%,6%))*C9,-2)))</f>
        <v>436300</v>
      </c>
      <c r="Z11" s="114">
        <v>0</v>
      </c>
      <c r="AB11" s="335">
        <v>5</v>
      </c>
      <c r="AC11" s="33" t="e">
        <f t="shared" si="1"/>
        <v>#N/A</v>
      </c>
      <c r="AE11" s="335">
        <v>5</v>
      </c>
      <c r="AF11" s="33">
        <f t="shared" si="2"/>
        <v>3466440</v>
      </c>
      <c r="AH11" s="335">
        <v>5</v>
      </c>
      <c r="AI11" s="33">
        <f t="shared" si="3"/>
        <v>3466440</v>
      </c>
    </row>
    <row r="12" spans="2:35" ht="12" customHeight="1">
      <c r="B12" s="186" t="s">
        <v>383</v>
      </c>
      <c r="C12" s="333">
        <f>할부!BD23</f>
        <v>100000</v>
      </c>
      <c r="D12" s="319" t="b">
        <f>할부!BR21</f>
        <v>0</v>
      </c>
      <c r="F12" s="343"/>
      <c r="G12" s="2456" t="s">
        <v>384</v>
      </c>
      <c r="H12" s="2456"/>
      <c r="I12" s="349">
        <f>SUM(I4:I11)</f>
        <v>654500</v>
      </c>
      <c r="J12" s="343"/>
      <c r="K12" s="343"/>
      <c r="L12" s="339" t="s">
        <v>385</v>
      </c>
      <c r="M12" s="350" t="e">
        <f>+RATE(C13,M3,-C14,0,0)*12</f>
        <v>#N/A</v>
      </c>
      <c r="N12" s="343"/>
      <c r="Q12" s="343"/>
      <c r="R12" s="101" t="s">
        <v>386</v>
      </c>
      <c r="S12" s="102">
        <v>0</v>
      </c>
      <c r="T12" s="103">
        <v>0</v>
      </c>
      <c r="U12" s="104">
        <v>0</v>
      </c>
      <c r="V12" s="104">
        <v>0</v>
      </c>
      <c r="W12" s="104">
        <v>0</v>
      </c>
      <c r="X12" s="105">
        <v>0</v>
      </c>
      <c r="Y12" s="105">
        <v>0</v>
      </c>
      <c r="Z12" s="103">
        <v>84500</v>
      </c>
      <c r="AB12" s="335">
        <v>6</v>
      </c>
      <c r="AC12" s="33" t="e">
        <f t="shared" si="1"/>
        <v>#N/A</v>
      </c>
      <c r="AE12" s="335">
        <v>6</v>
      </c>
      <c r="AF12" s="33">
        <f t="shared" si="2"/>
        <v>3466440</v>
      </c>
      <c r="AH12" s="335">
        <v>6</v>
      </c>
      <c r="AI12" s="33">
        <f t="shared" si="3"/>
        <v>3466440</v>
      </c>
    </row>
    <row r="13" spans="2:35" ht="12" customHeight="1">
      <c r="B13" s="186" t="s">
        <v>387</v>
      </c>
      <c r="C13" s="351">
        <f>할부!AS27</f>
        <v>48</v>
      </c>
      <c r="L13" s="352" t="s">
        <v>388</v>
      </c>
      <c r="M13" s="353" t="e">
        <f>+ROUND(M12,5)</f>
        <v>#N/A</v>
      </c>
      <c r="R13" s="101" t="s">
        <v>389</v>
      </c>
      <c r="S13" s="102">
        <v>0.05</v>
      </c>
      <c r="T13" s="103">
        <f>IF(ROUNDDOWN($C$3/1.1*S13,-1)&lt;=500000, 0,IF(ROUNDDOWN($C$3/1.1*S13,-1)-500000,ROUNDDOWN($C$3/1.1*S13,-1),0))</f>
        <v>2272720</v>
      </c>
      <c r="U13" s="104">
        <f>ROUNDDOWN(390000*C9,-2)</f>
        <v>46800</v>
      </c>
      <c r="V13" s="104">
        <v>0</v>
      </c>
      <c r="W13" s="104">
        <f>IF(C6="인천",0,(ROUNDDOWN(C3/1.1*1.5%*C9,-2)))</f>
        <v>81800</v>
      </c>
      <c r="X13" s="105">
        <f>ROUNDDOWN(C3/1.1*1.5%*C9,-2)</f>
        <v>81800</v>
      </c>
      <c r="Y13" s="105">
        <f>IF(C6="경기",0,(ROUNDDOWN(C3/1.1*3%*C9,-2)))</f>
        <v>163600</v>
      </c>
      <c r="Z13" s="103">
        <v>84500</v>
      </c>
      <c r="AB13" s="335">
        <v>7</v>
      </c>
      <c r="AC13" s="33" t="e">
        <f t="shared" si="1"/>
        <v>#N/A</v>
      </c>
      <c r="AE13" s="335">
        <v>7</v>
      </c>
      <c r="AF13" s="33">
        <f t="shared" si="2"/>
        <v>3466440</v>
      </c>
      <c r="AH13" s="335">
        <v>7</v>
      </c>
      <c r="AI13" s="33">
        <f t="shared" si="3"/>
        <v>3466440</v>
      </c>
    </row>
    <row r="14" spans="2:35" ht="12" customHeight="1">
      <c r="B14" s="186" t="s">
        <v>390</v>
      </c>
      <c r="C14" s="348">
        <f>할부!AS28</f>
        <v>150000000</v>
      </c>
      <c r="G14" s="320" t="s">
        <v>391</v>
      </c>
      <c r="L14" s="319" t="s">
        <v>2477</v>
      </c>
      <c r="M14" s="319">
        <f>IF(D4="수입",VLOOKUP(할부!AS6,차량정보!$Z$4:$AA$29,2,0),9%)</f>
        <v>0.09</v>
      </c>
      <c r="R14" s="101" t="s">
        <v>392</v>
      </c>
      <c r="S14" s="102">
        <v>0.05</v>
      </c>
      <c r="T14" s="103">
        <f>IF(ROUNDDOWN($C$3/1.1*S14,-1)&lt;=500000, 0,IF(ROUNDDOWN($C$3/1.1*S14,-1)-500000,ROUNDDOWN($C$3/1.1*S14,-1),0))</f>
        <v>2272720</v>
      </c>
      <c r="U14" s="104">
        <f>ROUNDDOWN(650000*C9,-2)</f>
        <v>78000</v>
      </c>
      <c r="V14" s="104">
        <v>0</v>
      </c>
      <c r="W14" s="104">
        <f>IF(C6="인천",0,(ROUNDDOWN(C3/1.1*1.5%*C9,-2)))</f>
        <v>81800</v>
      </c>
      <c r="X14" s="105">
        <f>ROUNDDOWN(C3/1.1*1.5%*C9,-2)</f>
        <v>81800</v>
      </c>
      <c r="Y14" s="105">
        <f>IF(C6="경기",0,(ROUNDDOWN(C3/1.1*3%*C9,-2)))</f>
        <v>163600</v>
      </c>
      <c r="Z14" s="103">
        <v>84500</v>
      </c>
      <c r="AB14" s="335">
        <v>8</v>
      </c>
      <c r="AC14" s="33" t="e">
        <f t="shared" si="1"/>
        <v>#N/A</v>
      </c>
      <c r="AE14" s="335">
        <v>8</v>
      </c>
      <c r="AF14" s="33">
        <f t="shared" si="2"/>
        <v>3466440</v>
      </c>
      <c r="AH14" s="335">
        <v>8</v>
      </c>
      <c r="AI14" s="33">
        <f t="shared" si="3"/>
        <v>3466440</v>
      </c>
    </row>
    <row r="15" spans="2:35" ht="12" customHeight="1">
      <c r="B15" s="186" t="s">
        <v>505</v>
      </c>
      <c r="C15" s="348" t="str">
        <f>할부!AS39</f>
        <v>기타</v>
      </c>
      <c r="G15" s="91" t="s">
        <v>393</v>
      </c>
      <c r="H15" s="91"/>
      <c r="R15" s="112" t="s">
        <v>394</v>
      </c>
      <c r="S15" s="113">
        <v>0.05</v>
      </c>
      <c r="T15" s="114">
        <f>IF(ROUNDDOWN($C$3/1.1*S15,-1)&lt;=500000, 0,IF(ROUNDDOWN($C$3/1.1*S15,-1)-500000,ROUNDDOWN($C$3/1.1*S15,-1),0))</f>
        <v>2272720</v>
      </c>
      <c r="U15" s="115">
        <f>ROUNDDOWN(1300000*C9,-2)</f>
        <v>156000</v>
      </c>
      <c r="V15" s="115">
        <v>0</v>
      </c>
      <c r="W15" s="115">
        <f>IF(C6="인천",0,(ROUNDDOWN(C3/1.1*1.5%*C9,-2)))</f>
        <v>81800</v>
      </c>
      <c r="X15" s="117">
        <f>ROUNDDOWN(C3/1.1*1.5%*C9,-2)</f>
        <v>81800</v>
      </c>
      <c r="Y15" s="117">
        <f>IF(C6="경기",0,(ROUNDDOWN(C3/1.1*3%*C9,-2)))</f>
        <v>163600</v>
      </c>
      <c r="Z15" s="114">
        <v>0</v>
      </c>
      <c r="AB15" s="335">
        <v>9</v>
      </c>
      <c r="AC15" s="33" t="e">
        <f t="shared" si="1"/>
        <v>#N/A</v>
      </c>
      <c r="AE15" s="335">
        <v>9</v>
      </c>
      <c r="AF15" s="33">
        <f t="shared" si="2"/>
        <v>3466440</v>
      </c>
      <c r="AH15" s="335">
        <v>9</v>
      </c>
      <c r="AI15" s="33">
        <f t="shared" si="3"/>
        <v>3466440</v>
      </c>
    </row>
    <row r="16" spans="2:35" ht="12" customHeight="1">
      <c r="B16" s="320" t="s">
        <v>395</v>
      </c>
      <c r="G16" s="92">
        <v>1</v>
      </c>
      <c r="H16" s="92">
        <v>0</v>
      </c>
      <c r="L16" s="320" t="s">
        <v>396</v>
      </c>
      <c r="M16" s="321"/>
      <c r="R16" s="323"/>
      <c r="S16" s="323"/>
      <c r="AB16" s="335">
        <v>10</v>
      </c>
      <c r="AC16" s="33" t="e">
        <f t="shared" si="1"/>
        <v>#N/A</v>
      </c>
      <c r="AE16" s="335">
        <v>10</v>
      </c>
      <c r="AF16" s="33">
        <f t="shared" si="2"/>
        <v>3466440</v>
      </c>
      <c r="AH16" s="335">
        <v>10</v>
      </c>
      <c r="AI16" s="33">
        <f t="shared" si="3"/>
        <v>3466440</v>
      </c>
    </row>
    <row r="17" spans="2:35" ht="12" customHeight="1" thickBot="1">
      <c r="B17" s="326" t="s">
        <v>397</v>
      </c>
      <c r="C17" s="354">
        <f>+C3</f>
        <v>50000000</v>
      </c>
      <c r="G17" s="92">
        <v>50000001</v>
      </c>
      <c r="H17" s="92">
        <v>70000</v>
      </c>
      <c r="L17" s="327" t="s">
        <v>351</v>
      </c>
      <c r="M17" s="328">
        <f>IF(C46=TRUE,M25,FALSE)</f>
        <v>3466440</v>
      </c>
      <c r="R17" s="323"/>
      <c r="S17" s="323"/>
      <c r="Z17" s="323"/>
      <c r="AA17" s="323"/>
      <c r="AB17" s="335">
        <v>11</v>
      </c>
      <c r="AC17" s="33" t="e">
        <f t="shared" si="1"/>
        <v>#N/A</v>
      </c>
      <c r="AE17" s="335">
        <v>11</v>
      </c>
      <c r="AF17" s="33">
        <f t="shared" si="2"/>
        <v>3466440</v>
      </c>
      <c r="AH17" s="335">
        <v>11</v>
      </c>
      <c r="AI17" s="33">
        <f t="shared" si="3"/>
        <v>3466440</v>
      </c>
    </row>
    <row r="18" spans="2:35" ht="12" customHeight="1" thickBot="1">
      <c r="B18" s="332" t="s">
        <v>373</v>
      </c>
      <c r="C18" s="355">
        <f>+C8</f>
        <v>3181810</v>
      </c>
      <c r="G18" s="92">
        <v>100000001</v>
      </c>
      <c r="H18" s="92">
        <v>150000</v>
      </c>
      <c r="R18" s="356" t="s">
        <v>501</v>
      </c>
      <c r="S18" s="357" t="e">
        <f>IF(D4="수입",4.4%,4.9%)+VLOOKUP(C15,차량정보!AL4:AM23,2,FALSE)</f>
        <v>#N/A</v>
      </c>
      <c r="AB18" s="335">
        <v>12</v>
      </c>
      <c r="AC18" s="33" t="e">
        <f t="shared" si="1"/>
        <v>#N/A</v>
      </c>
      <c r="AE18" s="335">
        <v>12</v>
      </c>
      <c r="AF18" s="33">
        <f t="shared" si="2"/>
        <v>3466440</v>
      </c>
      <c r="AH18" s="335">
        <v>12</v>
      </c>
      <c r="AI18" s="33">
        <f t="shared" si="3"/>
        <v>3466440</v>
      </c>
    </row>
    <row r="19" spans="2:35" ht="12" customHeight="1">
      <c r="B19" s="332" t="s">
        <v>398</v>
      </c>
      <c r="C19" s="355">
        <f>C10</f>
        <v>654500</v>
      </c>
      <c r="G19" s="92">
        <v>1000000001</v>
      </c>
      <c r="H19" s="92">
        <v>350000</v>
      </c>
      <c r="L19" s="320" t="s">
        <v>367</v>
      </c>
      <c r="M19" s="321"/>
      <c r="R19" s="323"/>
      <c r="S19" s="323"/>
      <c r="AB19" s="335">
        <v>13</v>
      </c>
      <c r="AC19" s="33" t="e">
        <f t="shared" si="1"/>
        <v>#N/A</v>
      </c>
      <c r="AE19" s="335">
        <v>13</v>
      </c>
      <c r="AF19" s="33">
        <f t="shared" si="2"/>
        <v>3466440</v>
      </c>
      <c r="AH19" s="335">
        <v>13</v>
      </c>
      <c r="AI19" s="33">
        <f t="shared" si="3"/>
        <v>3466440</v>
      </c>
    </row>
    <row r="20" spans="2:35" ht="12" customHeight="1">
      <c r="B20" s="332" t="s">
        <v>380</v>
      </c>
      <c r="C20" s="355">
        <f>C11</f>
        <v>0</v>
      </c>
      <c r="G20" s="332" t="s">
        <v>399</v>
      </c>
      <c r="H20" s="333">
        <f>VLOOKUP(C14,G16:H19,2,TRUE)/2</f>
        <v>75000</v>
      </c>
      <c r="L20" s="336" t="s">
        <v>370</v>
      </c>
      <c r="M20" s="358">
        <f>VLOOKUP(할부!AS6,차량정보!$Z$4:$AI$38,9,0)+IFERROR(VLOOKUP(C15,차량정보!$AL$4:$AN$24,3,0),0)</f>
        <v>0.04</v>
      </c>
      <c r="N20" s="983" t="e">
        <f>PMT(M6/12,C13,-C14-E37-C48-C49)</f>
        <v>#N/A</v>
      </c>
      <c r="R20" s="323"/>
      <c r="S20" s="323"/>
      <c r="AB20" s="335">
        <v>14</v>
      </c>
      <c r="AC20" s="33" t="e">
        <f t="shared" si="1"/>
        <v>#N/A</v>
      </c>
      <c r="AE20" s="335">
        <v>14</v>
      </c>
      <c r="AF20" s="33">
        <f t="shared" si="2"/>
        <v>3466440</v>
      </c>
      <c r="AH20" s="335">
        <v>14</v>
      </c>
      <c r="AI20" s="33">
        <f t="shared" si="3"/>
        <v>3466440</v>
      </c>
    </row>
    <row r="21" spans="2:35" ht="12" customHeight="1">
      <c r="B21" s="341" t="s">
        <v>383</v>
      </c>
      <c r="C21" s="359">
        <f>C12</f>
        <v>100000</v>
      </c>
      <c r="G21" s="341" t="s">
        <v>400</v>
      </c>
      <c r="H21" s="360">
        <f>+H20</f>
        <v>75000</v>
      </c>
      <c r="L21" s="339" t="s">
        <v>401</v>
      </c>
      <c r="M21" s="340">
        <f>+PMT($M$20/12,C13,-C14-E37-C48-C49,0,0)</f>
        <v>3466449.3638654542</v>
      </c>
      <c r="R21" s="323"/>
      <c r="S21" s="323"/>
      <c r="AB21" s="335">
        <v>15</v>
      </c>
      <c r="AC21" s="33" t="e">
        <f t="shared" si="1"/>
        <v>#N/A</v>
      </c>
      <c r="AE21" s="335">
        <v>15</v>
      </c>
      <c r="AF21" s="33">
        <f t="shared" si="2"/>
        <v>3466440</v>
      </c>
      <c r="AH21" s="335">
        <v>15</v>
      </c>
      <c r="AI21" s="33">
        <f t="shared" si="3"/>
        <v>3466440</v>
      </c>
    </row>
    <row r="22" spans="2:35" ht="12" customHeight="1">
      <c r="B22" s="341" t="s">
        <v>402</v>
      </c>
      <c r="C22" s="348">
        <f>SUM(C17:C21)</f>
        <v>53936310</v>
      </c>
      <c r="L22" s="339" t="s">
        <v>374</v>
      </c>
      <c r="M22" s="344">
        <f>+RATE(C13,M21,-C14,0,0)*12</f>
        <v>5.1772281514304436E-2</v>
      </c>
      <c r="R22" s="323" t="s">
        <v>515</v>
      </c>
      <c r="S22" s="323"/>
      <c r="AB22" s="335">
        <v>16</v>
      </c>
      <c r="AC22" s="33" t="e">
        <f t="shared" si="1"/>
        <v>#N/A</v>
      </c>
      <c r="AE22" s="335">
        <v>16</v>
      </c>
      <c r="AF22" s="33">
        <f t="shared" si="2"/>
        <v>3466440</v>
      </c>
      <c r="AH22" s="335">
        <v>16</v>
      </c>
      <c r="AI22" s="33">
        <f t="shared" si="3"/>
        <v>3466440</v>
      </c>
    </row>
    <row r="23" spans="2:35" ht="12" customHeight="1">
      <c r="G23" s="320" t="s">
        <v>403</v>
      </c>
      <c r="L23" s="339" t="s">
        <v>376</v>
      </c>
      <c r="M23" s="347">
        <f>+ROUND(M22,5)</f>
        <v>5.1769999999999997E-2</v>
      </c>
      <c r="AB23" s="335">
        <v>17</v>
      </c>
      <c r="AC23" s="33" t="e">
        <f t="shared" si="1"/>
        <v>#N/A</v>
      </c>
      <c r="AE23" s="335">
        <v>17</v>
      </c>
      <c r="AF23" s="33">
        <f t="shared" si="2"/>
        <v>3466440</v>
      </c>
      <c r="AH23" s="335">
        <v>17</v>
      </c>
      <c r="AI23" s="33">
        <f t="shared" si="3"/>
        <v>3466440</v>
      </c>
    </row>
    <row r="24" spans="2:35" ht="12" customHeight="1">
      <c r="B24" s="320" t="s">
        <v>404</v>
      </c>
      <c r="G24" s="361">
        <f>할부!AS30</f>
        <v>0.5</v>
      </c>
      <c r="H24" s="326" t="s">
        <v>405</v>
      </c>
      <c r="I24" s="326" t="s">
        <v>406</v>
      </c>
      <c r="J24" s="326" t="s">
        <v>407</v>
      </c>
      <c r="L24" s="339" t="s">
        <v>378</v>
      </c>
      <c r="M24" s="340">
        <f>+PMT(M23/12,C13,-C14,0)</f>
        <v>3466433.828016113</v>
      </c>
      <c r="AB24" s="335">
        <v>18</v>
      </c>
      <c r="AC24" s="33" t="e">
        <f t="shared" si="1"/>
        <v>#N/A</v>
      </c>
      <c r="AE24" s="335">
        <v>18</v>
      </c>
      <c r="AF24" s="33">
        <f t="shared" si="2"/>
        <v>3466440</v>
      </c>
      <c r="AH24" s="335">
        <v>18</v>
      </c>
      <c r="AI24" s="33">
        <f t="shared" si="3"/>
        <v>3466440</v>
      </c>
    </row>
    <row r="25" spans="2:35" ht="12" customHeight="1">
      <c r="B25" s="326" t="s">
        <v>408</v>
      </c>
      <c r="C25" s="362">
        <f>+C22-C14</f>
        <v>-96063690</v>
      </c>
      <c r="G25" s="332">
        <v>1</v>
      </c>
      <c r="H25" s="363">
        <v>0.1</v>
      </c>
      <c r="I25" s="333">
        <f>+H25*$C$14</f>
        <v>15000000</v>
      </c>
      <c r="J25" s="333">
        <f>IF(I25=0,0,((IF(INT(I25*0.2%)&gt;15000,(INT(I25*0.2%)),15000))+(INT(I25*0.4%))))</f>
        <v>90000</v>
      </c>
      <c r="L25" s="339" t="s">
        <v>381</v>
      </c>
      <c r="M25" s="340">
        <f>+ROUNDUP(M24,-1)</f>
        <v>3466440</v>
      </c>
      <c r="AB25" s="335">
        <v>19</v>
      </c>
      <c r="AC25" s="33" t="e">
        <f t="shared" si="1"/>
        <v>#N/A</v>
      </c>
      <c r="AE25" s="335">
        <v>19</v>
      </c>
      <c r="AF25" s="33">
        <f t="shared" si="2"/>
        <v>3466440</v>
      </c>
      <c r="AH25" s="335">
        <v>19</v>
      </c>
      <c r="AI25" s="33">
        <f t="shared" si="3"/>
        <v>3466440</v>
      </c>
    </row>
    <row r="26" spans="2:35" ht="12" customHeight="1">
      <c r="B26" s="332" t="s">
        <v>409</v>
      </c>
      <c r="C26" s="364">
        <f>+IF(D3="할부금융",H20,10000)</f>
        <v>75000</v>
      </c>
      <c r="G26" s="332">
        <v>2</v>
      </c>
      <c r="H26" s="363">
        <v>0.2</v>
      </c>
      <c r="I26" s="333">
        <f t="shared" ref="I26:I34" si="4">+H26*$C$14</f>
        <v>30000000</v>
      </c>
      <c r="J26" s="333">
        <f t="shared" ref="J26:J35" si="5">IF(I26=0,0,((IF(INT(I26*0.2%)&gt;15000,(INT(I26*0.2%)),15000))+(INT(I26*0.4%))))</f>
        <v>180000</v>
      </c>
      <c r="L26" s="339" t="s">
        <v>385</v>
      </c>
      <c r="M26" s="350">
        <f>+RATE(C13,M17,-C14,0,0)*12</f>
        <v>5.177090638631239E-2</v>
      </c>
      <c r="AB26" s="335">
        <v>20</v>
      </c>
      <c r="AC26" s="33" t="e">
        <f t="shared" si="1"/>
        <v>#N/A</v>
      </c>
      <c r="AE26" s="335">
        <v>20</v>
      </c>
      <c r="AF26" s="33">
        <f t="shared" si="2"/>
        <v>3466440</v>
      </c>
      <c r="AH26" s="335">
        <v>20</v>
      </c>
      <c r="AI26" s="33">
        <f t="shared" si="3"/>
        <v>3466440</v>
      </c>
    </row>
    <row r="27" spans="2:35" ht="12" customHeight="1">
      <c r="B27" s="329" t="s">
        <v>410</v>
      </c>
      <c r="C27" s="349">
        <f>+C25+C26</f>
        <v>-95988690</v>
      </c>
      <c r="G27" s="332">
        <v>3</v>
      </c>
      <c r="H27" s="363">
        <v>0.3</v>
      </c>
      <c r="I27" s="333">
        <f t="shared" si="4"/>
        <v>45000000</v>
      </c>
      <c r="J27" s="333">
        <f t="shared" si="5"/>
        <v>270000</v>
      </c>
      <c r="L27" s="352" t="s">
        <v>388</v>
      </c>
      <c r="M27" s="353">
        <f>+ROUND(M26,5)</f>
        <v>5.1769999999999997E-2</v>
      </c>
      <c r="O27" s="1048"/>
      <c r="P27" s="1049" t="s">
        <v>2478</v>
      </c>
      <c r="Q27" s="1049" t="s">
        <v>2479</v>
      </c>
      <c r="R27" s="1050" t="s">
        <v>2480</v>
      </c>
      <c r="AB27" s="335">
        <v>21</v>
      </c>
      <c r="AC27" s="33" t="e">
        <f t="shared" si="1"/>
        <v>#N/A</v>
      </c>
      <c r="AE27" s="335">
        <v>21</v>
      </c>
      <c r="AF27" s="33">
        <f t="shared" si="2"/>
        <v>3466440</v>
      </c>
      <c r="AH27" s="335">
        <v>21</v>
      </c>
      <c r="AI27" s="33">
        <f t="shared" si="3"/>
        <v>3466440</v>
      </c>
    </row>
    <row r="28" spans="2:35" ht="12" customHeight="1">
      <c r="G28" s="332">
        <v>4</v>
      </c>
      <c r="H28" s="363">
        <v>0.4</v>
      </c>
      <c r="I28" s="333">
        <f t="shared" si="4"/>
        <v>60000000</v>
      </c>
      <c r="J28" s="333">
        <f t="shared" si="5"/>
        <v>360000</v>
      </c>
      <c r="O28" s="1051">
        <v>36</v>
      </c>
      <c r="P28" s="1052">
        <v>8.3000000000000004E-2</v>
      </c>
      <c r="Q28" s="1052">
        <f>+P28+0.2%</f>
        <v>8.5000000000000006E-2</v>
      </c>
      <c r="R28" s="1053">
        <f>+Q28+0.1%</f>
        <v>8.6000000000000007E-2</v>
      </c>
      <c r="U28" s="365"/>
      <c r="AB28" s="335">
        <v>22</v>
      </c>
      <c r="AC28" s="33" t="e">
        <f t="shared" si="1"/>
        <v>#N/A</v>
      </c>
      <c r="AE28" s="335">
        <v>22</v>
      </c>
      <c r="AF28" s="33">
        <f t="shared" si="2"/>
        <v>3466440</v>
      </c>
      <c r="AH28" s="335">
        <v>22</v>
      </c>
      <c r="AI28" s="33">
        <f t="shared" si="3"/>
        <v>3466440</v>
      </c>
    </row>
    <row r="29" spans="2:35" ht="12" customHeight="1">
      <c r="B29" s="320" t="s">
        <v>411</v>
      </c>
      <c r="G29" s="332">
        <v>5</v>
      </c>
      <c r="H29" s="363">
        <v>0.5</v>
      </c>
      <c r="I29" s="333">
        <f t="shared" si="4"/>
        <v>75000000</v>
      </c>
      <c r="J29" s="333">
        <f t="shared" si="5"/>
        <v>450000</v>
      </c>
      <c r="O29" s="1051">
        <v>48</v>
      </c>
      <c r="P29" s="1052">
        <v>0.08</v>
      </c>
      <c r="Q29" s="1052">
        <f>+P29+0.2%</f>
        <v>8.2000000000000003E-2</v>
      </c>
      <c r="R29" s="1053">
        <f>+Q29+0.1%</f>
        <v>8.3000000000000004E-2</v>
      </c>
      <c r="U29" s="365"/>
      <c r="AB29" s="335">
        <v>23</v>
      </c>
      <c r="AC29" s="33" t="e">
        <f t="shared" si="1"/>
        <v>#N/A</v>
      </c>
      <c r="AE29" s="335">
        <v>23</v>
      </c>
      <c r="AF29" s="33">
        <f t="shared" si="2"/>
        <v>3466440</v>
      </c>
      <c r="AH29" s="335">
        <v>23</v>
      </c>
      <c r="AI29" s="33">
        <f t="shared" si="3"/>
        <v>3466440</v>
      </c>
    </row>
    <row r="30" spans="2:35" ht="12" customHeight="1">
      <c r="B30" s="182" t="s">
        <v>513</v>
      </c>
      <c r="C30" s="186" t="s">
        <v>532</v>
      </c>
      <c r="D30" s="302">
        <f>2%-D31-D32-D33-D34-D35-D36</f>
        <v>1.4E-2</v>
      </c>
      <c r="E30" s="366">
        <f>C14*D30</f>
        <v>2100000</v>
      </c>
      <c r="G30" s="332">
        <v>6</v>
      </c>
      <c r="H30" s="363">
        <v>0.6</v>
      </c>
      <c r="I30" s="333">
        <f t="shared" si="4"/>
        <v>90000000</v>
      </c>
      <c r="J30" s="333">
        <f t="shared" si="5"/>
        <v>540000</v>
      </c>
      <c r="L30" s="320" t="s">
        <v>412</v>
      </c>
      <c r="M30" s="321"/>
      <c r="O30" s="1051">
        <v>60</v>
      </c>
      <c r="P30" s="1052">
        <v>7.7499999999999999E-2</v>
      </c>
      <c r="Q30" s="1052">
        <f>+P30+0.2%</f>
        <v>7.9500000000000001E-2</v>
      </c>
      <c r="R30" s="1053">
        <f>+Q30+0.1%</f>
        <v>8.0500000000000002E-2</v>
      </c>
      <c r="U30" s="365"/>
      <c r="AB30" s="335">
        <v>24</v>
      </c>
      <c r="AC30" s="33" t="e">
        <f t="shared" si="1"/>
        <v>#N/A</v>
      </c>
      <c r="AE30" s="335">
        <v>24</v>
      </c>
      <c r="AF30" s="33">
        <f t="shared" si="2"/>
        <v>3466440</v>
      </c>
      <c r="AH30" s="335">
        <v>24</v>
      </c>
      <c r="AI30" s="33">
        <f t="shared" si="3"/>
        <v>3466440</v>
      </c>
    </row>
    <row r="31" spans="2:35" ht="12" customHeight="1">
      <c r="B31" s="194" t="s">
        <v>522</v>
      </c>
      <c r="C31" s="186" t="str">
        <f>IF(VLOOKUP(C$15,제휴조건!$D$32:$P$53,2,0)=0,"없음",VLOOKUP(C$15,제휴조건!$D$32:$P$53,2,0))</f>
        <v>이용금액</v>
      </c>
      <c r="D31" s="367">
        <f>+C54</f>
        <v>6.0000000000000001E-3</v>
      </c>
      <c r="E31" s="303">
        <f t="shared" ref="E31:E36" si="6">D31*C$14</f>
        <v>900000</v>
      </c>
      <c r="G31" s="332">
        <v>7</v>
      </c>
      <c r="H31" s="363">
        <v>0.7</v>
      </c>
      <c r="I31" s="333">
        <f t="shared" si="4"/>
        <v>105000000</v>
      </c>
      <c r="J31" s="333">
        <f t="shared" si="5"/>
        <v>630000</v>
      </c>
      <c r="L31" s="327" t="s">
        <v>351</v>
      </c>
      <c r="M31" s="328">
        <f>IF(C46=TRUE,M39,FALSE)</f>
        <v>3466440</v>
      </c>
      <c r="O31" s="1051">
        <v>72</v>
      </c>
      <c r="P31" s="1052">
        <v>7.5999999999999998E-2</v>
      </c>
      <c r="Q31" s="1052">
        <f>+P31+0.2%</f>
        <v>7.8E-2</v>
      </c>
      <c r="R31" s="1053">
        <f>+Q31+0.1%</f>
        <v>7.9000000000000001E-2</v>
      </c>
      <c r="U31" s="365"/>
      <c r="AB31" s="335">
        <v>25</v>
      </c>
      <c r="AC31" s="33" t="e">
        <f t="shared" si="1"/>
        <v>#N/A</v>
      </c>
      <c r="AE31" s="335">
        <v>25</v>
      </c>
      <c r="AF31" s="33">
        <f t="shared" si="2"/>
        <v>3466440</v>
      </c>
      <c r="AH31" s="335">
        <v>25</v>
      </c>
      <c r="AI31" s="33">
        <f t="shared" si="3"/>
        <v>3466440</v>
      </c>
    </row>
    <row r="32" spans="2:35" ht="12" customHeight="1">
      <c r="B32" s="194" t="s">
        <v>523</v>
      </c>
      <c r="C32" s="186" t="str">
        <f>IF(VLOOKUP(C$15,제휴조건!$D$32:$P$53,4,0)=0,"없음",VLOOKUP(C$15,제휴조건!$D$32:$P$53,4,0))</f>
        <v>없음</v>
      </c>
      <c r="D32" s="302">
        <f>IFERROR(VLOOKUP(C$15,제휴조건!$D$32:$P$53,5,0),0)</f>
        <v>0</v>
      </c>
      <c r="E32" s="303">
        <f t="shared" si="6"/>
        <v>0</v>
      </c>
      <c r="G32" s="332">
        <v>8</v>
      </c>
      <c r="H32" s="363">
        <v>0.8</v>
      </c>
      <c r="I32" s="333">
        <f t="shared" si="4"/>
        <v>120000000</v>
      </c>
      <c r="J32" s="333">
        <f t="shared" si="5"/>
        <v>720000</v>
      </c>
      <c r="O32" s="1054">
        <v>84</v>
      </c>
      <c r="P32" s="1055">
        <v>7.4999999999999997E-2</v>
      </c>
      <c r="Q32" s="1055">
        <f>+P32+0.2%</f>
        <v>7.6999999999999999E-2</v>
      </c>
      <c r="R32" s="1056">
        <f>+Q32+0.1%</f>
        <v>7.8E-2</v>
      </c>
      <c r="U32" s="365"/>
      <c r="AB32" s="335">
        <v>26</v>
      </c>
      <c r="AC32" s="33" t="e">
        <f t="shared" si="1"/>
        <v>#N/A</v>
      </c>
      <c r="AE32" s="335">
        <v>26</v>
      </c>
      <c r="AF32" s="33">
        <f t="shared" si="2"/>
        <v>3466440</v>
      </c>
      <c r="AH32" s="335">
        <v>26</v>
      </c>
      <c r="AI32" s="33">
        <f t="shared" si="3"/>
        <v>3466440</v>
      </c>
    </row>
    <row r="33" spans="2:35" ht="12" customHeight="1">
      <c r="B33" s="194" t="s">
        <v>524</v>
      </c>
      <c r="C33" s="186" t="str">
        <f>IF(VLOOKUP(C$15,제휴조건!$D$32:$P$53,6,0)=0,"없음",VLOOKUP(C$15,제휴조건!$D$32:$P$53,6,0))</f>
        <v>없음</v>
      </c>
      <c r="D33" s="302">
        <f>IFERROR(IF('AG 입력시트'!$AG$8=TRUE,0,VLOOKUP(C$15,제휴조건!$D$32:$P$53,7,0)),0)</f>
        <v>0</v>
      </c>
      <c r="E33" s="303">
        <f t="shared" si="6"/>
        <v>0</v>
      </c>
      <c r="G33" s="332">
        <v>9</v>
      </c>
      <c r="H33" s="363">
        <v>0.9</v>
      </c>
      <c r="I33" s="333">
        <f t="shared" si="4"/>
        <v>135000000</v>
      </c>
      <c r="J33" s="333">
        <f t="shared" si="5"/>
        <v>810000</v>
      </c>
      <c r="L33" s="320" t="s">
        <v>367</v>
      </c>
      <c r="M33" s="321"/>
      <c r="AB33" s="335">
        <v>27</v>
      </c>
      <c r="AC33" s="33" t="e">
        <f t="shared" si="1"/>
        <v>#N/A</v>
      </c>
      <c r="AE33" s="335">
        <v>27</v>
      </c>
      <c r="AF33" s="33">
        <f t="shared" si="2"/>
        <v>3466440</v>
      </c>
      <c r="AH33" s="335">
        <v>27</v>
      </c>
      <c r="AI33" s="33">
        <f t="shared" si="3"/>
        <v>3466440</v>
      </c>
    </row>
    <row r="34" spans="2:35" ht="12" customHeight="1">
      <c r="B34" s="194" t="s">
        <v>525</v>
      </c>
      <c r="C34" s="186" t="str">
        <f>IF(VLOOKUP(C$15,제휴조건!$D$32:$P$53,8,0)=0,"없음",VLOOKUP(C$15,제휴조건!$D$32:$P$53,8,0))</f>
        <v>없음</v>
      </c>
      <c r="D34" s="302">
        <f>IFERROR(VLOOKUP(C$15,제휴조건!$D$32:$P$53,9,0),0)</f>
        <v>0</v>
      </c>
      <c r="E34" s="303">
        <f t="shared" si="6"/>
        <v>0</v>
      </c>
      <c r="G34" s="341">
        <v>10</v>
      </c>
      <c r="H34" s="368">
        <v>1</v>
      </c>
      <c r="I34" s="348">
        <f t="shared" si="4"/>
        <v>150000000</v>
      </c>
      <c r="J34" s="348">
        <f t="shared" si="5"/>
        <v>900000</v>
      </c>
      <c r="L34" s="336" t="s">
        <v>370</v>
      </c>
      <c r="M34" s="358">
        <f>VLOOKUP(할부!AS6,차량정보!$Z$4:$AI$38,10,0)+IFERROR(VLOOKUP(C15,차량정보!$AL$4:$AN$24,3,0),0)</f>
        <v>0.04</v>
      </c>
      <c r="AB34" s="335">
        <v>28</v>
      </c>
      <c r="AC34" s="33" t="e">
        <f t="shared" si="1"/>
        <v>#N/A</v>
      </c>
      <c r="AE34" s="335">
        <v>28</v>
      </c>
      <c r="AF34" s="33">
        <f t="shared" si="2"/>
        <v>3466440</v>
      </c>
      <c r="AH34" s="335">
        <v>28</v>
      </c>
      <c r="AI34" s="33">
        <f t="shared" si="3"/>
        <v>3466440</v>
      </c>
    </row>
    <row r="35" spans="2:35" ht="12" customHeight="1">
      <c r="B35" s="194" t="s">
        <v>526</v>
      </c>
      <c r="C35" s="186" t="str">
        <f>IF(VLOOKUP(C$15,제휴조건!$D$32:$P$53,10,0)=0,"없음",VLOOKUP(C$15,제휴조건!$D$32:$P$53,10,0))</f>
        <v>없음</v>
      </c>
      <c r="D35" s="302">
        <f>IFERROR(VLOOKUP(C$15,제휴조건!$D$32:$P$53,11,0),0)</f>
        <v>0</v>
      </c>
      <c r="E35" s="303">
        <f t="shared" si="6"/>
        <v>0</v>
      </c>
      <c r="G35" s="2456" t="s">
        <v>406</v>
      </c>
      <c r="H35" s="2456"/>
      <c r="I35" s="369">
        <f>+VLOOKUP(G24,H25:J34,2,0)</f>
        <v>75000000</v>
      </c>
      <c r="J35" s="369">
        <f t="shared" si="5"/>
        <v>450000</v>
      </c>
      <c r="L35" s="339" t="s">
        <v>401</v>
      </c>
      <c r="M35" s="340">
        <f>+PMT($M$34/12,C13,-C14-E37-C48-C49,0,0)</f>
        <v>3466449.3638654542</v>
      </c>
      <c r="AB35" s="335">
        <v>29</v>
      </c>
      <c r="AC35" s="33" t="e">
        <f t="shared" si="1"/>
        <v>#N/A</v>
      </c>
      <c r="AE35" s="335">
        <v>29</v>
      </c>
      <c r="AF35" s="33">
        <f t="shared" si="2"/>
        <v>3466440</v>
      </c>
      <c r="AH35" s="335">
        <v>29</v>
      </c>
      <c r="AI35" s="33">
        <f t="shared" si="3"/>
        <v>3466440</v>
      </c>
    </row>
    <row r="36" spans="2:35" ht="12" customHeight="1">
      <c r="B36" s="194" t="s">
        <v>527</v>
      </c>
      <c r="C36" s="182" t="str">
        <f>IF(VLOOKUP(C$15,제휴조건!$D$32:$P$53,12,0)=0,"없음",VLOOKUP(C$15,제휴조건!$D$32:$P$53,12,0))</f>
        <v>없음</v>
      </c>
      <c r="D36" s="294">
        <f>IFERROR(VLOOKUP(C$15,제휴조건!$D$32:$P$53,13,0),0)</f>
        <v>0</v>
      </c>
      <c r="E36" s="232">
        <f t="shared" si="6"/>
        <v>0</v>
      </c>
      <c r="G36" s="323"/>
      <c r="H36" s="323"/>
      <c r="I36" s="323"/>
      <c r="J36" s="323"/>
      <c r="L36" s="339" t="s">
        <v>374</v>
      </c>
      <c r="M36" s="344">
        <f>+RATE(C13,M35,-C14,0,0)*12</f>
        <v>5.1772281514304436E-2</v>
      </c>
      <c r="AB36" s="335">
        <v>30</v>
      </c>
      <c r="AC36" s="33" t="e">
        <f t="shared" si="1"/>
        <v>#N/A</v>
      </c>
      <c r="AE36" s="335">
        <v>30</v>
      </c>
      <c r="AF36" s="33">
        <f t="shared" si="2"/>
        <v>3466440</v>
      </c>
      <c r="AH36" s="335">
        <v>30</v>
      </c>
      <c r="AI36" s="33">
        <f t="shared" si="3"/>
        <v>3466440</v>
      </c>
    </row>
    <row r="37" spans="2:35" ht="12" customHeight="1">
      <c r="B37" s="186" t="s">
        <v>533</v>
      </c>
      <c r="C37" s="370" t="s">
        <v>302</v>
      </c>
      <c r="D37" s="371">
        <f>E37/C14</f>
        <v>0.02</v>
      </c>
      <c r="E37" s="372">
        <f>SUM(E30:E36)</f>
        <v>3000000</v>
      </c>
      <c r="G37" s="323"/>
      <c r="H37" s="373"/>
      <c r="I37" s="323"/>
      <c r="J37" s="323"/>
      <c r="L37" s="339" t="s">
        <v>376</v>
      </c>
      <c r="M37" s="347">
        <f>+ROUND(M36,5)</f>
        <v>5.1769999999999997E-2</v>
      </c>
      <c r="AB37" s="335">
        <v>31</v>
      </c>
      <c r="AC37" s="33" t="e">
        <f t="shared" si="1"/>
        <v>#N/A</v>
      </c>
      <c r="AE37" s="335">
        <v>31</v>
      </c>
      <c r="AF37" s="33">
        <f t="shared" si="2"/>
        <v>3466440</v>
      </c>
      <c r="AH37" s="335">
        <v>31</v>
      </c>
      <c r="AI37" s="33">
        <f t="shared" si="3"/>
        <v>3466440</v>
      </c>
    </row>
    <row r="38" spans="2:35" ht="12" customHeight="1">
      <c r="L38" s="339" t="s">
        <v>378</v>
      </c>
      <c r="M38" s="340">
        <f>+PMT(M37/12,C13,-C14,0)</f>
        <v>3466433.828016113</v>
      </c>
      <c r="AB38" s="335">
        <v>32</v>
      </c>
      <c r="AC38" s="33" t="e">
        <f t="shared" si="1"/>
        <v>#N/A</v>
      </c>
      <c r="AE38" s="335">
        <v>32</v>
      </c>
      <c r="AF38" s="33">
        <f t="shared" si="2"/>
        <v>3466440</v>
      </c>
      <c r="AH38" s="335">
        <v>32</v>
      </c>
      <c r="AI38" s="33">
        <f t="shared" si="3"/>
        <v>3466440</v>
      </c>
    </row>
    <row r="39" spans="2:35" ht="12" customHeight="1">
      <c r="B39" s="320" t="s">
        <v>413</v>
      </c>
      <c r="E39" s="978" t="s">
        <v>1751</v>
      </c>
      <c r="F39" s="978"/>
      <c r="L39" s="339" t="s">
        <v>381</v>
      </c>
      <c r="M39" s="340">
        <f>+ROUNDUP(M38,-1)</f>
        <v>3466440</v>
      </c>
      <c r="AB39" s="335">
        <v>33</v>
      </c>
      <c r="AC39" s="33" t="e">
        <f t="shared" si="1"/>
        <v>#N/A</v>
      </c>
      <c r="AE39" s="335">
        <v>33</v>
      </c>
      <c r="AF39" s="33">
        <f t="shared" si="2"/>
        <v>3466440</v>
      </c>
      <c r="AH39" s="335">
        <v>33</v>
      </c>
      <c r="AI39" s="33">
        <f t="shared" si="3"/>
        <v>3466440</v>
      </c>
    </row>
    <row r="40" spans="2:35" ht="12" customHeight="1">
      <c r="B40" s="326" t="s">
        <v>414</v>
      </c>
      <c r="C40" s="374">
        <f>INT(IF(C14&lt;=5000000,C14*F43,C14*F43))</f>
        <v>3420000</v>
      </c>
      <c r="E40" s="980" t="s">
        <v>1753</v>
      </c>
      <c r="F40" s="369">
        <v>5000000</v>
      </c>
      <c r="L40" s="339" t="s">
        <v>385</v>
      </c>
      <c r="M40" s="350">
        <f>+RATE(C13,M31,-C14,0,0)*12</f>
        <v>5.177090638631239E-2</v>
      </c>
      <c r="AB40" s="335">
        <v>34</v>
      </c>
      <c r="AC40" s="33" t="e">
        <f t="shared" si="1"/>
        <v>#N/A</v>
      </c>
      <c r="AE40" s="335">
        <v>34</v>
      </c>
      <c r="AF40" s="33">
        <f t="shared" si="2"/>
        <v>3466440</v>
      </c>
      <c r="AH40" s="335">
        <v>34</v>
      </c>
      <c r="AI40" s="33">
        <f t="shared" si="3"/>
        <v>3466440</v>
      </c>
    </row>
    <row r="41" spans="2:35" ht="12" customHeight="1">
      <c r="B41" s="332" t="s">
        <v>540</v>
      </c>
      <c r="C41" s="355">
        <f>E30</f>
        <v>2100000</v>
      </c>
      <c r="E41" s="980" t="s">
        <v>1754</v>
      </c>
      <c r="F41" s="369">
        <f>C14-F40</f>
        <v>145000000</v>
      </c>
      <c r="L41" s="352" t="s">
        <v>388</v>
      </c>
      <c r="M41" s="353">
        <f>+ROUND(M40,5)</f>
        <v>5.1769999999999997E-2</v>
      </c>
      <c r="AB41" s="335">
        <v>35</v>
      </c>
      <c r="AC41" s="33" t="e">
        <f t="shared" si="1"/>
        <v>#N/A</v>
      </c>
      <c r="AE41" s="335">
        <v>35</v>
      </c>
      <c r="AF41" s="33">
        <f t="shared" si="2"/>
        <v>3466440</v>
      </c>
      <c r="AH41" s="335">
        <v>35</v>
      </c>
      <c r="AI41" s="33">
        <f t="shared" si="3"/>
        <v>3466440</v>
      </c>
    </row>
    <row r="42" spans="2:35" ht="12" customHeight="1">
      <c r="B42" s="332" t="s">
        <v>415</v>
      </c>
      <c r="C42" s="355">
        <f>E31</f>
        <v>900000</v>
      </c>
      <c r="E42" s="980" t="s">
        <v>1755</v>
      </c>
      <c r="F42" s="369">
        <f>IF(C14&lt;=F40,C14*F46,IF(C14&gt;F40,(F41*F47)+F48))</f>
        <v>3412500</v>
      </c>
      <c r="AB42" s="335">
        <v>36</v>
      </c>
      <c r="AC42" s="33" t="e">
        <f t="shared" si="1"/>
        <v>#N/A</v>
      </c>
      <c r="AE42" s="335">
        <v>36</v>
      </c>
      <c r="AF42" s="33">
        <f t="shared" si="2"/>
        <v>3466440</v>
      </c>
      <c r="AH42" s="335">
        <v>36</v>
      </c>
      <c r="AI42" s="33">
        <f t="shared" si="3"/>
        <v>3466440</v>
      </c>
    </row>
    <row r="43" spans="2:35" ht="12" customHeight="1">
      <c r="B43" s="332" t="s">
        <v>416</v>
      </c>
      <c r="C43" s="355">
        <f>E33+E34+E35+E36+E32</f>
        <v>0</v>
      </c>
      <c r="E43" s="980" t="s">
        <v>1756</v>
      </c>
      <c r="F43" s="981">
        <f>ROUNDUP(F42/C14,4)</f>
        <v>2.2800000000000001E-2</v>
      </c>
      <c r="AB43" s="335">
        <v>37</v>
      </c>
      <c r="AC43" s="33" t="e">
        <f t="shared" si="1"/>
        <v>#N/A</v>
      </c>
      <c r="AE43" s="335">
        <v>37</v>
      </c>
      <c r="AF43" s="33">
        <f t="shared" si="2"/>
        <v>3466440</v>
      </c>
      <c r="AH43" s="335">
        <v>37</v>
      </c>
      <c r="AI43" s="33">
        <f t="shared" si="3"/>
        <v>3466440</v>
      </c>
    </row>
    <row r="44" spans="2:35" ht="12" customHeight="1">
      <c r="B44" s="332" t="s">
        <v>417</v>
      </c>
      <c r="C44" s="355">
        <f>+C40-C42-C43</f>
        <v>2520000</v>
      </c>
      <c r="M44" s="375"/>
      <c r="AB44" s="335">
        <v>38</v>
      </c>
      <c r="AC44" s="33" t="e">
        <f t="shared" si="1"/>
        <v>#N/A</v>
      </c>
      <c r="AE44" s="335">
        <v>38</v>
      </c>
      <c r="AF44" s="33">
        <f t="shared" si="2"/>
        <v>3466440</v>
      </c>
      <c r="AH44" s="335">
        <v>38</v>
      </c>
      <c r="AI44" s="33">
        <f t="shared" si="3"/>
        <v>3466440</v>
      </c>
    </row>
    <row r="45" spans="2:35" ht="12" customHeight="1">
      <c r="B45" s="332" t="s">
        <v>418</v>
      </c>
      <c r="C45" s="376">
        <f>ROUNDUP(C44/C14,4)</f>
        <v>1.6799999999999999E-2</v>
      </c>
      <c r="E45" s="978" t="s">
        <v>1752</v>
      </c>
      <c r="F45" s="978"/>
      <c r="AB45" s="335">
        <v>39</v>
      </c>
      <c r="AC45" s="33" t="e">
        <f t="shared" si="1"/>
        <v>#N/A</v>
      </c>
      <c r="AE45" s="335">
        <v>39</v>
      </c>
      <c r="AF45" s="33">
        <f t="shared" si="2"/>
        <v>3466440</v>
      </c>
      <c r="AH45" s="335">
        <v>39</v>
      </c>
      <c r="AI45" s="33">
        <f t="shared" si="3"/>
        <v>3466440</v>
      </c>
    </row>
    <row r="46" spans="2:35" ht="12" customHeight="1">
      <c r="B46" s="341" t="s">
        <v>419</v>
      </c>
      <c r="C46" s="341" t="b">
        <f>+IF(E37&gt;C40,FALSE,TRUE)</f>
        <v>1</v>
      </c>
      <c r="E46" s="980" t="s">
        <v>1757</v>
      </c>
      <c r="F46" s="979">
        <v>0.03</v>
      </c>
      <c r="M46" s="375"/>
      <c r="U46" s="323"/>
      <c r="V46" s="323"/>
      <c r="AB46" s="335">
        <v>40</v>
      </c>
      <c r="AC46" s="33" t="e">
        <f t="shared" si="1"/>
        <v>#N/A</v>
      </c>
      <c r="AE46" s="335">
        <v>40</v>
      </c>
      <c r="AF46" s="33">
        <f t="shared" si="2"/>
        <v>3466440</v>
      </c>
      <c r="AH46" s="335">
        <v>40</v>
      </c>
      <c r="AI46" s="33">
        <f t="shared" si="3"/>
        <v>3466440</v>
      </c>
    </row>
    <row r="47" spans="2:35" ht="12" customHeight="1">
      <c r="B47" s="320" t="s">
        <v>420</v>
      </c>
      <c r="E47" s="2457" t="s">
        <v>1758</v>
      </c>
      <c r="F47" s="979">
        <v>2.2499999999999999E-2</v>
      </c>
      <c r="G47" s="978"/>
      <c r="H47" s="978"/>
      <c r="M47" s="375"/>
      <c r="U47" s="323"/>
      <c r="V47" s="323"/>
      <c r="AB47" s="335">
        <v>41</v>
      </c>
      <c r="AC47" s="33" t="e">
        <f t="shared" si="1"/>
        <v>#N/A</v>
      </c>
      <c r="AE47" s="335">
        <v>41</v>
      </c>
      <c r="AF47" s="33">
        <f t="shared" si="2"/>
        <v>3466440</v>
      </c>
      <c r="AH47" s="335">
        <v>41</v>
      </c>
      <c r="AI47" s="33">
        <f t="shared" si="3"/>
        <v>3466440</v>
      </c>
    </row>
    <row r="48" spans="2:35" ht="12" customHeight="1">
      <c r="B48" s="329" t="s">
        <v>409</v>
      </c>
      <c r="C48" s="369">
        <f>+IF(D3="할부금융",H21,10000)</f>
        <v>75000</v>
      </c>
      <c r="D48" s="323"/>
      <c r="E48" s="2458"/>
      <c r="F48" s="369">
        <v>150000</v>
      </c>
      <c r="M48" s="375"/>
      <c r="U48" s="323"/>
      <c r="V48" s="323"/>
      <c r="AB48" s="335">
        <v>42</v>
      </c>
      <c r="AC48" s="33" t="e">
        <f t="shared" si="1"/>
        <v>#N/A</v>
      </c>
      <c r="AE48" s="335">
        <v>42</v>
      </c>
      <c r="AF48" s="33">
        <f t="shared" si="2"/>
        <v>3466440</v>
      </c>
      <c r="AH48" s="335">
        <v>42</v>
      </c>
      <c r="AI48" s="33">
        <f t="shared" si="3"/>
        <v>3466440</v>
      </c>
    </row>
    <row r="49" spans="2:35" ht="12" customHeight="1">
      <c r="B49" s="329" t="s">
        <v>407</v>
      </c>
      <c r="C49" s="369">
        <f>IF(할부!BR3=2,0,+VLOOKUP(G24,H25:J34,3,0))</f>
        <v>450000</v>
      </c>
      <c r="D49" s="323"/>
      <c r="E49" s="323"/>
      <c r="U49" s="323"/>
      <c r="V49" s="323"/>
      <c r="AB49" s="335">
        <v>43</v>
      </c>
      <c r="AC49" s="33" t="e">
        <f t="shared" ref="AC49:AC66" si="7">IF(AB49&lt;$C$13,$M$3,IF(AB49=$C$13,$M$3,0))</f>
        <v>#N/A</v>
      </c>
      <c r="AE49" s="335">
        <v>43</v>
      </c>
      <c r="AF49" s="33">
        <f t="shared" ref="AF49:AF66" si="8">IF(AE49&lt;$C$13,$M$17,IF(AE49=$C$13,$M$17,0))</f>
        <v>3466440</v>
      </c>
      <c r="AH49" s="335">
        <v>43</v>
      </c>
      <c r="AI49" s="33">
        <f t="shared" ref="AI49:AI66" si="9">IF(AH49&lt;$C$13,$M$31,IF(AH49=$C$13,$M$31,0))</f>
        <v>3466440</v>
      </c>
    </row>
    <row r="50" spans="2:35" ht="12" customHeight="1">
      <c r="B50" s="323"/>
      <c r="C50" s="323"/>
      <c r="D50" s="323"/>
      <c r="E50" s="323"/>
      <c r="U50" s="323"/>
      <c r="V50" s="323"/>
      <c r="AB50" s="335">
        <v>44</v>
      </c>
      <c r="AC50" s="33" t="e">
        <f t="shared" si="7"/>
        <v>#N/A</v>
      </c>
      <c r="AE50" s="335">
        <v>44</v>
      </c>
      <c r="AF50" s="33">
        <f t="shared" si="8"/>
        <v>3466440</v>
      </c>
      <c r="AH50" s="335">
        <v>44</v>
      </c>
      <c r="AI50" s="33">
        <f t="shared" si="9"/>
        <v>3466440</v>
      </c>
    </row>
    <row r="51" spans="2:35" ht="12" customHeight="1">
      <c r="B51" s="323"/>
      <c r="C51" s="323"/>
      <c r="D51" s="323"/>
      <c r="E51" s="323"/>
      <c r="U51" s="323"/>
      <c r="V51" s="323"/>
      <c r="AB51" s="335">
        <v>45</v>
      </c>
      <c r="AC51" s="33" t="e">
        <f t="shared" si="7"/>
        <v>#N/A</v>
      </c>
      <c r="AE51" s="335">
        <v>45</v>
      </c>
      <c r="AF51" s="33">
        <f t="shared" si="8"/>
        <v>3466440</v>
      </c>
      <c r="AH51" s="335">
        <v>45</v>
      </c>
      <c r="AI51" s="33">
        <f t="shared" si="9"/>
        <v>3466440</v>
      </c>
    </row>
    <row r="52" spans="2:35" ht="12" customHeight="1">
      <c r="B52" s="323"/>
      <c r="C52" s="323"/>
      <c r="D52" s="323"/>
      <c r="I52" s="323"/>
      <c r="J52" s="323"/>
      <c r="AB52" s="335">
        <v>46</v>
      </c>
      <c r="AC52" s="33" t="e">
        <f t="shared" si="7"/>
        <v>#N/A</v>
      </c>
      <c r="AE52" s="335">
        <v>46</v>
      </c>
      <c r="AF52" s="33">
        <f t="shared" si="8"/>
        <v>3466440</v>
      </c>
      <c r="AH52" s="335">
        <v>46</v>
      </c>
      <c r="AI52" s="33">
        <f t="shared" si="9"/>
        <v>3466440</v>
      </c>
    </row>
    <row r="53" spans="2:35" ht="12" customHeight="1">
      <c r="AB53" s="335">
        <v>47</v>
      </c>
      <c r="AC53" s="33" t="e">
        <f t="shared" si="7"/>
        <v>#N/A</v>
      </c>
      <c r="AE53" s="335">
        <v>47</v>
      </c>
      <c r="AF53" s="33">
        <f t="shared" si="8"/>
        <v>3466440</v>
      </c>
      <c r="AH53" s="335">
        <v>47</v>
      </c>
      <c r="AI53" s="33">
        <f t="shared" si="9"/>
        <v>3466440</v>
      </c>
    </row>
    <row r="54" spans="2:35" ht="12" customHeight="1">
      <c r="B54" s="186" t="s">
        <v>303</v>
      </c>
      <c r="C54" s="309">
        <f>IF('AG 입력시트'!AG15=TRUE,0,VLOOKUP('AG 입력시트'!S9,제휴조건!D32:P53,3,0))+'AG 입력시트'!S15</f>
        <v>6.0000000000000001E-3</v>
      </c>
      <c r="AB54" s="335">
        <v>48</v>
      </c>
      <c r="AC54" s="33" t="e">
        <f t="shared" si="7"/>
        <v>#N/A</v>
      </c>
      <c r="AE54" s="335">
        <v>48</v>
      </c>
      <c r="AF54" s="33">
        <f t="shared" si="8"/>
        <v>3466440</v>
      </c>
      <c r="AH54" s="335">
        <v>48</v>
      </c>
      <c r="AI54" s="33">
        <f t="shared" si="9"/>
        <v>3466440</v>
      </c>
    </row>
    <row r="55" spans="2:35" ht="12" customHeight="1">
      <c r="AB55" s="335">
        <v>49</v>
      </c>
      <c r="AC55" s="33">
        <f t="shared" si="7"/>
        <v>0</v>
      </c>
      <c r="AE55" s="335">
        <v>49</v>
      </c>
      <c r="AF55" s="33">
        <f t="shared" si="8"/>
        <v>0</v>
      </c>
      <c r="AH55" s="335">
        <v>49</v>
      </c>
      <c r="AI55" s="33">
        <f t="shared" si="9"/>
        <v>0</v>
      </c>
    </row>
    <row r="56" spans="2:35" ht="12" customHeight="1">
      <c r="AB56" s="335">
        <v>50</v>
      </c>
      <c r="AC56" s="33">
        <f t="shared" si="7"/>
        <v>0</v>
      </c>
      <c r="AE56" s="335">
        <v>50</v>
      </c>
      <c r="AF56" s="33">
        <f t="shared" si="8"/>
        <v>0</v>
      </c>
      <c r="AH56" s="335">
        <v>50</v>
      </c>
      <c r="AI56" s="33">
        <f t="shared" si="9"/>
        <v>0</v>
      </c>
    </row>
    <row r="57" spans="2:35" ht="17.25" customHeight="1">
      <c r="AB57" s="335">
        <v>51</v>
      </c>
      <c r="AC57" s="33">
        <f t="shared" si="7"/>
        <v>0</v>
      </c>
      <c r="AE57" s="335">
        <v>51</v>
      </c>
      <c r="AF57" s="33">
        <f t="shared" si="8"/>
        <v>0</v>
      </c>
      <c r="AH57" s="335">
        <v>51</v>
      </c>
      <c r="AI57" s="33">
        <f t="shared" si="9"/>
        <v>0</v>
      </c>
    </row>
    <row r="58" spans="2:35" ht="12" customHeight="1">
      <c r="AB58" s="335">
        <v>52</v>
      </c>
      <c r="AC58" s="33">
        <f t="shared" si="7"/>
        <v>0</v>
      </c>
      <c r="AE58" s="335">
        <v>52</v>
      </c>
      <c r="AF58" s="33">
        <f t="shared" si="8"/>
        <v>0</v>
      </c>
      <c r="AH58" s="335">
        <v>52</v>
      </c>
      <c r="AI58" s="33">
        <f t="shared" si="9"/>
        <v>0</v>
      </c>
    </row>
    <row r="59" spans="2:35" ht="12" customHeight="1">
      <c r="AB59" s="335">
        <v>53</v>
      </c>
      <c r="AC59" s="33">
        <f t="shared" si="7"/>
        <v>0</v>
      </c>
      <c r="AE59" s="335">
        <v>53</v>
      </c>
      <c r="AF59" s="33">
        <f t="shared" si="8"/>
        <v>0</v>
      </c>
      <c r="AH59" s="335">
        <v>53</v>
      </c>
      <c r="AI59" s="33">
        <f t="shared" si="9"/>
        <v>0</v>
      </c>
    </row>
    <row r="60" spans="2:35" ht="12" customHeight="1">
      <c r="E60" s="323"/>
      <c r="AB60" s="335">
        <v>54</v>
      </c>
      <c r="AC60" s="33">
        <f t="shared" si="7"/>
        <v>0</v>
      </c>
      <c r="AE60" s="335">
        <v>54</v>
      </c>
      <c r="AF60" s="33">
        <f t="shared" si="8"/>
        <v>0</v>
      </c>
      <c r="AH60" s="335">
        <v>54</v>
      </c>
      <c r="AI60" s="33">
        <f t="shared" si="9"/>
        <v>0</v>
      </c>
    </row>
    <row r="61" spans="2:35" ht="12" customHeight="1">
      <c r="B61" s="323"/>
      <c r="C61" s="323"/>
      <c r="D61" s="323"/>
      <c r="AB61" s="335">
        <v>55</v>
      </c>
      <c r="AC61" s="33">
        <f t="shared" si="7"/>
        <v>0</v>
      </c>
      <c r="AE61" s="335">
        <v>55</v>
      </c>
      <c r="AF61" s="33">
        <f t="shared" si="8"/>
        <v>0</v>
      </c>
      <c r="AH61" s="335">
        <v>55</v>
      </c>
      <c r="AI61" s="33">
        <f t="shared" si="9"/>
        <v>0</v>
      </c>
    </row>
    <row r="62" spans="2:35" ht="12" customHeight="1">
      <c r="AB62" s="335">
        <v>56</v>
      </c>
      <c r="AC62" s="33">
        <f t="shared" si="7"/>
        <v>0</v>
      </c>
      <c r="AE62" s="335">
        <v>56</v>
      </c>
      <c r="AF62" s="33">
        <f t="shared" si="8"/>
        <v>0</v>
      </c>
      <c r="AH62" s="335">
        <v>56</v>
      </c>
      <c r="AI62" s="33">
        <f t="shared" si="9"/>
        <v>0</v>
      </c>
    </row>
    <row r="63" spans="2:35" ht="12" customHeight="1">
      <c r="B63" s="323"/>
      <c r="C63" s="323"/>
      <c r="AB63" s="335">
        <v>57</v>
      </c>
      <c r="AC63" s="33">
        <f t="shared" si="7"/>
        <v>0</v>
      </c>
      <c r="AE63" s="335">
        <v>57</v>
      </c>
      <c r="AF63" s="33">
        <f t="shared" si="8"/>
        <v>0</v>
      </c>
      <c r="AH63" s="335">
        <v>57</v>
      </c>
      <c r="AI63" s="33">
        <f t="shared" si="9"/>
        <v>0</v>
      </c>
    </row>
    <row r="64" spans="2:35" ht="12" customHeight="1">
      <c r="E64" s="157"/>
      <c r="AB64" s="335">
        <v>58</v>
      </c>
      <c r="AC64" s="33">
        <f t="shared" si="7"/>
        <v>0</v>
      </c>
      <c r="AE64" s="335">
        <v>58</v>
      </c>
      <c r="AF64" s="33">
        <f t="shared" si="8"/>
        <v>0</v>
      </c>
      <c r="AH64" s="335">
        <v>58</v>
      </c>
      <c r="AI64" s="33">
        <f t="shared" si="9"/>
        <v>0</v>
      </c>
    </row>
    <row r="65" spans="2:35" ht="12" customHeight="1">
      <c r="B65" s="163" t="s">
        <v>121</v>
      </c>
      <c r="C65" s="163"/>
      <c r="D65" s="157"/>
      <c r="E65" s="157"/>
      <c r="AB65" s="335">
        <v>59</v>
      </c>
      <c r="AC65" s="33">
        <f t="shared" si="7"/>
        <v>0</v>
      </c>
      <c r="AE65" s="335">
        <v>59</v>
      </c>
      <c r="AF65" s="33">
        <f t="shared" si="8"/>
        <v>0</v>
      </c>
      <c r="AH65" s="335">
        <v>59</v>
      </c>
      <c r="AI65" s="33">
        <f t="shared" si="9"/>
        <v>0</v>
      </c>
    </row>
    <row r="66" spans="2:35" ht="12" customHeight="1">
      <c r="B66" s="182" t="s">
        <v>122</v>
      </c>
      <c r="C66" s="307"/>
      <c r="D66" s="232">
        <f>INT(IF(C14&lt;=5000000,C14*4%,C14*3%+50000))</f>
        <v>4550000</v>
      </c>
      <c r="E66" s="157"/>
      <c r="AB66" s="377">
        <v>60</v>
      </c>
      <c r="AC66" s="34">
        <f t="shared" si="7"/>
        <v>0</v>
      </c>
      <c r="AE66" s="377">
        <v>60</v>
      </c>
      <c r="AF66" s="33">
        <f t="shared" si="8"/>
        <v>0</v>
      </c>
      <c r="AH66" s="377">
        <v>60</v>
      </c>
      <c r="AI66" s="33">
        <f t="shared" si="9"/>
        <v>0</v>
      </c>
    </row>
    <row r="67" spans="2:35" ht="12" customHeight="1">
      <c r="B67" s="201" t="s">
        <v>123</v>
      </c>
      <c r="C67" s="201" t="b">
        <f>+IF(E37&gt;D66,FALSE,TRUE)</f>
        <v>1</v>
      </c>
      <c r="D67" s="201"/>
      <c r="E67" s="157"/>
      <c r="AB67" s="323"/>
    </row>
    <row r="68" spans="2:35" ht="12" customHeight="1">
      <c r="E68" s="157"/>
    </row>
    <row r="69" spans="2:35" ht="12" customHeight="1">
      <c r="E69" s="157"/>
    </row>
    <row r="70" spans="2:35" ht="12" customHeight="1">
      <c r="E70" s="157"/>
    </row>
    <row r="71" spans="2:35" ht="12" customHeight="1">
      <c r="E71" s="157"/>
    </row>
    <row r="73" spans="2:35" ht="12" customHeight="1">
      <c r="E73" s="292"/>
    </row>
    <row r="74" spans="2:35" ht="12" customHeight="1">
      <c r="B74" s="1933"/>
      <c r="C74" s="1933"/>
      <c r="D74" s="1933"/>
    </row>
    <row r="94" spans="2:5" ht="12" customHeight="1">
      <c r="E94" s="323"/>
    </row>
    <row r="95" spans="2:5" ht="12" customHeight="1">
      <c r="B95" s="323"/>
      <c r="C95" s="323"/>
      <c r="D95" s="323"/>
      <c r="E95" s="323"/>
    </row>
    <row r="96" spans="2:5" ht="12" customHeight="1">
      <c r="B96" s="323"/>
      <c r="C96" s="323"/>
      <c r="D96" s="323"/>
    </row>
  </sheetData>
  <mergeCells count="7">
    <mergeCell ref="B74:D74"/>
    <mergeCell ref="O2:P2"/>
    <mergeCell ref="R3:R4"/>
    <mergeCell ref="Z3:Z4"/>
    <mergeCell ref="G12:H12"/>
    <mergeCell ref="G35:H35"/>
    <mergeCell ref="E47:E48"/>
  </mergeCells>
  <phoneticPr fontId="2" type="noConversion"/>
  <pageMargins left="0.7" right="0.7" top="0.75" bottom="0.75" header="0.3" footer="0.3"/>
  <pageSetup paperSize="9" scale="18" orientation="portrait"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tabColor theme="4" tint="-0.249977111117893"/>
    <pageSetUpPr fitToPage="1"/>
  </sheetPr>
  <dimension ref="A1:AE80"/>
  <sheetViews>
    <sheetView showGridLines="0" view="pageBreakPreview" zoomScale="80" zoomScaleNormal="100" zoomScaleSheetLayoutView="80" workbookViewId="0">
      <selection activeCell="D8" sqref="D8:I8"/>
    </sheetView>
  </sheetViews>
  <sheetFormatPr defaultColWidth="2" defaultRowHeight="15" customHeight="1"/>
  <cols>
    <col min="1" max="1" width="2" style="634" customWidth="1"/>
    <col min="2" max="2" width="1.875" style="634" customWidth="1"/>
    <col min="3" max="3" width="20.625" style="634" customWidth="1"/>
    <col min="4" max="4" width="6.875" style="634" customWidth="1"/>
    <col min="5" max="5" width="13.125" style="634" customWidth="1"/>
    <col min="6" max="6" width="7.875" style="634" customWidth="1"/>
    <col min="7" max="7" width="13.125" style="634" customWidth="1"/>
    <col min="8" max="12" width="8.625" style="634" customWidth="1"/>
    <col min="13" max="13" width="14" style="634" bestFit="1" customWidth="1"/>
    <col min="14" max="14" width="2.125" style="634" customWidth="1"/>
    <col min="15" max="15" width="8.625" style="956" customWidth="1"/>
    <col min="16" max="16" width="22.875" style="956" customWidth="1"/>
    <col min="17" max="17" width="31.625" style="956" customWidth="1"/>
    <col min="18" max="18" width="22.875" style="956" customWidth="1"/>
    <col min="19" max="24" width="16.625" style="956" hidden="1" customWidth="1"/>
    <col min="25" max="25" width="8.625" style="956" customWidth="1"/>
    <col min="26" max="29" width="8.625" style="849" customWidth="1"/>
    <col min="30" max="96" width="8.625" style="634" customWidth="1"/>
    <col min="97" max="16384" width="2" style="634"/>
  </cols>
  <sheetData>
    <row r="1" spans="2:31" ht="10.5" customHeight="1">
      <c r="O1" s="849"/>
      <c r="P1" s="849"/>
      <c r="Q1" s="849"/>
      <c r="R1" s="849"/>
      <c r="S1" s="851"/>
      <c r="T1" s="851"/>
      <c r="U1" s="851"/>
      <c r="V1" s="851"/>
      <c r="W1" s="851"/>
      <c r="X1" s="851"/>
      <c r="Y1" s="849"/>
    </row>
    <row r="2" spans="2:31" ht="9" customHeight="1">
      <c r="O2" s="849"/>
      <c r="P2" s="849"/>
      <c r="Q2" s="849"/>
      <c r="R2" s="938"/>
      <c r="S2" s="851"/>
      <c r="T2" s="851"/>
      <c r="U2" s="851"/>
      <c r="V2" s="851"/>
      <c r="W2" s="851"/>
      <c r="X2" s="851"/>
      <c r="Y2" s="938"/>
      <c r="Z2" s="938"/>
    </row>
    <row r="3" spans="2:31" ht="20.25" customHeight="1">
      <c r="B3" s="636"/>
      <c r="C3" s="2067" t="s">
        <v>1697</v>
      </c>
      <c r="D3" s="2067"/>
      <c r="E3" s="2067"/>
      <c r="F3" s="2067"/>
      <c r="G3" s="2067"/>
      <c r="H3" s="2067"/>
      <c r="I3" s="2067"/>
      <c r="J3" s="2067"/>
      <c r="K3" s="2067"/>
      <c r="L3" s="2067"/>
      <c r="M3" s="2067"/>
      <c r="N3" s="637"/>
      <c r="O3" s="849"/>
      <c r="P3" s="849"/>
      <c r="Q3" s="849"/>
      <c r="R3" s="849"/>
      <c r="S3" s="851"/>
      <c r="T3" s="851"/>
      <c r="U3" s="851"/>
      <c r="V3" s="851"/>
      <c r="W3" s="851"/>
      <c r="X3" s="851"/>
      <c r="Y3" s="849"/>
    </row>
    <row r="4" spans="2:31" ht="15" customHeight="1" thickBot="1">
      <c r="B4" s="638"/>
      <c r="C4" s="2068"/>
      <c r="D4" s="2068"/>
      <c r="E4" s="2068"/>
      <c r="F4" s="2068"/>
      <c r="G4" s="2068"/>
      <c r="H4" s="2068"/>
      <c r="I4" s="2068"/>
      <c r="J4" s="2068"/>
      <c r="K4" s="2068"/>
      <c r="L4" s="2068"/>
      <c r="M4" s="2068"/>
      <c r="N4" s="639"/>
      <c r="O4" s="849"/>
      <c r="P4" s="849"/>
      <c r="Q4" s="849"/>
      <c r="R4" s="849"/>
      <c r="S4" s="851"/>
      <c r="T4" s="851"/>
      <c r="U4" s="851"/>
      <c r="V4" s="851"/>
      <c r="W4" s="851"/>
      <c r="X4" s="851"/>
      <c r="Y4" s="849"/>
    </row>
    <row r="5" spans="2:31" ht="15" customHeight="1" thickBot="1">
      <c r="B5" s="638"/>
      <c r="C5" s="670"/>
      <c r="D5" s="2202" t="s">
        <v>1090</v>
      </c>
      <c r="E5" s="2202"/>
      <c r="F5" s="635"/>
      <c r="G5" s="635"/>
      <c r="H5" s="635"/>
      <c r="I5" s="635"/>
      <c r="J5" s="635"/>
      <c r="K5" s="635"/>
      <c r="L5" s="635"/>
      <c r="M5" s="635"/>
      <c r="N5" s="639"/>
      <c r="O5" s="849"/>
      <c r="P5" s="849"/>
      <c r="Q5" s="849"/>
      <c r="R5" s="849"/>
      <c r="S5" s="851"/>
      <c r="T5" s="851"/>
      <c r="U5" s="851"/>
      <c r="V5" s="851"/>
      <c r="W5" s="851"/>
      <c r="X5" s="851"/>
      <c r="Y5" s="849"/>
    </row>
    <row r="6" spans="2:31" ht="15" customHeight="1" thickBot="1">
      <c r="B6" s="638"/>
      <c r="C6" s="635"/>
      <c r="D6" s="635"/>
      <c r="E6" s="635"/>
      <c r="F6" s="635"/>
      <c r="G6" s="635"/>
      <c r="H6" s="635"/>
      <c r="I6" s="635"/>
      <c r="J6" s="635"/>
      <c r="K6" s="635"/>
      <c r="L6" s="2069" t="s">
        <v>1719</v>
      </c>
      <c r="M6" s="2070"/>
      <c r="N6" s="639"/>
      <c r="O6" s="849"/>
      <c r="P6" s="849"/>
      <c r="Q6" s="849"/>
      <c r="R6" s="849"/>
      <c r="S6" s="851"/>
      <c r="T6" s="851"/>
      <c r="U6" s="851"/>
      <c r="V6" s="851"/>
      <c r="W6" s="851"/>
      <c r="X6" s="851"/>
      <c r="Y6" s="849"/>
      <c r="AD6" s="635"/>
    </row>
    <row r="7" spans="2:31" ht="20.100000000000001" customHeight="1" thickBot="1">
      <c r="B7" s="638"/>
      <c r="C7" s="635" t="s">
        <v>1023</v>
      </c>
      <c r="D7" s="635"/>
      <c r="E7" s="635"/>
      <c r="F7" s="635"/>
      <c r="G7" s="635"/>
      <c r="H7" s="635"/>
      <c r="I7" s="635"/>
      <c r="J7" s="635"/>
      <c r="K7" s="635"/>
      <c r="L7" s="635"/>
      <c r="M7" s="635"/>
      <c r="N7" s="639"/>
      <c r="O7" s="849"/>
      <c r="P7" s="849"/>
      <c r="Q7" s="849"/>
      <c r="R7" s="851"/>
      <c r="S7" s="851"/>
      <c r="T7" s="851"/>
      <c r="U7" s="851"/>
      <c r="V7" s="851"/>
      <c r="W7" s="851"/>
      <c r="X7" s="851"/>
      <c r="Y7" s="849"/>
      <c r="AD7" s="635"/>
    </row>
    <row r="8" spans="2:31" ht="35.25" customHeight="1" thickBot="1">
      <c r="B8" s="638"/>
      <c r="C8" s="1203" t="s">
        <v>1024</v>
      </c>
      <c r="D8" s="2203"/>
      <c r="E8" s="2204"/>
      <c r="F8" s="2204"/>
      <c r="G8" s="2204"/>
      <c r="H8" s="2204"/>
      <c r="I8" s="2205"/>
      <c r="J8" s="2206" t="s">
        <v>1093</v>
      </c>
      <c r="K8" s="2206"/>
      <c r="L8" s="2207"/>
      <c r="M8" s="2208"/>
      <c r="N8" s="639"/>
      <c r="O8" s="849"/>
      <c r="P8" s="849"/>
      <c r="Q8" s="849"/>
      <c r="R8" s="851"/>
      <c r="S8" s="851"/>
      <c r="T8" s="851"/>
      <c r="U8" s="851"/>
      <c r="V8" s="851"/>
      <c r="W8" s="851"/>
      <c r="X8" s="851"/>
      <c r="Y8" s="849"/>
      <c r="AD8" s="635"/>
    </row>
    <row r="9" spans="2:31" ht="35.25" customHeight="1" thickBot="1">
      <c r="B9" s="638"/>
      <c r="C9" s="1204" t="s">
        <v>1026</v>
      </c>
      <c r="D9" s="2203"/>
      <c r="E9" s="2204"/>
      <c r="F9" s="2204"/>
      <c r="G9" s="2204"/>
      <c r="H9" s="2204"/>
      <c r="I9" s="2205"/>
      <c r="J9" s="2206" t="s">
        <v>1094</v>
      </c>
      <c r="K9" s="2206"/>
      <c r="L9" s="2209"/>
      <c r="M9" s="2210"/>
      <c r="N9" s="639"/>
      <c r="O9" s="849"/>
      <c r="P9" s="849"/>
      <c r="Q9" s="849"/>
      <c r="R9" s="851"/>
      <c r="S9" s="851"/>
      <c r="T9" s="851"/>
      <c r="U9" s="851"/>
      <c r="V9" s="851"/>
      <c r="W9" s="851"/>
      <c r="X9" s="851"/>
      <c r="Y9" s="849"/>
      <c r="AD9" s="635"/>
    </row>
    <row r="10" spans="2:31" ht="20.100000000000001" customHeight="1" thickBot="1">
      <c r="B10" s="638"/>
      <c r="C10" s="640"/>
      <c r="D10" s="641"/>
      <c r="E10" s="641"/>
      <c r="F10" s="641"/>
      <c r="G10" s="641"/>
      <c r="H10" s="641"/>
      <c r="I10" s="641"/>
      <c r="J10" s="2098" t="s">
        <v>1028</v>
      </c>
      <c r="K10" s="2211"/>
      <c r="L10" s="2212"/>
      <c r="M10" s="2213"/>
      <c r="N10" s="639"/>
      <c r="O10" s="849"/>
      <c r="P10" s="849"/>
      <c r="Q10" s="849"/>
      <c r="R10" s="851"/>
      <c r="S10" s="851"/>
      <c r="T10" s="851"/>
      <c r="U10" s="851"/>
      <c r="V10" s="851"/>
      <c r="W10" s="851"/>
      <c r="X10" s="851"/>
      <c r="Y10" s="849"/>
      <c r="AD10" s="849"/>
      <c r="AE10" s="662"/>
    </row>
    <row r="11" spans="2:31" ht="20.100000000000001" customHeight="1" thickBot="1">
      <c r="B11" s="638"/>
      <c r="C11" s="642" t="s">
        <v>1029</v>
      </c>
      <c r="D11" s="635"/>
      <c r="E11" s="635"/>
      <c r="F11" s="635"/>
      <c r="G11" s="635"/>
      <c r="H11" s="635"/>
      <c r="I11" s="635"/>
      <c r="J11" s="635"/>
      <c r="K11" s="635"/>
      <c r="L11" s="635"/>
      <c r="M11" s="635"/>
      <c r="N11" s="639"/>
      <c r="O11" s="849"/>
      <c r="P11" s="849"/>
      <c r="Q11" s="849"/>
      <c r="R11" s="851"/>
      <c r="S11" s="850"/>
      <c r="T11" s="850"/>
      <c r="U11" s="850"/>
      <c r="V11" s="851"/>
      <c r="W11" s="849"/>
      <c r="X11" s="851"/>
      <c r="Y11" s="849"/>
      <c r="AD11" s="849"/>
      <c r="AE11" s="662"/>
    </row>
    <row r="12" spans="2:31" ht="24.95" customHeight="1">
      <c r="B12" s="643"/>
      <c r="C12" s="1205" t="s">
        <v>1030</v>
      </c>
      <c r="D12" s="2507" t="s">
        <v>1743</v>
      </c>
      <c r="E12" s="2508"/>
      <c r="F12" s="2508"/>
      <c r="G12" s="2508"/>
      <c r="H12" s="2508"/>
      <c r="I12" s="2508"/>
      <c r="J12" s="2509"/>
      <c r="K12" s="1206" t="s">
        <v>1031</v>
      </c>
      <c r="L12" s="2200" t="str">
        <f>VLOOKUP(운용리스_단일!$AS$7,차량정보!$D$842:$CL$1094,24,0)</f>
        <v>가솔린</v>
      </c>
      <c r="M12" s="2201"/>
      <c r="N12" s="639"/>
      <c r="O12" s="849"/>
      <c r="P12" s="849"/>
      <c r="Q12" s="849"/>
      <c r="R12" s="851"/>
      <c r="S12" s="850"/>
      <c r="T12" s="850"/>
      <c r="U12" s="850"/>
      <c r="V12" s="851"/>
      <c r="W12" s="849"/>
      <c r="X12" s="851"/>
      <c r="Y12" s="849"/>
      <c r="AD12" s="662"/>
      <c r="AE12" s="662"/>
    </row>
    <row r="13" spans="2:31" ht="5.0999999999999996" customHeight="1" thickBot="1">
      <c r="B13" s="644"/>
      <c r="C13" s="645"/>
      <c r="D13" s="646"/>
      <c r="E13" s="646"/>
      <c r="F13" s="646"/>
      <c r="G13" s="646"/>
      <c r="H13" s="646"/>
      <c r="I13" s="646"/>
      <c r="J13" s="646"/>
      <c r="K13" s="647"/>
      <c r="L13" s="645"/>
      <c r="M13" s="645"/>
      <c r="N13" s="648"/>
      <c r="O13" s="849"/>
      <c r="P13" s="849"/>
      <c r="Q13" s="849"/>
      <c r="R13" s="849"/>
      <c r="S13" s="849"/>
      <c r="T13" s="849"/>
      <c r="U13" s="849"/>
      <c r="V13" s="851"/>
      <c r="W13" s="849"/>
      <c r="X13" s="849"/>
      <c r="Y13" s="849"/>
      <c r="AD13" s="662"/>
      <c r="AE13" s="662"/>
    </row>
    <row r="14" spans="2:31" ht="24.95" customHeight="1" thickBot="1">
      <c r="B14" s="644"/>
      <c r="C14" s="1209" t="s">
        <v>1032</v>
      </c>
      <c r="D14" s="2100" t="s">
        <v>1033</v>
      </c>
      <c r="E14" s="2101"/>
      <c r="F14" s="2101"/>
      <c r="G14" s="2101"/>
      <c r="H14" s="2101"/>
      <c r="I14" s="2101"/>
      <c r="J14" s="2102"/>
      <c r="K14" s="1207" t="s">
        <v>1034</v>
      </c>
      <c r="L14" s="2183"/>
      <c r="M14" s="2158"/>
      <c r="N14" s="648"/>
      <c r="O14" s="849"/>
      <c r="P14" s="849"/>
      <c r="Q14" s="849"/>
      <c r="R14" s="851"/>
      <c r="S14" s="849"/>
      <c r="T14" s="849"/>
      <c r="U14" s="849"/>
      <c r="V14" s="851"/>
      <c r="W14" s="849"/>
      <c r="X14" s="851"/>
      <c r="Y14" s="849"/>
      <c r="AD14" s="662"/>
      <c r="AE14" s="662"/>
    </row>
    <row r="15" spans="2:31" ht="24.95" customHeight="1" thickBot="1">
      <c r="B15" s="644"/>
      <c r="C15" s="2048" t="s">
        <v>1035</v>
      </c>
      <c r="D15" s="2184"/>
      <c r="E15" s="2185"/>
      <c r="F15" s="2185"/>
      <c r="G15" s="2185"/>
      <c r="H15" s="2185"/>
      <c r="I15" s="2185"/>
      <c r="J15" s="2186"/>
      <c r="K15" s="1208" t="s">
        <v>1036</v>
      </c>
      <c r="L15" s="2183"/>
      <c r="M15" s="2158"/>
      <c r="N15" s="648"/>
      <c r="O15" s="849"/>
      <c r="P15" s="849"/>
      <c r="Q15" s="849"/>
      <c r="R15" s="851"/>
      <c r="S15" s="849"/>
      <c r="T15" s="849"/>
      <c r="U15" s="849"/>
      <c r="V15" s="851"/>
      <c r="W15" s="849"/>
      <c r="X15" s="851"/>
      <c r="Y15" s="849"/>
      <c r="AD15" s="662"/>
      <c r="AE15" s="662"/>
    </row>
    <row r="16" spans="2:31" ht="24.95" customHeight="1">
      <c r="B16" s="644"/>
      <c r="C16" s="2049"/>
      <c r="D16" s="2187"/>
      <c r="E16" s="2188"/>
      <c r="F16" s="2188"/>
      <c r="G16" s="2188"/>
      <c r="H16" s="2188"/>
      <c r="I16" s="2188"/>
      <c r="J16" s="2189"/>
      <c r="K16" s="2061" t="s">
        <v>1037</v>
      </c>
      <c r="L16" s="2503">
        <v>0</v>
      </c>
      <c r="M16" s="2504"/>
      <c r="N16" s="648"/>
      <c r="O16" s="849"/>
      <c r="P16" s="849"/>
      <c r="Q16" s="849"/>
      <c r="R16" s="851"/>
      <c r="S16" s="849"/>
      <c r="T16" s="849"/>
      <c r="U16" s="849"/>
      <c r="V16" s="851"/>
      <c r="W16" s="849"/>
      <c r="X16" s="851"/>
      <c r="Y16" s="849"/>
      <c r="AD16" s="662"/>
      <c r="AE16" s="662"/>
    </row>
    <row r="17" spans="2:31" ht="24.95" customHeight="1" thickBot="1">
      <c r="B17" s="644"/>
      <c r="C17" s="2050"/>
      <c r="D17" s="2190"/>
      <c r="E17" s="2191"/>
      <c r="F17" s="2191"/>
      <c r="G17" s="2191"/>
      <c r="H17" s="2191"/>
      <c r="I17" s="2191"/>
      <c r="J17" s="2192"/>
      <c r="K17" s="2062"/>
      <c r="L17" s="2505"/>
      <c r="M17" s="2506"/>
      <c r="N17" s="648"/>
      <c r="O17" s="849"/>
      <c r="P17" s="849"/>
      <c r="Q17" s="849"/>
      <c r="R17" s="851"/>
      <c r="S17" s="850"/>
      <c r="T17" s="850"/>
      <c r="U17" s="850"/>
      <c r="V17" s="851"/>
      <c r="W17" s="849"/>
      <c r="X17" s="851"/>
      <c r="Y17" s="849"/>
      <c r="AD17" s="662"/>
      <c r="AE17" s="662"/>
    </row>
    <row r="18" spans="2:31" ht="5.0999999999999996" customHeight="1" thickBot="1">
      <c r="B18" s="644"/>
      <c r="C18" s="647"/>
      <c r="D18" s="645"/>
      <c r="E18" s="645"/>
      <c r="F18" s="645"/>
      <c r="G18" s="645"/>
      <c r="H18" s="645"/>
      <c r="I18" s="645"/>
      <c r="J18" s="645"/>
      <c r="K18" s="645"/>
      <c r="L18" s="645"/>
      <c r="M18" s="645"/>
      <c r="N18" s="648"/>
      <c r="O18" s="849"/>
      <c r="P18" s="849"/>
      <c r="Q18" s="849"/>
      <c r="R18" s="849"/>
      <c r="S18" s="849"/>
      <c r="T18" s="849"/>
      <c r="U18" s="849"/>
      <c r="V18" s="851"/>
      <c r="W18" s="849"/>
      <c r="X18" s="849"/>
      <c r="Y18" s="849"/>
      <c r="AD18" s="662"/>
      <c r="AE18" s="662"/>
    </row>
    <row r="19" spans="2:31" ht="24.95" customHeight="1" thickBot="1">
      <c r="B19" s="644"/>
      <c r="C19" s="1207" t="s">
        <v>94</v>
      </c>
      <c r="D19" s="2493"/>
      <c r="E19" s="2494"/>
      <c r="F19" s="2495"/>
      <c r="G19" s="1210" t="s">
        <v>1039</v>
      </c>
      <c r="H19" s="2493"/>
      <c r="I19" s="2495"/>
      <c r="J19" s="1211" t="s">
        <v>1040</v>
      </c>
      <c r="K19" s="2496">
        <f>+D19+H19</f>
        <v>0</v>
      </c>
      <c r="L19" s="2497"/>
      <c r="M19" s="2498"/>
      <c r="N19" s="648"/>
      <c r="O19" s="849"/>
      <c r="P19" s="849"/>
      <c r="Q19" s="849"/>
      <c r="R19" s="851"/>
      <c r="S19" s="849"/>
      <c r="T19" s="849"/>
      <c r="U19" s="849"/>
      <c r="V19" s="851"/>
      <c r="W19" s="849"/>
      <c r="X19" s="851"/>
      <c r="Y19" s="849"/>
      <c r="AD19" s="662"/>
      <c r="AE19" s="662"/>
    </row>
    <row r="20" spans="2:31" ht="20.100000000000001" customHeight="1">
      <c r="B20" s="644"/>
      <c r="C20" s="650"/>
      <c r="D20" s="651"/>
      <c r="E20" s="652"/>
      <c r="F20" s="652"/>
      <c r="G20" s="653"/>
      <c r="H20" s="652"/>
      <c r="I20" s="652"/>
      <c r="J20" s="654"/>
      <c r="K20" s="652"/>
      <c r="L20" s="652"/>
      <c r="M20" s="652"/>
      <c r="N20" s="648"/>
      <c r="O20" s="849"/>
      <c r="P20" s="849"/>
      <c r="Q20" s="849"/>
      <c r="R20" s="851"/>
      <c r="S20" s="849"/>
      <c r="T20" s="849"/>
      <c r="U20" s="849"/>
      <c r="V20" s="851"/>
      <c r="W20" s="849"/>
      <c r="X20" s="851"/>
      <c r="Y20" s="849"/>
      <c r="AD20" s="662"/>
      <c r="AE20" s="662"/>
    </row>
    <row r="21" spans="2:31" ht="24.95" customHeight="1" thickBot="1">
      <c r="B21" s="644"/>
      <c r="C21" s="655" t="s">
        <v>1041</v>
      </c>
      <c r="D21" s="656"/>
      <c r="E21" s="656"/>
      <c r="F21" s="656"/>
      <c r="G21" s="656"/>
      <c r="H21" s="656"/>
      <c r="I21" s="656"/>
      <c r="J21" s="656"/>
      <c r="K21" s="656"/>
      <c r="L21" s="656"/>
      <c r="M21" s="656"/>
      <c r="N21" s="648"/>
      <c r="O21" s="849"/>
      <c r="P21" s="849"/>
      <c r="Q21" s="849"/>
      <c r="R21" s="849"/>
      <c r="S21" s="849"/>
      <c r="T21" s="849" t="str">
        <f>IF(D31="카버스직접등록",U21,IF(D31="CAR VERSE [기본]",V21,IF(D31="CAR VERSE [고급]",W21,IF(D31="CAR VERSE [프리미엄]",X21,"해당없음"))))</f>
        <v>루마 버텍스 '300'</v>
      </c>
      <c r="U21" s="939" t="s">
        <v>1746</v>
      </c>
      <c r="V21" s="939" t="s">
        <v>1681</v>
      </c>
      <c r="W21" s="939" t="s">
        <v>1682</v>
      </c>
      <c r="X21" s="939" t="s">
        <v>1683</v>
      </c>
      <c r="Y21" s="849"/>
      <c r="AD21" s="662"/>
      <c r="AE21" s="662"/>
    </row>
    <row r="22" spans="2:31" ht="24.95" customHeight="1" thickBot="1">
      <c r="B22" s="644"/>
      <c r="C22" s="1207" t="s">
        <v>1042</v>
      </c>
      <c r="D22" s="2499" t="s">
        <v>1684</v>
      </c>
      <c r="E22" s="2500"/>
      <c r="F22" s="2501" t="s">
        <v>1685</v>
      </c>
      <c r="G22" s="2040"/>
      <c r="H22" s="2502" t="s">
        <v>1686</v>
      </c>
      <c r="I22" s="2502"/>
      <c r="J22" s="2040"/>
      <c r="K22" s="2040"/>
      <c r="L22" s="2502"/>
      <c r="M22" s="2502"/>
      <c r="N22" s="648"/>
      <c r="O22" s="849"/>
      <c r="P22" s="849"/>
      <c r="Q22" s="849"/>
      <c r="R22" s="849"/>
      <c r="S22" s="849"/>
      <c r="T22" s="849">
        <f>IF(D31="카버스직접등록",U22,IF(D31="CAR VERSE [기본]",V22,IF(D31="CAR VERSE [고급]",W22,IF(D31="CAR VERSE [프리미엄]",X22,"해당없음"))))</f>
        <v>0</v>
      </c>
      <c r="U22" s="939" t="s">
        <v>1747</v>
      </c>
      <c r="V22" s="939"/>
      <c r="W22" s="939"/>
      <c r="X22" s="939" t="s">
        <v>1687</v>
      </c>
      <c r="Y22" s="849"/>
      <c r="AD22" s="662"/>
      <c r="AE22" s="662"/>
    </row>
    <row r="23" spans="2:31" ht="24.95" customHeight="1">
      <c r="B23" s="644"/>
      <c r="C23" s="650"/>
      <c r="D23" s="652"/>
      <c r="E23" s="652"/>
      <c r="F23" s="652"/>
      <c r="G23" s="653"/>
      <c r="H23" s="652"/>
      <c r="I23" s="652"/>
      <c r="J23" s="654"/>
      <c r="K23" s="652"/>
      <c r="L23" s="652"/>
      <c r="M23" s="652"/>
      <c r="N23" s="648"/>
      <c r="O23" s="849"/>
      <c r="P23" s="849"/>
      <c r="Q23" s="849"/>
      <c r="R23" s="849"/>
      <c r="S23" s="849"/>
      <c r="T23" s="849">
        <f>IF(D31="카버스직접등록",U23,IF(D31="CAR VERSE [기본]",V23,IF(D31="CAR VERSE [고급]",W23,IF(D31="CAR VERSE [프리미엄]",X23,"해당없음"))))</f>
        <v>0</v>
      </c>
      <c r="U23" s="939" t="s">
        <v>1748</v>
      </c>
      <c r="V23" s="939"/>
      <c r="W23" s="939"/>
      <c r="X23" s="939" t="s">
        <v>1688</v>
      </c>
      <c r="Y23" s="849"/>
      <c r="AD23" s="662"/>
      <c r="AE23" s="662"/>
    </row>
    <row r="24" spans="2:31" ht="20.100000000000001" customHeight="1">
      <c r="B24" s="644"/>
      <c r="C24" s="655" t="s">
        <v>1051</v>
      </c>
      <c r="D24" s="656"/>
      <c r="E24" s="656"/>
      <c r="F24" s="656"/>
      <c r="G24" s="656"/>
      <c r="H24" s="656"/>
      <c r="I24" s="656"/>
      <c r="J24" s="656"/>
      <c r="K24" s="656"/>
      <c r="L24" s="656"/>
      <c r="M24" s="656"/>
      <c r="N24" s="648"/>
      <c r="O24" s="849"/>
      <c r="P24" s="849"/>
      <c r="Q24" s="849"/>
      <c r="R24" s="849"/>
      <c r="S24" s="849"/>
      <c r="T24" s="940">
        <f>IF(D31="카버스직접등록",U24,IF(D31="CAR VERSE [기본]",V24,IF(D31="CAR VERSE [고급]",W24,IF(D31="CAR VERSE [프리미엄]",X24,"해당없음"))))</f>
        <v>0</v>
      </c>
      <c r="U24" s="939" t="s">
        <v>1748</v>
      </c>
      <c r="V24" s="941"/>
      <c r="W24" s="941"/>
      <c r="X24" s="939" t="s">
        <v>1689</v>
      </c>
      <c r="Y24" s="849"/>
      <c r="AD24" s="662"/>
      <c r="AE24" s="662"/>
    </row>
    <row r="25" spans="2:31" ht="24.95" customHeight="1">
      <c r="B25" s="644"/>
      <c r="C25" s="1209" t="s">
        <v>1052</v>
      </c>
      <c r="D25" s="2484" t="s">
        <v>1139</v>
      </c>
      <c r="E25" s="2484"/>
      <c r="F25" s="2040" t="s">
        <v>1053</v>
      </c>
      <c r="G25" s="2040"/>
      <c r="H25" s="2485" t="s">
        <v>1141</v>
      </c>
      <c r="I25" s="2485"/>
      <c r="J25" s="2040" t="s">
        <v>1054</v>
      </c>
      <c r="K25" s="2040"/>
      <c r="L25" s="2484" t="s">
        <v>1142</v>
      </c>
      <c r="M25" s="2484"/>
      <c r="N25" s="648"/>
      <c r="O25" s="849"/>
      <c r="P25" s="849"/>
      <c r="Q25" s="849"/>
      <c r="R25" s="849"/>
      <c r="S25" s="849"/>
      <c r="T25" s="940">
        <f>IF(D31="카버스직접등록",U25,IF(D31="CAR VERSE [기본]",V25,IF(D31="CAR VERSE [고급]",W25,IF(D31="CAR VERSE [프리미엄]",X25,"해당없음"))))</f>
        <v>0</v>
      </c>
      <c r="U25" s="939" t="s">
        <v>1749</v>
      </c>
      <c r="V25" s="942"/>
      <c r="W25" s="943"/>
      <c r="X25" s="939" t="s">
        <v>1690</v>
      </c>
      <c r="Y25" s="849"/>
      <c r="AD25" s="662"/>
      <c r="AE25" s="662"/>
    </row>
    <row r="26" spans="2:31" ht="24.95" customHeight="1">
      <c r="B26" s="644"/>
      <c r="C26" s="650"/>
      <c r="D26" s="652"/>
      <c r="E26" s="652"/>
      <c r="F26" s="652"/>
      <c r="G26" s="653"/>
      <c r="H26" s="652"/>
      <c r="I26" s="652"/>
      <c r="J26" s="654"/>
      <c r="K26" s="652"/>
      <c r="L26" s="652"/>
      <c r="M26" s="652"/>
      <c r="N26" s="648"/>
      <c r="O26" s="849"/>
      <c r="P26" s="849"/>
      <c r="Q26" s="849"/>
      <c r="R26" s="849"/>
      <c r="S26" s="849"/>
      <c r="T26" s="849"/>
      <c r="U26" s="849"/>
      <c r="V26" s="849"/>
      <c r="W26" s="849"/>
      <c r="X26" s="849"/>
      <c r="Y26" s="849"/>
      <c r="AD26" s="662"/>
      <c r="AE26" s="662"/>
    </row>
    <row r="27" spans="2:31" ht="20.100000000000001" customHeight="1">
      <c r="B27" s="644"/>
      <c r="C27" s="655" t="s">
        <v>1055</v>
      </c>
      <c r="D27" s="656"/>
      <c r="E27" s="656"/>
      <c r="F27" s="656"/>
      <c r="G27" s="656"/>
      <c r="H27" s="656"/>
      <c r="I27" s="656"/>
      <c r="J27" s="656"/>
      <c r="K27" s="656"/>
      <c r="L27" s="656"/>
      <c r="M27" s="656"/>
      <c r="N27" s="648"/>
      <c r="O27" s="849"/>
      <c r="P27" s="849"/>
      <c r="Q27" s="849"/>
      <c r="R27" s="849"/>
      <c r="S27" s="849"/>
      <c r="T27" s="849"/>
      <c r="U27" s="849"/>
      <c r="V27" s="849"/>
      <c r="W27" s="849"/>
      <c r="X27" s="849"/>
      <c r="Y27" s="849"/>
      <c r="AD27" s="662"/>
      <c r="AE27" s="662"/>
    </row>
    <row r="28" spans="2:31" ht="24.95" customHeight="1">
      <c r="B28" s="644"/>
      <c r="C28" s="1209" t="s">
        <v>1056</v>
      </c>
      <c r="D28" s="2486" t="s">
        <v>1140</v>
      </c>
      <c r="E28" s="2487"/>
      <c r="F28" s="2487"/>
      <c r="G28" s="2487"/>
      <c r="H28" s="2487"/>
      <c r="I28" s="2487"/>
      <c r="J28" s="2487"/>
      <c r="K28" s="2487"/>
      <c r="L28" s="2487"/>
      <c r="M28" s="2488"/>
      <c r="N28" s="648"/>
      <c r="O28" s="849"/>
      <c r="P28" s="571"/>
      <c r="Q28" s="849"/>
      <c r="R28" s="849"/>
      <c r="S28" s="849"/>
      <c r="T28" s="849"/>
      <c r="U28" s="849"/>
      <c r="V28" s="849"/>
      <c r="W28" s="849"/>
      <c r="X28" s="849"/>
      <c r="Y28" s="849"/>
      <c r="AD28" s="662"/>
      <c r="AE28" s="662"/>
    </row>
    <row r="29" spans="2:31" ht="24.95" customHeight="1">
      <c r="B29" s="644"/>
      <c r="C29" s="650"/>
      <c r="D29" s="652"/>
      <c r="E29" s="652"/>
      <c r="F29" s="652"/>
      <c r="G29" s="653"/>
      <c r="H29" s="652"/>
      <c r="I29" s="652"/>
      <c r="J29" s="654"/>
      <c r="K29" s="652"/>
      <c r="L29" s="652"/>
      <c r="M29" s="652"/>
      <c r="N29" s="648"/>
      <c r="O29" s="849"/>
      <c r="P29" s="571"/>
      <c r="Q29" s="849"/>
      <c r="R29" s="849"/>
      <c r="S29" s="849"/>
      <c r="T29" s="849"/>
      <c r="U29" s="849"/>
      <c r="V29" s="849"/>
      <c r="W29" s="849"/>
      <c r="X29" s="849"/>
      <c r="Y29" s="849"/>
      <c r="AD29" s="662"/>
      <c r="AE29" s="662"/>
    </row>
    <row r="30" spans="2:31" ht="20.100000000000001" customHeight="1" thickBot="1">
      <c r="B30" s="644"/>
      <c r="C30" s="655" t="s">
        <v>1691</v>
      </c>
      <c r="D30" s="944" t="s">
        <v>1692</v>
      </c>
      <c r="E30" s="945"/>
      <c r="F30" s="945"/>
      <c r="G30" s="945"/>
      <c r="H30" s="945"/>
      <c r="I30" s="946"/>
      <c r="J30" s="945"/>
      <c r="K30" s="945"/>
      <c r="L30" s="947"/>
      <c r="M30" s="948" t="s">
        <v>1693</v>
      </c>
      <c r="N30" s="648"/>
      <c r="O30" s="849"/>
      <c r="P30" s="571"/>
      <c r="Q30" s="849"/>
      <c r="R30" s="849"/>
      <c r="S30" s="849"/>
      <c r="T30" s="849"/>
      <c r="U30" s="849"/>
      <c r="V30" s="849"/>
      <c r="W30" s="849"/>
      <c r="X30" s="849"/>
      <c r="Y30" s="849"/>
      <c r="AD30" s="662"/>
      <c r="AE30" s="662"/>
    </row>
    <row r="31" spans="2:31" ht="35.25" customHeight="1" thickBot="1">
      <c r="B31" s="644"/>
      <c r="C31" s="1212" t="s">
        <v>1694</v>
      </c>
      <c r="D31" s="2489" t="s">
        <v>3038</v>
      </c>
      <c r="E31" s="2490"/>
      <c r="F31" s="2490"/>
      <c r="G31" s="2490"/>
      <c r="H31" s="2490"/>
      <c r="I31" s="2490"/>
      <c r="J31" s="2490"/>
      <c r="K31" s="2491"/>
      <c r="L31" s="652"/>
      <c r="M31" s="652"/>
      <c r="N31" s="648"/>
      <c r="O31" s="849"/>
      <c r="P31" s="849"/>
      <c r="Q31" s="849"/>
      <c r="R31" s="949" t="str">
        <f>IF(D31="카버스직접등록","카버스직접등록",IF(D31="CAR VERSE [기본]","기본",IF(D31="CAR VERSE [고급]","고급",IF(D31="CAR VERSE [프리미엄]","프리미엄","해당없음"))))</f>
        <v>고급</v>
      </c>
      <c r="S31" s="849"/>
      <c r="T31" s="849"/>
      <c r="U31" s="849"/>
      <c r="V31" s="849"/>
      <c r="W31" s="849"/>
      <c r="X31" s="849"/>
      <c r="Y31" s="849"/>
      <c r="AD31" s="662"/>
      <c r="AE31" s="662"/>
    </row>
    <row r="32" spans="2:31" ht="24.95" customHeight="1" thickBot="1">
      <c r="B32" s="644"/>
      <c r="C32" s="1209" t="s">
        <v>808</v>
      </c>
      <c r="D32" s="2167" t="s">
        <v>1058</v>
      </c>
      <c r="E32" s="2167"/>
      <c r="F32" s="2167" t="s">
        <v>1059</v>
      </c>
      <c r="G32" s="2167"/>
      <c r="H32" s="2167" t="s">
        <v>1060</v>
      </c>
      <c r="I32" s="2167"/>
      <c r="J32" s="2167" t="s">
        <v>1061</v>
      </c>
      <c r="K32" s="2492"/>
      <c r="L32" s="2483" t="s">
        <v>1062</v>
      </c>
      <c r="M32" s="2483"/>
      <c r="N32" s="648"/>
      <c r="O32" s="849"/>
      <c r="P32" s="849"/>
      <c r="Q32" s="849"/>
      <c r="R32" s="950" t="str">
        <f>+IF(OR(T21=E33,T22=E33,T23=E33,T24=E33,T25=E33),"Y","N")</f>
        <v>N</v>
      </c>
      <c r="S32" s="849"/>
      <c r="T32" s="849"/>
      <c r="U32" s="849"/>
      <c r="V32" s="849"/>
      <c r="W32" s="849"/>
      <c r="X32" s="849"/>
      <c r="Y32" s="849"/>
      <c r="AD32" s="662"/>
      <c r="AE32" s="662"/>
    </row>
    <row r="33" spans="1:31" ht="36.75" customHeight="1" thickBot="1">
      <c r="B33" s="644"/>
      <c r="C33" s="1207" t="s">
        <v>1063</v>
      </c>
      <c r="D33" s="951">
        <v>0.15</v>
      </c>
      <c r="E33" s="952" t="s">
        <v>2674</v>
      </c>
      <c r="F33" s="951">
        <v>0.35</v>
      </c>
      <c r="G33" s="952" t="s">
        <v>2674</v>
      </c>
      <c r="H33" s="2468" t="s">
        <v>1745</v>
      </c>
      <c r="I33" s="2469"/>
      <c r="J33" s="2470" t="s">
        <v>1695</v>
      </c>
      <c r="K33" s="2471"/>
      <c r="L33" s="2472"/>
      <c r="M33" s="2473"/>
      <c r="N33" s="648"/>
      <c r="O33" s="849"/>
      <c r="P33" s="849"/>
      <c r="Q33" s="849"/>
      <c r="R33" s="950" t="str">
        <f>+IF(OR(T21=G33,T22=G33,T23=G33,T24=G33,T25=G33),"Y","N")</f>
        <v>N</v>
      </c>
      <c r="S33" s="849"/>
      <c r="T33" s="849"/>
      <c r="U33" s="849"/>
      <c r="V33" s="849"/>
      <c r="W33" s="849"/>
      <c r="X33" s="849"/>
      <c r="Y33" s="849"/>
      <c r="AD33" s="662"/>
      <c r="AE33" s="662"/>
    </row>
    <row r="34" spans="1:31" ht="44.25" customHeight="1" thickBot="1">
      <c r="B34" s="644"/>
      <c r="C34" s="1207" t="s">
        <v>1696</v>
      </c>
      <c r="D34" s="2474" t="s">
        <v>1699</v>
      </c>
      <c r="E34" s="2475"/>
      <c r="F34" s="2475"/>
      <c r="G34" s="2475"/>
      <c r="H34" s="2475"/>
      <c r="I34" s="2476"/>
      <c r="J34" s="2477"/>
      <c r="K34" s="2478"/>
      <c r="L34" s="2479">
        <f>SUM(D34:K34)</f>
        <v>0</v>
      </c>
      <c r="M34" s="2154"/>
      <c r="N34" s="648"/>
      <c r="O34" s="849"/>
      <c r="P34" s="849"/>
      <c r="Q34" s="849"/>
      <c r="R34" s="849"/>
      <c r="S34" s="849"/>
      <c r="T34" s="849"/>
      <c r="U34" s="849"/>
      <c r="V34" s="849"/>
      <c r="W34" s="849"/>
      <c r="X34" s="849"/>
      <c r="Y34" s="849"/>
      <c r="AD34" s="662"/>
      <c r="AE34" s="662"/>
    </row>
    <row r="35" spans="1:31" ht="31.5" customHeight="1">
      <c r="B35" s="644"/>
      <c r="C35" s="656"/>
      <c r="D35" s="656"/>
      <c r="E35" s="656"/>
      <c r="F35" s="656"/>
      <c r="G35" s="656"/>
      <c r="H35" s="656"/>
      <c r="I35" s="656"/>
      <c r="J35" s="656"/>
      <c r="K35" s="656"/>
      <c r="L35" s="656"/>
      <c r="M35" s="656"/>
      <c r="N35" s="648"/>
      <c r="O35" s="849"/>
      <c r="P35" s="849"/>
      <c r="Q35" s="849"/>
      <c r="R35" s="849"/>
      <c r="S35" s="849"/>
      <c r="T35" s="849"/>
      <c r="U35" s="849"/>
      <c r="V35" s="849"/>
      <c r="W35" s="849"/>
      <c r="X35" s="849"/>
      <c r="Y35" s="849"/>
      <c r="AD35" s="662"/>
      <c r="AE35" s="662"/>
    </row>
    <row r="36" spans="1:31" ht="20.100000000000001" customHeight="1" thickBot="1">
      <c r="B36" s="644"/>
      <c r="C36" s="655" t="s">
        <v>1066</v>
      </c>
      <c r="D36" s="656"/>
      <c r="E36" s="656"/>
      <c r="F36" s="656"/>
      <c r="G36" s="656"/>
      <c r="H36" s="656"/>
      <c r="I36" s="656"/>
      <c r="J36" s="656"/>
      <c r="K36" s="656"/>
      <c r="L36" s="656"/>
      <c r="M36" s="656"/>
      <c r="N36" s="648"/>
      <c r="O36" s="849"/>
      <c r="P36" s="849"/>
      <c r="Q36" s="849"/>
      <c r="R36" s="849"/>
      <c r="S36" s="849"/>
      <c r="T36" s="849"/>
      <c r="U36" s="849"/>
      <c r="V36" s="849"/>
      <c r="W36" s="849"/>
      <c r="X36" s="849"/>
      <c r="Y36" s="849"/>
      <c r="AD36" s="662"/>
      <c r="AE36" s="662"/>
    </row>
    <row r="37" spans="1:31" ht="24.95" customHeight="1" thickBot="1">
      <c r="B37" s="644"/>
      <c r="C37" s="1207" t="s">
        <v>1067</v>
      </c>
      <c r="D37" s="2480" t="s">
        <v>1720</v>
      </c>
      <c r="E37" s="2481"/>
      <c r="F37" s="2481"/>
      <c r="G37" s="2481"/>
      <c r="H37" s="2481"/>
      <c r="I37" s="2481"/>
      <c r="J37" s="2481"/>
      <c r="K37" s="2481"/>
      <c r="L37" s="2481"/>
      <c r="M37" s="2482"/>
      <c r="N37" s="648"/>
      <c r="O37" s="849"/>
      <c r="P37" s="849"/>
      <c r="Q37" s="849"/>
      <c r="R37" s="849"/>
      <c r="S37" s="849"/>
      <c r="T37" s="849"/>
      <c r="U37" s="849"/>
      <c r="V37" s="849"/>
      <c r="W37" s="849"/>
      <c r="X37" s="849"/>
      <c r="Y37" s="849"/>
      <c r="AD37" s="662"/>
      <c r="AE37" s="662"/>
    </row>
    <row r="38" spans="1:31" ht="24.95" customHeight="1" thickBot="1">
      <c r="B38" s="644"/>
      <c r="C38" s="1207" t="s">
        <v>1068</v>
      </c>
      <c r="D38" s="2140"/>
      <c r="E38" s="2141"/>
      <c r="F38" s="2141"/>
      <c r="G38" s="2141"/>
      <c r="H38" s="2141"/>
      <c r="I38" s="2141"/>
      <c r="J38" s="2141"/>
      <c r="K38" s="2141"/>
      <c r="L38" s="2141"/>
      <c r="M38" s="2142"/>
      <c r="N38" s="648"/>
      <c r="O38" s="849"/>
      <c r="P38" s="849"/>
      <c r="Q38" s="849"/>
      <c r="R38" s="849"/>
      <c r="S38" s="849"/>
      <c r="T38" s="849"/>
      <c r="U38" s="849"/>
      <c r="V38" s="849"/>
      <c r="W38" s="849"/>
      <c r="X38" s="849"/>
      <c r="Y38" s="849"/>
      <c r="AD38" s="662"/>
      <c r="AE38" s="662"/>
    </row>
    <row r="39" spans="1:31" ht="24.95" customHeight="1" thickBot="1">
      <c r="B39" s="644"/>
      <c r="C39" s="1207" t="s">
        <v>1069</v>
      </c>
      <c r="D39" s="2140"/>
      <c r="E39" s="2158"/>
      <c r="F39" s="932" t="s">
        <v>1070</v>
      </c>
      <c r="G39" s="2159"/>
      <c r="H39" s="2160"/>
      <c r="I39" s="2158"/>
      <c r="J39" s="931" t="s">
        <v>1071</v>
      </c>
      <c r="K39" s="2017"/>
      <c r="L39" s="2018"/>
      <c r="M39" s="2019"/>
      <c r="N39" s="648"/>
      <c r="O39" s="849"/>
      <c r="P39" s="849"/>
      <c r="Q39" s="849"/>
      <c r="R39" s="849"/>
      <c r="S39" s="849"/>
      <c r="T39" s="849"/>
      <c r="U39" s="849"/>
      <c r="V39" s="849"/>
      <c r="W39" s="849"/>
      <c r="X39" s="849"/>
      <c r="Y39" s="849"/>
      <c r="AD39" s="662"/>
      <c r="AE39" s="662"/>
    </row>
    <row r="40" spans="1:31" ht="20.100000000000001" customHeight="1">
      <c r="B40" s="644"/>
      <c r="C40" s="656"/>
      <c r="D40" s="656"/>
      <c r="E40" s="656"/>
      <c r="F40" s="658"/>
      <c r="G40" s="2131"/>
      <c r="H40" s="2131"/>
      <c r="I40" s="2131"/>
      <c r="J40" s="658"/>
      <c r="K40" s="1973"/>
      <c r="L40" s="1973"/>
      <c r="M40" s="1973"/>
      <c r="N40" s="648"/>
      <c r="O40" s="849"/>
      <c r="P40" s="849"/>
      <c r="Q40" s="953" t="s">
        <v>1072</v>
      </c>
      <c r="R40" s="849"/>
      <c r="S40" s="849"/>
      <c r="T40" s="849"/>
      <c r="U40" s="849"/>
      <c r="V40" s="849"/>
      <c r="W40" s="849"/>
      <c r="X40" s="849"/>
      <c r="Y40" s="849"/>
      <c r="AD40" s="662"/>
      <c r="AE40" s="662"/>
    </row>
    <row r="41" spans="1:31" ht="20.100000000000001" customHeight="1">
      <c r="B41" s="644"/>
      <c r="C41" s="655" t="s">
        <v>1074</v>
      </c>
      <c r="D41" s="656"/>
      <c r="E41" s="656"/>
      <c r="F41" s="656"/>
      <c r="G41" s="656"/>
      <c r="H41" s="656"/>
      <c r="I41" s="656"/>
      <c r="J41" s="656"/>
      <c r="K41" s="656"/>
      <c r="L41" s="656"/>
      <c r="M41" s="656"/>
      <c r="N41" s="648"/>
      <c r="O41" s="849"/>
      <c r="P41" s="849"/>
      <c r="Q41" s="953" t="s">
        <v>1073</v>
      </c>
      <c r="R41" s="849"/>
      <c r="S41" s="849"/>
      <c r="T41" s="849"/>
      <c r="U41" s="849"/>
      <c r="V41" s="849"/>
      <c r="W41" s="849"/>
      <c r="X41" s="849"/>
      <c r="Y41" s="849"/>
      <c r="AD41" s="662"/>
      <c r="AE41" s="662"/>
    </row>
    <row r="42" spans="1:31" ht="24.95" customHeight="1" thickBot="1">
      <c r="B42" s="644"/>
      <c r="C42" s="1209" t="s">
        <v>808</v>
      </c>
      <c r="D42" s="1974" t="s">
        <v>1077</v>
      </c>
      <c r="E42" s="1975"/>
      <c r="F42" s="1976"/>
      <c r="G42" s="2100" t="s">
        <v>1078</v>
      </c>
      <c r="H42" s="2101"/>
      <c r="I42" s="2102"/>
      <c r="J42" s="2100" t="s">
        <v>1079</v>
      </c>
      <c r="K42" s="2101"/>
      <c r="L42" s="2102"/>
      <c r="M42" s="671" t="s">
        <v>1080</v>
      </c>
      <c r="N42" s="648"/>
      <c r="O42" s="849"/>
      <c r="P42" s="849"/>
      <c r="Q42" s="953" t="s">
        <v>1075</v>
      </c>
      <c r="R42" s="849"/>
      <c r="S42" s="849"/>
      <c r="T42" s="849"/>
      <c r="U42" s="849"/>
      <c r="V42" s="849"/>
      <c r="W42" s="849"/>
      <c r="X42" s="849"/>
      <c r="Y42" s="849"/>
      <c r="AD42" s="662"/>
      <c r="AE42" s="662"/>
    </row>
    <row r="43" spans="1:31" ht="24.95" customHeight="1" thickBot="1">
      <c r="B43" s="644"/>
      <c r="C43" s="1209" t="s">
        <v>1082</v>
      </c>
      <c r="D43" s="2138"/>
      <c r="E43" s="2139"/>
      <c r="F43" s="2139"/>
      <c r="G43" s="2462"/>
      <c r="H43" s="2463"/>
      <c r="I43" s="2464"/>
      <c r="J43" s="2465"/>
      <c r="K43" s="2466"/>
      <c r="L43" s="2467"/>
      <c r="M43" s="954"/>
      <c r="N43" s="648"/>
      <c r="O43" s="849"/>
      <c r="P43" s="849"/>
      <c r="Q43" s="953" t="s">
        <v>1081</v>
      </c>
      <c r="R43" s="849"/>
      <c r="S43" s="849"/>
      <c r="T43" s="849"/>
      <c r="U43" s="849"/>
      <c r="V43" s="849"/>
      <c r="W43" s="849"/>
      <c r="X43" s="849"/>
      <c r="Y43" s="849"/>
      <c r="AD43" s="662"/>
      <c r="AE43" s="662"/>
    </row>
    <row r="44" spans="1:31" ht="24.95" customHeight="1" thickBot="1">
      <c r="B44" s="644"/>
      <c r="C44" s="1213" t="s">
        <v>1084</v>
      </c>
      <c r="D44" s="2132"/>
      <c r="E44" s="2133"/>
      <c r="F44" s="2133"/>
      <c r="G44" s="2459">
        <v>0</v>
      </c>
      <c r="H44" s="2460"/>
      <c r="I44" s="2461"/>
      <c r="J44" s="2459">
        <v>0</v>
      </c>
      <c r="K44" s="2460"/>
      <c r="L44" s="2461"/>
      <c r="M44" s="955" t="s">
        <v>627</v>
      </c>
      <c r="N44" s="648"/>
      <c r="O44" s="849"/>
      <c r="P44" s="849"/>
      <c r="Q44" s="953" t="s">
        <v>1083</v>
      </c>
      <c r="R44" s="849"/>
      <c r="S44" s="849"/>
      <c r="T44" s="849"/>
      <c r="U44" s="849"/>
      <c r="V44" s="849"/>
      <c r="W44" s="849"/>
      <c r="X44" s="849"/>
      <c r="Y44" s="849"/>
      <c r="AD44" s="662"/>
      <c r="AE44" s="662"/>
    </row>
    <row r="45" spans="1:31" ht="20.100000000000001" customHeight="1">
      <c r="A45" s="662"/>
      <c r="B45" s="644"/>
      <c r="C45" s="663"/>
      <c r="D45" s="664"/>
      <c r="E45" s="664"/>
      <c r="F45" s="664"/>
      <c r="G45" s="664"/>
      <c r="H45" s="664"/>
      <c r="I45" s="664"/>
      <c r="J45" s="664"/>
      <c r="K45" s="664"/>
      <c r="L45" s="664"/>
      <c r="M45" s="645"/>
      <c r="N45" s="648"/>
      <c r="O45" s="849"/>
      <c r="P45" s="849"/>
      <c r="Q45" s="953" t="s">
        <v>1086</v>
      </c>
      <c r="R45" s="849"/>
      <c r="S45" s="849"/>
      <c r="T45" s="849"/>
      <c r="U45" s="849"/>
      <c r="V45" s="849"/>
      <c r="W45" s="849"/>
      <c r="X45" s="849"/>
      <c r="Y45" s="849"/>
      <c r="AD45" s="662"/>
      <c r="AE45" s="662"/>
    </row>
    <row r="46" spans="1:31" ht="20.100000000000001" customHeight="1" thickBot="1">
      <c r="A46" s="662"/>
      <c r="B46" s="644"/>
      <c r="C46" s="655" t="s">
        <v>1698</v>
      </c>
      <c r="D46" s="656"/>
      <c r="E46" s="656"/>
      <c r="F46" s="656"/>
      <c r="G46" s="656"/>
      <c r="H46" s="656"/>
      <c r="I46" s="656"/>
      <c r="J46" s="656"/>
      <c r="K46" s="656"/>
      <c r="L46" s="656"/>
      <c r="M46" s="656"/>
      <c r="N46" s="648"/>
      <c r="O46" s="849"/>
      <c r="P46" s="849"/>
      <c r="Q46" s="953"/>
      <c r="R46" s="849"/>
      <c r="S46" s="849"/>
      <c r="T46" s="849"/>
      <c r="U46" s="849"/>
      <c r="V46" s="849"/>
      <c r="W46" s="849"/>
      <c r="X46" s="849"/>
      <c r="Y46" s="849"/>
      <c r="AD46" s="662"/>
      <c r="AE46" s="662"/>
    </row>
    <row r="47" spans="1:31" ht="20.100000000000001" customHeight="1">
      <c r="A47" s="662"/>
      <c r="B47" s="644"/>
      <c r="C47" s="2123" t="s">
        <v>1089</v>
      </c>
      <c r="D47" s="2125"/>
      <c r="E47" s="2126"/>
      <c r="F47" s="2126"/>
      <c r="G47" s="2126"/>
      <c r="H47" s="2126"/>
      <c r="I47" s="2126"/>
      <c r="J47" s="2126"/>
      <c r="K47" s="2126"/>
      <c r="L47" s="2126"/>
      <c r="M47" s="2127"/>
      <c r="N47" s="648"/>
      <c r="O47" s="849"/>
      <c r="P47" s="849"/>
      <c r="Q47" s="849"/>
      <c r="R47" s="849"/>
      <c r="S47" s="849"/>
      <c r="T47" s="849"/>
      <c r="U47" s="849"/>
      <c r="V47" s="849"/>
      <c r="W47" s="849"/>
      <c r="X47" s="849"/>
      <c r="Y47" s="849"/>
      <c r="AD47" s="662"/>
      <c r="AE47" s="662"/>
    </row>
    <row r="48" spans="1:31" ht="20.100000000000001" customHeight="1" thickBot="1">
      <c r="A48" s="662"/>
      <c r="B48" s="644"/>
      <c r="C48" s="2124"/>
      <c r="D48" s="2128"/>
      <c r="E48" s="2129"/>
      <c r="F48" s="2129"/>
      <c r="G48" s="2129"/>
      <c r="H48" s="2129"/>
      <c r="I48" s="2129"/>
      <c r="J48" s="2129"/>
      <c r="K48" s="2129"/>
      <c r="L48" s="2129"/>
      <c r="M48" s="2130"/>
      <c r="N48" s="648"/>
      <c r="O48" s="849"/>
      <c r="P48" s="849"/>
      <c r="Q48" s="849"/>
      <c r="R48" s="849"/>
      <c r="S48" s="849"/>
      <c r="T48" s="849"/>
      <c r="U48" s="849"/>
      <c r="V48" s="849"/>
      <c r="W48" s="849"/>
      <c r="X48" s="849"/>
      <c r="Y48" s="849"/>
      <c r="AD48" s="662"/>
      <c r="AE48" s="662"/>
    </row>
    <row r="49" spans="1:31" ht="15" customHeight="1">
      <c r="A49" s="662"/>
      <c r="B49" s="665"/>
      <c r="C49" s="666"/>
      <c r="D49" s="666"/>
      <c r="E49" s="666"/>
      <c r="F49" s="666"/>
      <c r="G49" s="666"/>
      <c r="H49" s="666"/>
      <c r="I49" s="666"/>
      <c r="J49" s="666"/>
      <c r="K49" s="666"/>
      <c r="L49" s="666"/>
      <c r="M49" s="667">
        <f ca="1">TODAY()</f>
        <v>45646</v>
      </c>
      <c r="N49" s="668"/>
      <c r="O49" s="849"/>
      <c r="P49" s="849"/>
      <c r="Q49" s="849"/>
      <c r="R49" s="849"/>
      <c r="S49" s="849"/>
      <c r="T49" s="849"/>
      <c r="U49" s="849"/>
      <c r="V49" s="849"/>
      <c r="W49" s="849"/>
      <c r="X49" s="849"/>
      <c r="Y49" s="849"/>
      <c r="AD49" s="662"/>
      <c r="AE49" s="662"/>
    </row>
    <row r="50" spans="1:31" ht="15" customHeight="1">
      <c r="A50" s="662"/>
      <c r="O50" s="849"/>
      <c r="P50" s="849"/>
      <c r="Q50" s="849"/>
      <c r="R50" s="849"/>
      <c r="S50" s="849"/>
      <c r="T50" s="849"/>
      <c r="U50" s="849"/>
      <c r="V50" s="849"/>
      <c r="W50" s="849"/>
      <c r="X50" s="849"/>
      <c r="Y50" s="849"/>
      <c r="AD50" s="662"/>
      <c r="AE50" s="662"/>
    </row>
    <row r="51" spans="1:31" ht="15" customHeight="1">
      <c r="A51" s="662"/>
      <c r="O51" s="849"/>
      <c r="P51" s="849"/>
      <c r="Q51" s="849"/>
      <c r="R51" s="849"/>
      <c r="S51" s="849"/>
      <c r="T51" s="849"/>
      <c r="U51" s="849"/>
      <c r="V51" s="849"/>
      <c r="W51" s="849"/>
      <c r="X51" s="849"/>
      <c r="Y51" s="849"/>
      <c r="AD51" s="662"/>
      <c r="AE51" s="662"/>
    </row>
    <row r="52" spans="1:31" ht="15" customHeight="1">
      <c r="A52" s="662"/>
      <c r="O52" s="849"/>
      <c r="P52" s="849"/>
      <c r="Q52" s="849"/>
      <c r="R52" s="849"/>
      <c r="S52" s="849"/>
      <c r="T52" s="849"/>
      <c r="U52" s="849"/>
      <c r="V52" s="849"/>
      <c r="W52" s="849"/>
      <c r="X52" s="849"/>
      <c r="Y52" s="849"/>
      <c r="AD52" s="662"/>
      <c r="AE52" s="662"/>
    </row>
    <row r="53" spans="1:31" ht="15" customHeight="1">
      <c r="A53" s="662"/>
      <c r="O53" s="849"/>
      <c r="P53" s="849"/>
      <c r="Q53" s="849"/>
      <c r="R53" s="849"/>
      <c r="S53" s="849"/>
      <c r="T53" s="849"/>
      <c r="U53" s="849"/>
      <c r="V53" s="849"/>
      <c r="W53" s="849"/>
      <c r="X53" s="849"/>
      <c r="Y53" s="849"/>
      <c r="AD53" s="662"/>
      <c r="AE53" s="662"/>
    </row>
    <row r="54" spans="1:31" ht="15.95" customHeight="1">
      <c r="A54" s="662"/>
      <c r="O54" s="849"/>
      <c r="P54" s="849"/>
      <c r="Q54" s="849"/>
      <c r="R54" s="849"/>
      <c r="S54" s="849"/>
      <c r="T54" s="849"/>
      <c r="U54" s="849"/>
      <c r="V54" s="849"/>
      <c r="W54" s="849"/>
      <c r="X54" s="849"/>
      <c r="Y54" s="849"/>
      <c r="AD54" s="662"/>
      <c r="AE54" s="662"/>
    </row>
    <row r="55" spans="1:31" ht="15.95" customHeight="1">
      <c r="A55" s="662"/>
      <c r="O55" s="849"/>
      <c r="P55" s="849"/>
      <c r="Q55" s="849"/>
      <c r="R55" s="849"/>
      <c r="S55" s="849"/>
      <c r="T55" s="849"/>
      <c r="U55" s="849"/>
      <c r="V55" s="849"/>
      <c r="W55" s="849"/>
      <c r="X55" s="849"/>
      <c r="Y55" s="849"/>
      <c r="AD55" s="662"/>
      <c r="AE55" s="662"/>
    </row>
    <row r="56" spans="1:31" ht="15.95" customHeight="1">
      <c r="A56" s="662"/>
      <c r="O56" s="849"/>
      <c r="P56" s="849"/>
      <c r="Q56" s="849"/>
      <c r="R56" s="849"/>
      <c r="S56" s="849"/>
      <c r="T56" s="849"/>
      <c r="U56" s="849"/>
      <c r="V56" s="849"/>
      <c r="W56" s="849"/>
      <c r="X56" s="849"/>
      <c r="Y56" s="849"/>
      <c r="AD56" s="662"/>
      <c r="AE56" s="662"/>
    </row>
    <row r="57" spans="1:31" ht="15.95" customHeight="1">
      <c r="A57" s="662"/>
      <c r="O57" s="849"/>
      <c r="P57" s="849"/>
      <c r="Q57" s="849"/>
      <c r="R57" s="849"/>
      <c r="S57" s="849"/>
      <c r="T57" s="849"/>
      <c r="U57" s="849"/>
      <c r="V57" s="849"/>
      <c r="W57" s="849"/>
      <c r="X57" s="849"/>
      <c r="Y57" s="849"/>
      <c r="AD57" s="662"/>
      <c r="AE57" s="662"/>
    </row>
    <row r="58" spans="1:31" ht="15.95" customHeight="1">
      <c r="A58" s="662"/>
      <c r="O58" s="849"/>
      <c r="P58" s="849"/>
      <c r="Q58" s="849"/>
      <c r="R58" s="849"/>
      <c r="S58" s="849"/>
      <c r="T58" s="849"/>
      <c r="U58" s="849"/>
      <c r="V58" s="849"/>
      <c r="W58" s="849"/>
      <c r="X58" s="849"/>
      <c r="Y58" s="849"/>
      <c r="AD58" s="662"/>
      <c r="AE58" s="662"/>
    </row>
    <row r="59" spans="1:31" ht="15.95" customHeight="1">
      <c r="A59" s="662"/>
      <c r="O59" s="849"/>
      <c r="P59" s="849"/>
      <c r="Q59" s="849"/>
      <c r="R59" s="849"/>
      <c r="S59" s="849"/>
      <c r="T59" s="849"/>
      <c r="U59" s="849"/>
      <c r="V59" s="849"/>
      <c r="W59" s="849"/>
      <c r="X59" s="849"/>
      <c r="Y59" s="849"/>
      <c r="AD59" s="662"/>
      <c r="AE59" s="662"/>
    </row>
    <row r="60" spans="1:31" ht="15.95" customHeight="1">
      <c r="A60" s="662"/>
      <c r="O60" s="849"/>
      <c r="P60" s="849"/>
      <c r="Q60" s="849"/>
      <c r="R60" s="849"/>
      <c r="S60" s="849"/>
      <c r="T60" s="849"/>
      <c r="U60" s="849"/>
      <c r="V60" s="849"/>
      <c r="W60" s="849"/>
      <c r="X60" s="849"/>
      <c r="Y60" s="849"/>
      <c r="AD60" s="662"/>
      <c r="AE60" s="662"/>
    </row>
    <row r="61" spans="1:31" ht="15.95" customHeight="1">
      <c r="A61" s="662"/>
      <c r="O61" s="849"/>
      <c r="P61" s="849"/>
      <c r="Q61" s="849"/>
      <c r="R61" s="849"/>
      <c r="S61" s="849"/>
      <c r="T61" s="849"/>
      <c r="U61" s="849"/>
      <c r="V61" s="849"/>
      <c r="W61" s="849"/>
      <c r="X61" s="849"/>
      <c r="Y61" s="849"/>
      <c r="AD61" s="662"/>
      <c r="AE61" s="662"/>
    </row>
    <row r="62" spans="1:31" ht="15" customHeight="1">
      <c r="A62" s="662"/>
      <c r="O62" s="849"/>
      <c r="P62" s="849"/>
      <c r="Q62" s="849"/>
      <c r="R62" s="849"/>
      <c r="S62" s="849"/>
      <c r="T62" s="849"/>
      <c r="U62" s="849"/>
      <c r="V62" s="849"/>
      <c r="W62" s="849"/>
      <c r="X62" s="849"/>
      <c r="Y62" s="849"/>
      <c r="AD62" s="662"/>
      <c r="AE62" s="662"/>
    </row>
    <row r="63" spans="1:31" ht="15" customHeight="1">
      <c r="A63" s="662"/>
      <c r="O63" s="849"/>
      <c r="P63" s="849"/>
      <c r="Q63" s="849"/>
      <c r="R63" s="849"/>
      <c r="S63" s="849"/>
      <c r="T63" s="849"/>
      <c r="U63" s="849"/>
      <c r="V63" s="849"/>
      <c r="W63" s="849"/>
      <c r="X63" s="849"/>
      <c r="Y63" s="849"/>
      <c r="AD63" s="662"/>
      <c r="AE63" s="662"/>
    </row>
    <row r="64" spans="1:31" ht="15" customHeight="1">
      <c r="A64" s="662"/>
      <c r="O64" s="849"/>
      <c r="P64" s="849"/>
      <c r="Q64" s="849"/>
      <c r="R64" s="849"/>
      <c r="S64" s="849"/>
      <c r="T64" s="849"/>
      <c r="U64" s="849"/>
      <c r="V64" s="849"/>
      <c r="W64" s="849"/>
      <c r="X64" s="849"/>
      <c r="Y64" s="849"/>
      <c r="AD64" s="662"/>
      <c r="AE64" s="662"/>
    </row>
    <row r="65" spans="1:31" ht="15" customHeight="1">
      <c r="A65" s="662"/>
      <c r="N65" s="669"/>
      <c r="O65" s="849"/>
      <c r="P65" s="849"/>
      <c r="Q65" s="849"/>
      <c r="R65" s="849"/>
      <c r="S65" s="849"/>
      <c r="T65" s="849"/>
      <c r="U65" s="849"/>
      <c r="V65" s="849"/>
      <c r="W65" s="849"/>
      <c r="X65" s="849"/>
      <c r="Y65" s="849"/>
      <c r="AD65" s="662"/>
      <c r="AE65" s="662"/>
    </row>
    <row r="66" spans="1:31" ht="15" customHeight="1">
      <c r="A66" s="662"/>
      <c r="O66" s="849"/>
      <c r="P66" s="849"/>
      <c r="Q66" s="849"/>
      <c r="R66" s="849"/>
      <c r="S66" s="849"/>
      <c r="T66" s="849"/>
      <c r="U66" s="849"/>
      <c r="V66" s="849"/>
      <c r="W66" s="849"/>
      <c r="X66" s="849"/>
      <c r="Y66" s="849"/>
      <c r="AD66" s="662"/>
      <c r="AE66" s="662"/>
    </row>
    <row r="67" spans="1:31" ht="15" customHeight="1">
      <c r="A67" s="662"/>
      <c r="O67" s="849"/>
      <c r="P67" s="849"/>
      <c r="Q67" s="849"/>
      <c r="R67" s="849"/>
      <c r="S67" s="849"/>
      <c r="T67" s="849"/>
      <c r="U67" s="849"/>
      <c r="V67" s="849"/>
      <c r="W67" s="849"/>
      <c r="X67" s="849"/>
      <c r="Y67" s="849"/>
      <c r="AD67" s="662"/>
      <c r="AE67" s="662"/>
    </row>
    <row r="68" spans="1:31" ht="15" customHeight="1">
      <c r="A68" s="662"/>
      <c r="O68" s="849"/>
      <c r="P68" s="849"/>
      <c r="Q68" s="849"/>
      <c r="R68" s="849"/>
      <c r="S68" s="849"/>
      <c r="T68" s="849"/>
      <c r="U68" s="849"/>
      <c r="V68" s="849"/>
      <c r="W68" s="849"/>
      <c r="X68" s="849"/>
      <c r="Y68" s="849"/>
      <c r="AD68" s="662"/>
      <c r="AE68" s="662"/>
    </row>
    <row r="69" spans="1:31" ht="15" customHeight="1">
      <c r="A69" s="662"/>
      <c r="O69" s="849"/>
      <c r="P69" s="849"/>
      <c r="Q69" s="849"/>
      <c r="R69" s="849"/>
      <c r="S69" s="849"/>
      <c r="T69" s="849"/>
      <c r="U69" s="849"/>
      <c r="V69" s="849"/>
      <c r="W69" s="849"/>
      <c r="X69" s="849"/>
      <c r="Y69" s="849"/>
      <c r="AD69" s="662"/>
      <c r="AE69" s="662"/>
    </row>
    <row r="70" spans="1:31" ht="15" customHeight="1">
      <c r="A70" s="662"/>
      <c r="P70" s="849"/>
      <c r="Q70" s="849"/>
    </row>
    <row r="71" spans="1:31" ht="15" customHeight="1">
      <c r="A71" s="662"/>
    </row>
    <row r="72" spans="1:31" ht="15" customHeight="1">
      <c r="A72" s="662"/>
    </row>
    <row r="73" spans="1:31" ht="15" customHeight="1">
      <c r="A73" s="662"/>
    </row>
    <row r="74" spans="1:31" ht="15" customHeight="1">
      <c r="A74" s="662"/>
    </row>
    <row r="75" spans="1:31" ht="15" customHeight="1">
      <c r="A75" s="662"/>
    </row>
    <row r="76" spans="1:31" ht="15" customHeight="1">
      <c r="A76" s="662"/>
    </row>
    <row r="77" spans="1:31" ht="15" customHeight="1">
      <c r="A77" s="662"/>
    </row>
    <row r="78" spans="1:31" ht="15" customHeight="1">
      <c r="A78" s="662"/>
    </row>
    <row r="79" spans="1:31" ht="15" customHeight="1">
      <c r="A79" s="662"/>
    </row>
    <row r="80" spans="1:31" ht="15" customHeight="1">
      <c r="A80" s="662"/>
    </row>
  </sheetData>
  <mergeCells count="64">
    <mergeCell ref="D12:J12"/>
    <mergeCell ref="L12:M12"/>
    <mergeCell ref="C3:M4"/>
    <mergeCell ref="D5:E5"/>
    <mergeCell ref="L6:M6"/>
    <mergeCell ref="D8:I8"/>
    <mergeCell ref="J8:K8"/>
    <mergeCell ref="L8:M8"/>
    <mergeCell ref="D9:I9"/>
    <mergeCell ref="J9:K9"/>
    <mergeCell ref="L9:M9"/>
    <mergeCell ref="J10:K10"/>
    <mergeCell ref="L10:M10"/>
    <mergeCell ref="D14:J14"/>
    <mergeCell ref="L14:M14"/>
    <mergeCell ref="C15:C17"/>
    <mergeCell ref="D15:J17"/>
    <mergeCell ref="L15:M15"/>
    <mergeCell ref="K16:K17"/>
    <mergeCell ref="L16:M17"/>
    <mergeCell ref="D19:F19"/>
    <mergeCell ref="H19:I19"/>
    <mergeCell ref="K19:M19"/>
    <mergeCell ref="D22:E22"/>
    <mergeCell ref="F22:G22"/>
    <mergeCell ref="H22:I22"/>
    <mergeCell ref="J22:K22"/>
    <mergeCell ref="L22:M22"/>
    <mergeCell ref="L32:M32"/>
    <mergeCell ref="D25:E25"/>
    <mergeCell ref="F25:G25"/>
    <mergeCell ref="H25:I25"/>
    <mergeCell ref="J25:K25"/>
    <mergeCell ref="L25:M25"/>
    <mergeCell ref="D28:M28"/>
    <mergeCell ref="D31:K31"/>
    <mergeCell ref="D32:E32"/>
    <mergeCell ref="F32:G32"/>
    <mergeCell ref="H32:I32"/>
    <mergeCell ref="J32:K32"/>
    <mergeCell ref="G40:I40"/>
    <mergeCell ref="K40:M40"/>
    <mergeCell ref="H33:I33"/>
    <mergeCell ref="J33:K33"/>
    <mergeCell ref="L33:M33"/>
    <mergeCell ref="D34:I34"/>
    <mergeCell ref="J34:K34"/>
    <mergeCell ref="L34:M34"/>
    <mergeCell ref="D37:M37"/>
    <mergeCell ref="D38:M38"/>
    <mergeCell ref="D39:E39"/>
    <mergeCell ref="G39:I39"/>
    <mergeCell ref="K39:M39"/>
    <mergeCell ref="D42:F42"/>
    <mergeCell ref="G42:I42"/>
    <mergeCell ref="J42:L42"/>
    <mergeCell ref="D43:F43"/>
    <mergeCell ref="G43:I43"/>
    <mergeCell ref="J43:L43"/>
    <mergeCell ref="D44:F44"/>
    <mergeCell ref="G44:I44"/>
    <mergeCell ref="J44:L44"/>
    <mergeCell ref="C47:C48"/>
    <mergeCell ref="D47:M48"/>
  </mergeCells>
  <phoneticPr fontId="2" type="noConversion"/>
  <conditionalFormatting sqref="I30">
    <cfRule type="expression" dxfId="5" priority="7">
      <formula>#REF!="영업소출고"</formula>
    </cfRule>
  </conditionalFormatting>
  <conditionalFormatting sqref="J22:M22">
    <cfRule type="expression" dxfId="4" priority="6">
      <formula>#REF!="영업소출고"</formula>
    </cfRule>
  </conditionalFormatting>
  <conditionalFormatting sqref="C31">
    <cfRule type="expression" dxfId="3" priority="5">
      <formula>#REF!="영업소출고"</formula>
    </cfRule>
  </conditionalFormatting>
  <conditionalFormatting sqref="D31">
    <cfRule type="expression" dxfId="2" priority="4">
      <formula>#REF!="영업소출고"</formula>
    </cfRule>
  </conditionalFormatting>
  <conditionalFormatting sqref="L31:M31">
    <cfRule type="expression" dxfId="1" priority="3">
      <formula>#REF!="영업소출고"</formula>
    </cfRule>
  </conditionalFormatting>
  <dataValidations count="6">
    <dataValidation type="list" allowBlank="1" showInputMessage="1" showErrorMessage="1" sqref="D22:E22" xr:uid="{00000000-0002-0000-1000-000000000000}">
      <formula1>"60(의무사용36), 60(의무사용48)"</formula1>
    </dataValidation>
    <dataValidation type="list" allowBlank="1" showInputMessage="1" showErrorMessage="1" sqref="J33:K33" xr:uid="{00000000-0002-0000-1000-000001000000}">
      <formula1>"해당없음,선루프 썬팅, 필름번호판, 그 외 비용"</formula1>
    </dataValidation>
    <dataValidation type="list" allowBlank="1" showInputMessage="1" showErrorMessage="1" sqref="F33 D33" xr:uid="{00000000-0002-0000-1000-000002000000}">
      <formula1>"미선택,50%,35%,15%,5%"</formula1>
    </dataValidation>
    <dataValidation type="list" allowBlank="1" showInputMessage="1" showErrorMessage="1" sqref="E33 G33" xr:uid="{00000000-0002-0000-1000-000003000000}">
      <formula1>INDIRECT($R$31)</formula1>
    </dataValidation>
    <dataValidation type="list" allowBlank="1" showInputMessage="1" showErrorMessage="1" sqref="D31:K31" xr:uid="{00000000-0002-0000-1000-000004000000}">
      <formula1>"카버스직접등록,CAR VERSE [기본], CAR VERSE [고급]"</formula1>
    </dataValidation>
    <dataValidation type="list" allowBlank="1" showInputMessage="1" showErrorMessage="1" sqref="H33:I33" xr:uid="{00000000-0002-0000-1000-000005000000}">
      <formula1>"카버스직접등록,아이나비 V1000, 아이나비 QXD 8000"</formula1>
    </dataValidation>
  </dataValidations>
  <printOptions horizontalCentered="1" verticalCentered="1"/>
  <pageMargins left="3.937007874015748E-2" right="3.937007874015748E-2" top="3.937007874015748E-2" bottom="3.937007874015748E-2" header="0.31496062992125984" footer="0.31496062992125984"/>
  <pageSetup paperSize="9" scale="7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utton 1">
              <controlPr locked="0" defaultSize="0" print="0" autoFill="0" autoPict="0" macro="[0]!카버스용품확인하기">
                <anchor moveWithCells="1" sizeWithCells="1">
                  <from>
                    <xdr:col>14</xdr:col>
                    <xdr:colOff>238125</xdr:colOff>
                    <xdr:row>29</xdr:row>
                    <xdr:rowOff>219075</xdr:rowOff>
                  </from>
                  <to>
                    <xdr:col>16</xdr:col>
                    <xdr:colOff>209550</xdr:colOff>
                    <xdr:row>32</xdr:row>
                    <xdr:rowOff>342900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6000000}">
          <x14:formula1>
            <xm:f>INDIRECT(운용리스_단일!$AS$6)</xm:f>
          </x14:formula1>
          <xm:sqref>D12:J12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4">
    <tabColor rgb="FF0070C0"/>
  </sheetPr>
  <dimension ref="B1:N22"/>
  <sheetViews>
    <sheetView showGridLines="0" view="pageBreakPreview" zoomScale="40" zoomScaleNormal="100" zoomScaleSheetLayoutView="40" workbookViewId="0"/>
  </sheetViews>
  <sheetFormatPr defaultRowHeight="16.5"/>
  <cols>
    <col min="1" max="1" width="4.625" customWidth="1"/>
    <col min="2" max="2" width="5.75" customWidth="1"/>
    <col min="3" max="6" width="23.125" customWidth="1"/>
    <col min="7" max="7" width="24.75" customWidth="1"/>
    <col min="8" max="11" width="26.625" customWidth="1"/>
    <col min="12" max="12" width="7.25" customWidth="1"/>
    <col min="13" max="13" width="5.375" customWidth="1"/>
    <col min="15" max="15" width="5.625" customWidth="1"/>
  </cols>
  <sheetData>
    <row r="1" spans="2:14" ht="39" customHeight="1"/>
    <row r="2" spans="2:14" ht="124.5" customHeight="1">
      <c r="B2" s="2515" t="s">
        <v>1495</v>
      </c>
      <c r="C2" s="2515"/>
      <c r="D2" s="2515"/>
      <c r="E2" s="2515"/>
      <c r="F2" s="2515"/>
      <c r="G2" s="2515"/>
      <c r="H2" s="2515"/>
      <c r="I2" s="2515"/>
      <c r="J2" s="2515"/>
      <c r="K2" s="2515"/>
      <c r="L2" s="2515"/>
      <c r="M2" s="837"/>
      <c r="N2" s="837"/>
    </row>
    <row r="3" spans="2:14" ht="114.75" customHeight="1">
      <c r="B3" s="2519" t="s">
        <v>1496</v>
      </c>
      <c r="C3" s="2519"/>
      <c r="D3" s="2519"/>
      <c r="E3" s="2519"/>
    </row>
    <row r="4" spans="2:14" ht="330" customHeight="1">
      <c r="B4" s="2516" t="s">
        <v>1511</v>
      </c>
      <c r="C4" s="2516"/>
      <c r="D4" s="2516"/>
      <c r="E4" s="2516"/>
      <c r="F4" s="2516"/>
      <c r="G4" s="2516"/>
      <c r="H4" s="2516"/>
      <c r="I4" s="2516"/>
      <c r="J4" s="2516"/>
      <c r="K4" s="2516"/>
      <c r="L4" s="842"/>
      <c r="M4" s="835"/>
      <c r="N4" s="835"/>
    </row>
    <row r="5" spans="2:14" ht="134.25" customHeight="1">
      <c r="B5" s="2517" t="s">
        <v>1497</v>
      </c>
      <c r="C5" s="2517"/>
      <c r="D5" s="2517"/>
      <c r="E5" s="2517"/>
    </row>
    <row r="6" spans="2:14" ht="259.5" customHeight="1">
      <c r="B6" s="2516" t="s">
        <v>1512</v>
      </c>
      <c r="C6" s="2516"/>
      <c r="D6" s="2516"/>
      <c r="E6" s="2516"/>
      <c r="F6" s="2516"/>
      <c r="G6" s="2516"/>
      <c r="H6" s="2516"/>
      <c r="I6" s="2516"/>
      <c r="J6" s="2516"/>
      <c r="K6" s="2516"/>
      <c r="L6" s="842"/>
      <c r="M6" s="835"/>
      <c r="N6" s="835"/>
    </row>
    <row r="7" spans="2:14" ht="408" customHeight="1">
      <c r="B7" s="2516"/>
      <c r="C7" s="2516"/>
      <c r="D7" s="2516"/>
      <c r="E7" s="2516"/>
      <c r="F7" s="2516"/>
      <c r="G7" s="2516"/>
      <c r="H7" s="2516"/>
      <c r="I7" s="2516"/>
      <c r="J7" s="2516"/>
      <c r="K7" s="2516"/>
      <c r="L7" s="841"/>
      <c r="M7" s="835"/>
      <c r="N7" s="835"/>
    </row>
    <row r="8" spans="2:14" ht="49.5" customHeight="1">
      <c r="B8" s="2518" t="s">
        <v>1498</v>
      </c>
      <c r="C8" s="2518"/>
      <c r="D8" s="2518"/>
      <c r="E8" s="2518"/>
      <c r="F8" s="2518"/>
      <c r="G8" s="2518"/>
      <c r="H8" s="2518"/>
      <c r="I8" s="2518"/>
      <c r="J8" s="2518"/>
      <c r="K8" s="2518"/>
      <c r="L8" s="2518"/>
      <c r="M8" s="693"/>
      <c r="N8" s="693"/>
    </row>
    <row r="9" spans="2:14" ht="76.5">
      <c r="B9" s="838"/>
      <c r="C9" s="846" t="s">
        <v>1499</v>
      </c>
      <c r="D9" s="846" t="s">
        <v>1500</v>
      </c>
      <c r="E9" s="846" t="s">
        <v>1501</v>
      </c>
      <c r="F9" s="846" t="s">
        <v>1502</v>
      </c>
      <c r="G9" s="846" t="s">
        <v>1503</v>
      </c>
      <c r="H9" s="846" t="s">
        <v>1504</v>
      </c>
      <c r="I9" s="846" t="s">
        <v>1505</v>
      </c>
      <c r="J9" s="846" t="s">
        <v>1506</v>
      </c>
      <c r="K9" s="846" t="s">
        <v>1507</v>
      </c>
      <c r="L9" s="839"/>
      <c r="M9" s="625"/>
    </row>
    <row r="10" spans="2:14" s="840" customFormat="1" ht="72.75" customHeight="1">
      <c r="C10" s="847" t="s">
        <v>1508</v>
      </c>
      <c r="D10" s="848">
        <v>0.7</v>
      </c>
      <c r="E10" s="848">
        <v>0.65</v>
      </c>
      <c r="F10" s="848">
        <v>0.6</v>
      </c>
      <c r="G10" s="848">
        <v>0.55000000000000004</v>
      </c>
      <c r="H10" s="848">
        <v>0.5</v>
      </c>
      <c r="I10" s="848">
        <v>0.4</v>
      </c>
      <c r="J10" s="848">
        <v>0.3</v>
      </c>
      <c r="K10" s="848">
        <v>0.2</v>
      </c>
    </row>
    <row r="11" spans="2:14" ht="39.75" customHeight="1">
      <c r="B11" s="838"/>
      <c r="C11" s="838"/>
      <c r="D11" s="838"/>
      <c r="E11" s="838"/>
      <c r="F11" s="838"/>
      <c r="G11" s="838"/>
      <c r="H11" s="838"/>
      <c r="I11" s="838"/>
      <c r="J11" s="838"/>
      <c r="K11" s="838"/>
      <c r="L11" s="838"/>
    </row>
    <row r="12" spans="2:14" ht="113.25" customHeight="1">
      <c r="B12" s="2512" t="s">
        <v>1509</v>
      </c>
      <c r="C12" s="2513"/>
      <c r="D12" s="2513"/>
      <c r="E12" s="2513"/>
      <c r="F12" s="2513"/>
      <c r="G12" s="2513"/>
      <c r="H12" s="2513"/>
      <c r="I12" s="2513"/>
      <c r="J12" s="2513"/>
      <c r="K12" s="2513"/>
      <c r="L12" s="2513"/>
    </row>
    <row r="16" spans="2:14" ht="54">
      <c r="E16" s="2514" t="s">
        <v>1510</v>
      </c>
      <c r="F16" s="2514"/>
      <c r="G16" s="2514"/>
      <c r="H16" s="2514"/>
      <c r="I16" s="2514"/>
    </row>
    <row r="19" spans="9:11" ht="33.75">
      <c r="I19" s="843"/>
      <c r="J19" s="843"/>
      <c r="K19" s="843"/>
    </row>
    <row r="20" spans="9:11" s="836" customFormat="1" ht="33.75">
      <c r="I20" s="2510" t="s">
        <v>1514</v>
      </c>
      <c r="J20" s="2510"/>
      <c r="K20" s="2510"/>
    </row>
    <row r="21" spans="9:11" ht="33.75">
      <c r="I21" s="844"/>
      <c r="J21" s="844"/>
      <c r="K21" s="845"/>
    </row>
    <row r="22" spans="9:11" s="836" customFormat="1" ht="33.75">
      <c r="I22" s="2511" t="s">
        <v>1513</v>
      </c>
      <c r="J22" s="2511"/>
      <c r="K22" s="2511"/>
    </row>
  </sheetData>
  <mergeCells count="10">
    <mergeCell ref="I20:K20"/>
    <mergeCell ref="I22:K22"/>
    <mergeCell ref="B12:L12"/>
    <mergeCell ref="E16:I16"/>
    <mergeCell ref="B2:L2"/>
    <mergeCell ref="B6:K7"/>
    <mergeCell ref="B4:K4"/>
    <mergeCell ref="B5:E5"/>
    <mergeCell ref="B8:L8"/>
    <mergeCell ref="B3:E3"/>
  </mergeCells>
  <phoneticPr fontId="2" type="noConversion"/>
  <printOptions horizontalCentered="1" verticalCentered="1"/>
  <pageMargins left="0" right="0" top="0" bottom="0" header="0" footer="0"/>
  <pageSetup paperSize="9" scale="36"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8">
    <tabColor rgb="FF00B0F0"/>
  </sheetPr>
  <dimension ref="A1:AO106"/>
  <sheetViews>
    <sheetView showGridLines="0" topLeftCell="B1" zoomScaleNormal="100" workbookViewId="0">
      <selection activeCell="I9" sqref="I9"/>
    </sheetView>
  </sheetViews>
  <sheetFormatPr defaultColWidth="0" defaultRowHeight="20.100000000000001" customHeight="1"/>
  <cols>
    <col min="1" max="1" width="2.375" style="738" hidden="1" customWidth="1"/>
    <col min="2" max="2" width="9.5" bestFit="1" customWidth="1"/>
    <col min="3" max="3" width="27.625" customWidth="1"/>
    <col min="4" max="4" width="10.375" bestFit="1" customWidth="1"/>
    <col min="5" max="5" width="41.75" bestFit="1" customWidth="1"/>
    <col min="6" max="6" width="9.125" bestFit="1" customWidth="1"/>
    <col min="7" max="7" width="14.875" customWidth="1"/>
    <col min="8" max="8" width="19.375" customWidth="1"/>
    <col min="9" max="9" width="14.875" bestFit="1" customWidth="1"/>
    <col min="10" max="15" width="14.875" customWidth="1"/>
    <col min="16" max="16" width="10.5" customWidth="1"/>
    <col min="17" max="21" width="14.875" customWidth="1"/>
    <col min="22" max="22" width="9.5" bestFit="1" customWidth="1"/>
    <col min="23" max="23" width="9.5" customWidth="1"/>
    <col min="24" max="24" width="51.875" style="738" hidden="1" customWidth="1"/>
    <col min="25" max="41" width="0" hidden="1" customWidth="1"/>
    <col min="42" max="16384" width="9" hidden="1"/>
  </cols>
  <sheetData>
    <row r="1" spans="2:40" ht="20.100000000000001" customHeight="1">
      <c r="C1" t="s">
        <v>1378</v>
      </c>
      <c r="G1" s="774" t="s">
        <v>1280</v>
      </c>
      <c r="H1" s="560"/>
      <c r="I1" s="560"/>
      <c r="J1" s="560"/>
      <c r="K1" s="560"/>
      <c r="L1" s="560"/>
      <c r="M1" s="560"/>
      <c r="N1" s="560"/>
      <c r="O1" s="560"/>
      <c r="P1" s="560"/>
      <c r="Q1" s="560"/>
      <c r="R1" s="560"/>
      <c r="S1" s="560"/>
      <c r="T1" s="560"/>
      <c r="U1" s="560"/>
      <c r="V1" s="560"/>
      <c r="W1" s="560"/>
    </row>
    <row r="2" spans="2:40" ht="20.100000000000001" customHeight="1">
      <c r="E2">
        <v>1</v>
      </c>
      <c r="F2">
        <v>2</v>
      </c>
      <c r="G2">
        <v>3</v>
      </c>
      <c r="H2">
        <v>4</v>
      </c>
      <c r="I2">
        <v>5</v>
      </c>
      <c r="J2">
        <v>6</v>
      </c>
      <c r="K2">
        <v>7</v>
      </c>
      <c r="L2">
        <v>8</v>
      </c>
      <c r="M2">
        <v>9</v>
      </c>
      <c r="N2">
        <v>10</v>
      </c>
      <c r="O2">
        <v>11</v>
      </c>
      <c r="P2">
        <v>12</v>
      </c>
      <c r="Q2">
        <v>13</v>
      </c>
      <c r="R2">
        <v>14</v>
      </c>
      <c r="S2">
        <v>15</v>
      </c>
      <c r="T2">
        <v>16</v>
      </c>
      <c r="U2">
        <v>17</v>
      </c>
      <c r="V2">
        <v>18</v>
      </c>
      <c r="W2" s="739"/>
    </row>
    <row r="3" spans="2:40" ht="20.100000000000001" customHeight="1">
      <c r="B3" s="740" t="s">
        <v>1281</v>
      </c>
      <c r="C3" s="740" t="s">
        <v>1282</v>
      </c>
      <c r="D3" s="740" t="s">
        <v>1283</v>
      </c>
      <c r="E3" s="767" t="s">
        <v>1284</v>
      </c>
      <c r="F3" s="741" t="s">
        <v>1285</v>
      </c>
      <c r="G3" s="759" t="s">
        <v>1286</v>
      </c>
      <c r="H3" s="759" t="s">
        <v>1287</v>
      </c>
      <c r="I3" s="759" t="s">
        <v>1288</v>
      </c>
      <c r="J3" s="759" t="s">
        <v>1289</v>
      </c>
      <c r="K3" s="759" t="s">
        <v>1290</v>
      </c>
      <c r="L3" s="759" t="s">
        <v>1291</v>
      </c>
      <c r="M3" s="759" t="s">
        <v>1292</v>
      </c>
      <c r="N3" s="759" t="s">
        <v>1293</v>
      </c>
      <c r="O3" s="759" t="s">
        <v>1294</v>
      </c>
      <c r="P3" s="759" t="s">
        <v>1295</v>
      </c>
      <c r="Q3" s="759" t="s">
        <v>1296</v>
      </c>
      <c r="R3" s="759" t="s">
        <v>1297</v>
      </c>
      <c r="S3" s="759" t="s">
        <v>1298</v>
      </c>
      <c r="T3" s="759" t="s">
        <v>1299</v>
      </c>
      <c r="U3" s="759" t="s">
        <v>1300</v>
      </c>
      <c r="V3" s="759" t="s">
        <v>1301</v>
      </c>
      <c r="W3" s="759"/>
    </row>
    <row r="4" spans="2:40" ht="20.100000000000001" customHeight="1">
      <c r="B4" s="743">
        <v>7000000</v>
      </c>
      <c r="C4" s="741" t="s">
        <v>207</v>
      </c>
      <c r="D4" s="763" t="s">
        <v>202</v>
      </c>
      <c r="E4" s="765" t="s">
        <v>1489</v>
      </c>
      <c r="F4" s="765">
        <f>+ROW()-3</f>
        <v>1</v>
      </c>
      <c r="G4" s="760">
        <v>8000000</v>
      </c>
      <c r="H4" s="760">
        <v>8750000</v>
      </c>
      <c r="I4" s="748">
        <v>4000000</v>
      </c>
      <c r="J4" s="760">
        <v>8800000</v>
      </c>
      <c r="K4" s="760">
        <v>9000000</v>
      </c>
      <c r="L4" s="760">
        <v>9500000</v>
      </c>
      <c r="M4" s="760">
        <v>10500000</v>
      </c>
      <c r="N4" s="760">
        <v>8750000</v>
      </c>
      <c r="O4" s="760">
        <v>9000000</v>
      </c>
      <c r="P4" s="760"/>
      <c r="Q4" s="760">
        <v>8750000</v>
      </c>
      <c r="R4" s="760">
        <v>8750000</v>
      </c>
      <c r="S4" s="760">
        <v>10500000</v>
      </c>
      <c r="T4" s="760">
        <v>10000000</v>
      </c>
      <c r="U4" s="760">
        <v>10000000</v>
      </c>
      <c r="V4" s="760">
        <f>+B4+(I4*0.5)</f>
        <v>9000000</v>
      </c>
      <c r="W4" s="760"/>
      <c r="Z4" s="744"/>
      <c r="AA4" s="744"/>
      <c r="AB4" s="744"/>
      <c r="AC4" s="744"/>
      <c r="AD4" s="745"/>
      <c r="AE4" s="744"/>
      <c r="AF4" s="746"/>
      <c r="AG4" s="744"/>
      <c r="AH4" s="744"/>
      <c r="AI4" s="744"/>
      <c r="AJ4" s="744"/>
      <c r="AK4" s="744"/>
      <c r="AL4" s="744"/>
      <c r="AM4" s="744"/>
      <c r="AN4" s="744"/>
    </row>
    <row r="5" spans="2:40" ht="20.100000000000001" customHeight="1">
      <c r="B5" s="743">
        <v>7000000</v>
      </c>
      <c r="C5" s="741" t="s">
        <v>207</v>
      </c>
      <c r="D5" s="763" t="s">
        <v>202</v>
      </c>
      <c r="E5" s="765" t="s">
        <v>1490</v>
      </c>
      <c r="F5" s="765">
        <f t="shared" ref="F5:F22" si="0">+ROW()-3</f>
        <v>2</v>
      </c>
      <c r="G5" s="743">
        <v>7770000</v>
      </c>
      <c r="H5" s="743">
        <v>8500000</v>
      </c>
      <c r="I5" s="748">
        <v>4000000</v>
      </c>
      <c r="J5" s="743">
        <v>8545000</v>
      </c>
      <c r="K5" s="743">
        <v>8740000</v>
      </c>
      <c r="L5" s="743">
        <v>9225000</v>
      </c>
      <c r="M5" s="743">
        <v>10300000</v>
      </c>
      <c r="N5" s="743">
        <v>8500000</v>
      </c>
      <c r="O5" s="747">
        <v>8740000</v>
      </c>
      <c r="P5" s="747"/>
      <c r="Q5" s="747">
        <v>8500000</v>
      </c>
      <c r="R5" s="747">
        <v>8500000</v>
      </c>
      <c r="S5" s="747">
        <v>10200000</v>
      </c>
      <c r="T5" s="747">
        <v>9710000</v>
      </c>
      <c r="U5" s="747">
        <v>9710000</v>
      </c>
      <c r="V5" s="760">
        <f t="shared" ref="V5:V22" si="1">+B5+(I5*0.5)</f>
        <v>9000000</v>
      </c>
      <c r="W5" s="747"/>
      <c r="Z5" s="744"/>
      <c r="AA5" s="744"/>
      <c r="AB5" s="744"/>
      <c r="AC5" s="744"/>
      <c r="AD5" s="745"/>
      <c r="AE5" s="744"/>
      <c r="AF5" s="746"/>
      <c r="AG5" s="744"/>
      <c r="AH5" s="744"/>
      <c r="AI5" s="744"/>
      <c r="AJ5" s="744"/>
      <c r="AK5" s="744"/>
      <c r="AL5" s="744"/>
      <c r="AM5" s="744"/>
      <c r="AN5" s="744"/>
    </row>
    <row r="6" spans="2:40" ht="20.100000000000001" customHeight="1">
      <c r="B6" s="743">
        <v>7000000</v>
      </c>
      <c r="C6" s="741" t="s">
        <v>207</v>
      </c>
      <c r="D6" s="763" t="s">
        <v>202</v>
      </c>
      <c r="E6" s="765" t="s">
        <v>1491</v>
      </c>
      <c r="F6" s="765">
        <f t="shared" si="0"/>
        <v>3</v>
      </c>
      <c r="G6" s="743">
        <v>7950000</v>
      </c>
      <c r="H6" s="743">
        <v>8700000</v>
      </c>
      <c r="I6" s="748">
        <v>4000000</v>
      </c>
      <c r="J6" s="743">
        <v>8745000</v>
      </c>
      <c r="K6" s="743">
        <v>8945000</v>
      </c>
      <c r="L6" s="743">
        <v>9445000</v>
      </c>
      <c r="M6" s="743">
        <v>10460000</v>
      </c>
      <c r="N6" s="743">
        <v>8700000</v>
      </c>
      <c r="O6" s="747">
        <v>8945000</v>
      </c>
      <c r="P6" s="747"/>
      <c r="Q6" s="747">
        <v>8700000</v>
      </c>
      <c r="R6" s="747">
        <v>8700000</v>
      </c>
      <c r="S6" s="747">
        <v>10440000</v>
      </c>
      <c r="T6" s="747">
        <v>9940000</v>
      </c>
      <c r="U6" s="747">
        <v>9940000</v>
      </c>
      <c r="V6" s="760">
        <f t="shared" si="1"/>
        <v>9000000</v>
      </c>
      <c r="W6" s="747"/>
      <c r="Z6" s="744"/>
      <c r="AA6" s="744"/>
      <c r="AB6" s="744"/>
      <c r="AC6" s="744"/>
      <c r="AD6" s="745"/>
      <c r="AE6" s="744"/>
      <c r="AF6" s="746"/>
      <c r="AG6" s="744"/>
      <c r="AH6" s="744"/>
      <c r="AI6" s="744"/>
      <c r="AJ6" s="744"/>
      <c r="AK6" s="744"/>
      <c r="AL6" s="744"/>
      <c r="AM6" s="744"/>
      <c r="AN6" s="744"/>
    </row>
    <row r="7" spans="2:40" ht="20.100000000000001" customHeight="1">
      <c r="B7" s="743">
        <v>7000000</v>
      </c>
      <c r="C7" s="741" t="s">
        <v>207</v>
      </c>
      <c r="D7" s="763" t="s">
        <v>202</v>
      </c>
      <c r="E7" s="765" t="s">
        <v>1492</v>
      </c>
      <c r="F7" s="765">
        <f t="shared" si="0"/>
        <v>4</v>
      </c>
      <c r="G7" s="743">
        <v>7660000</v>
      </c>
      <c r="H7" s="743">
        <v>8385000</v>
      </c>
      <c r="I7" s="748">
        <v>4000000</v>
      </c>
      <c r="J7" s="743">
        <v>8435000</v>
      </c>
      <c r="K7" s="743">
        <v>8625000</v>
      </c>
      <c r="L7" s="743">
        <v>9105000</v>
      </c>
      <c r="M7" s="743">
        <v>10065000</v>
      </c>
      <c r="N7" s="743">
        <v>8385000</v>
      </c>
      <c r="O7" s="747">
        <v>8625000</v>
      </c>
      <c r="P7" s="747"/>
      <c r="Q7" s="747">
        <v>8390000</v>
      </c>
      <c r="R7" s="747">
        <v>8385000</v>
      </c>
      <c r="S7" s="747">
        <v>10065000</v>
      </c>
      <c r="T7" s="747">
        <v>9585000</v>
      </c>
      <c r="U7" s="747">
        <v>9590000</v>
      </c>
      <c r="V7" s="760">
        <f t="shared" si="1"/>
        <v>9000000</v>
      </c>
      <c r="W7" s="747"/>
      <c r="Y7" s="744"/>
      <c r="Z7" s="744"/>
      <c r="AA7" s="744"/>
      <c r="AB7" s="744"/>
      <c r="AC7" s="744"/>
      <c r="AD7" s="745"/>
      <c r="AE7" s="744"/>
      <c r="AF7" s="746"/>
      <c r="AG7" s="744"/>
      <c r="AH7" s="744"/>
      <c r="AI7" s="744"/>
      <c r="AJ7" s="744"/>
      <c r="AK7" s="744"/>
      <c r="AL7" s="744"/>
      <c r="AM7" s="744"/>
      <c r="AN7" s="744"/>
    </row>
    <row r="8" spans="2:40" ht="20.100000000000001" customHeight="1">
      <c r="B8" s="743">
        <v>6760000</v>
      </c>
      <c r="C8" s="741" t="s">
        <v>207</v>
      </c>
      <c r="D8" s="763" t="s">
        <v>202</v>
      </c>
      <c r="E8" s="765" t="s">
        <v>1472</v>
      </c>
      <c r="F8" s="765">
        <f t="shared" si="0"/>
        <v>5</v>
      </c>
      <c r="G8" s="743">
        <v>8000000</v>
      </c>
      <c r="H8" s="743">
        <v>8750000</v>
      </c>
      <c r="I8" s="748">
        <v>3860000</v>
      </c>
      <c r="J8" s="743">
        <v>8800000</v>
      </c>
      <c r="K8" s="743">
        <v>9000000</v>
      </c>
      <c r="L8" s="743">
        <v>9500000</v>
      </c>
      <c r="M8" s="743">
        <v>10500000</v>
      </c>
      <c r="N8" s="743">
        <v>8750000</v>
      </c>
      <c r="O8" s="747">
        <v>9000000</v>
      </c>
      <c r="P8" s="747"/>
      <c r="Q8" s="747">
        <v>8750000</v>
      </c>
      <c r="R8" s="747">
        <v>8750000</v>
      </c>
      <c r="S8" s="747">
        <v>10500000</v>
      </c>
      <c r="T8" s="747">
        <v>10000000</v>
      </c>
      <c r="U8" s="747">
        <v>10000000</v>
      </c>
      <c r="V8" s="760">
        <f t="shared" si="1"/>
        <v>8690000</v>
      </c>
      <c r="W8" s="747"/>
      <c r="Y8" s="744"/>
      <c r="Z8" s="744"/>
      <c r="AA8" s="744"/>
      <c r="AB8" s="744"/>
      <c r="AC8" s="744"/>
      <c r="AD8" s="745"/>
      <c r="AE8" s="744"/>
      <c r="AF8" s="746"/>
      <c r="AG8" s="744"/>
      <c r="AH8" s="744"/>
      <c r="AI8" s="744"/>
      <c r="AJ8" s="744"/>
      <c r="AK8" s="744"/>
      <c r="AL8" s="744"/>
      <c r="AM8" s="744"/>
      <c r="AN8" s="744"/>
    </row>
    <row r="9" spans="2:40" ht="20.100000000000001" customHeight="1">
      <c r="B9" s="743">
        <v>6960000</v>
      </c>
      <c r="C9" s="741" t="s">
        <v>207</v>
      </c>
      <c r="D9" s="763" t="s">
        <v>202</v>
      </c>
      <c r="E9" s="765" t="s">
        <v>1473</v>
      </c>
      <c r="F9" s="765">
        <f t="shared" si="0"/>
        <v>6</v>
      </c>
      <c r="G9" s="743">
        <v>3900000</v>
      </c>
      <c r="H9" s="743">
        <v>4275000</v>
      </c>
      <c r="I9" s="748">
        <v>3970000</v>
      </c>
      <c r="J9" s="743">
        <v>4295000</v>
      </c>
      <c r="K9" s="743">
        <v>4395000</v>
      </c>
      <c r="L9" s="743">
        <v>4640000</v>
      </c>
      <c r="M9" s="743">
        <v>5130000</v>
      </c>
      <c r="N9" s="743">
        <v>4275000</v>
      </c>
      <c r="O9" s="747">
        <v>4395000</v>
      </c>
      <c r="P9" s="747"/>
      <c r="Q9" s="747">
        <v>4275000</v>
      </c>
      <c r="R9" s="747">
        <v>4275000</v>
      </c>
      <c r="S9" s="747">
        <v>5130000</v>
      </c>
      <c r="T9" s="747">
        <v>4885000</v>
      </c>
      <c r="U9" s="747">
        <v>4890000</v>
      </c>
      <c r="V9" s="760">
        <f t="shared" si="1"/>
        <v>8945000</v>
      </c>
      <c r="W9" s="747"/>
      <c r="Y9" s="744"/>
      <c r="Z9" s="744"/>
      <c r="AA9" s="744"/>
      <c r="AB9" s="744"/>
      <c r="AC9" s="744"/>
      <c r="AD9" s="745"/>
      <c r="AE9" s="744"/>
      <c r="AF9" s="746"/>
      <c r="AG9" s="744"/>
      <c r="AH9" s="744"/>
      <c r="AI9" s="744"/>
      <c r="AJ9" s="744"/>
      <c r="AK9" s="744"/>
      <c r="AL9" s="744"/>
      <c r="AM9" s="744"/>
      <c r="AN9" s="744"/>
    </row>
    <row r="10" spans="2:40" ht="20.100000000000001" customHeight="1">
      <c r="B10" s="743">
        <v>6710000</v>
      </c>
      <c r="C10" s="741" t="s">
        <v>207</v>
      </c>
      <c r="D10" s="763" t="s">
        <v>202</v>
      </c>
      <c r="E10" s="765" t="s">
        <v>1474</v>
      </c>
      <c r="F10" s="765">
        <f t="shared" si="0"/>
        <v>7</v>
      </c>
      <c r="G10" s="743">
        <v>4000000</v>
      </c>
      <c r="H10" s="743">
        <v>4375000</v>
      </c>
      <c r="I10" s="748">
        <v>3830000</v>
      </c>
      <c r="J10" s="743">
        <v>4400000</v>
      </c>
      <c r="K10" s="743">
        <v>4500000</v>
      </c>
      <c r="L10" s="743">
        <v>4750000</v>
      </c>
      <c r="M10" s="743">
        <v>5250000</v>
      </c>
      <c r="N10" s="743">
        <v>4375000</v>
      </c>
      <c r="O10" s="747">
        <v>4500000</v>
      </c>
      <c r="P10" s="747"/>
      <c r="Q10" s="747">
        <v>4375000</v>
      </c>
      <c r="R10" s="747">
        <v>4375000</v>
      </c>
      <c r="S10" s="747">
        <v>5250000</v>
      </c>
      <c r="T10" s="747">
        <v>4995000</v>
      </c>
      <c r="U10" s="747">
        <v>5000000</v>
      </c>
      <c r="V10" s="760">
        <f t="shared" si="1"/>
        <v>8625000</v>
      </c>
      <c r="W10" s="747"/>
      <c r="Y10" s="744"/>
      <c r="Z10" s="744"/>
      <c r="AA10" s="744"/>
      <c r="AB10" s="744"/>
      <c r="AC10" s="744"/>
      <c r="AD10" s="745"/>
      <c r="AE10" s="744"/>
      <c r="AF10" s="746"/>
      <c r="AG10" s="744"/>
      <c r="AH10" s="744"/>
      <c r="AI10" s="744"/>
      <c r="AJ10" s="744"/>
      <c r="AK10" s="744"/>
      <c r="AL10" s="744"/>
      <c r="AM10" s="744"/>
      <c r="AN10" s="744"/>
    </row>
    <row r="11" spans="2:40" s="792" customFormat="1" ht="20.100000000000001" customHeight="1">
      <c r="B11" s="748">
        <v>3500000</v>
      </c>
      <c r="C11" s="742" t="s">
        <v>207</v>
      </c>
      <c r="D11" s="793" t="s">
        <v>202</v>
      </c>
      <c r="E11" s="794" t="s">
        <v>1475</v>
      </c>
      <c r="F11" s="794">
        <f t="shared" si="0"/>
        <v>8</v>
      </c>
      <c r="G11" s="748">
        <v>3980000</v>
      </c>
      <c r="H11" s="748">
        <v>4360000</v>
      </c>
      <c r="I11" s="748">
        <v>2000000</v>
      </c>
      <c r="J11" s="748">
        <v>4385000</v>
      </c>
      <c r="K11" s="748">
        <v>4485000</v>
      </c>
      <c r="L11" s="748">
        <v>4735000</v>
      </c>
      <c r="M11" s="748">
        <v>5235000</v>
      </c>
      <c r="N11" s="748">
        <v>4360000</v>
      </c>
      <c r="O11" s="748">
        <v>4485000</v>
      </c>
      <c r="P11" s="748"/>
      <c r="Q11" s="748">
        <v>4365000</v>
      </c>
      <c r="R11" s="748">
        <v>4360000</v>
      </c>
      <c r="S11" s="748">
        <v>5235000</v>
      </c>
      <c r="T11" s="748">
        <v>4985000</v>
      </c>
      <c r="U11" s="748">
        <v>4990000</v>
      </c>
      <c r="V11" s="760">
        <f t="shared" si="1"/>
        <v>4500000</v>
      </c>
      <c r="W11" s="748"/>
      <c r="Y11" s="795"/>
      <c r="Z11" s="795"/>
      <c r="AA11" s="795"/>
      <c r="AB11" s="795"/>
      <c r="AC11" s="795"/>
      <c r="AD11" s="796"/>
      <c r="AE11" s="795"/>
      <c r="AF11" s="797"/>
      <c r="AG11" s="795"/>
      <c r="AH11" s="795"/>
      <c r="AI11" s="795"/>
      <c r="AJ11" s="795"/>
      <c r="AK11" s="795"/>
      <c r="AL11" s="795"/>
      <c r="AM11" s="795"/>
      <c r="AN11" s="795"/>
    </row>
    <row r="12" spans="2:40" s="792" customFormat="1" ht="20.100000000000001" customHeight="1">
      <c r="B12" s="748">
        <v>3490000</v>
      </c>
      <c r="C12" s="742" t="s">
        <v>207</v>
      </c>
      <c r="D12" s="793" t="s">
        <v>202</v>
      </c>
      <c r="E12" s="794" t="s">
        <v>1476</v>
      </c>
      <c r="F12" s="794">
        <f t="shared" si="0"/>
        <v>9</v>
      </c>
      <c r="G12" s="748">
        <v>3840000</v>
      </c>
      <c r="H12" s="748">
        <v>4200000</v>
      </c>
      <c r="I12" s="748">
        <v>1990000</v>
      </c>
      <c r="J12" s="748">
        <v>4220000</v>
      </c>
      <c r="K12" s="748">
        <v>4320000</v>
      </c>
      <c r="L12" s="748">
        <v>4560000</v>
      </c>
      <c r="M12" s="748">
        <v>5040000</v>
      </c>
      <c r="N12" s="748">
        <v>4200000</v>
      </c>
      <c r="O12" s="748">
        <v>4320000</v>
      </c>
      <c r="P12" s="748"/>
      <c r="Q12" s="748">
        <v>4200000</v>
      </c>
      <c r="R12" s="748">
        <v>4200000</v>
      </c>
      <c r="S12" s="748">
        <v>5040000</v>
      </c>
      <c r="T12" s="748">
        <v>4795000</v>
      </c>
      <c r="U12" s="748">
        <v>4800000</v>
      </c>
      <c r="V12" s="760">
        <f t="shared" si="1"/>
        <v>4485000</v>
      </c>
      <c r="W12" s="748"/>
      <c r="Y12" s="795"/>
      <c r="Z12" s="795"/>
      <c r="AA12" s="795"/>
      <c r="AB12" s="795"/>
      <c r="AC12" s="795"/>
      <c r="AD12" s="796"/>
      <c r="AE12" s="795"/>
      <c r="AF12" s="797"/>
      <c r="AG12" s="795"/>
      <c r="AH12" s="795"/>
      <c r="AI12" s="795"/>
      <c r="AJ12" s="795"/>
      <c r="AK12" s="795"/>
      <c r="AL12" s="795"/>
      <c r="AM12" s="795"/>
      <c r="AN12" s="795"/>
    </row>
    <row r="13" spans="2:40" s="792" customFormat="1" ht="20.100000000000001" customHeight="1">
      <c r="B13" s="748">
        <v>3360000</v>
      </c>
      <c r="C13" s="742" t="s">
        <v>207</v>
      </c>
      <c r="D13" s="793" t="s">
        <v>202</v>
      </c>
      <c r="E13" s="794" t="s">
        <v>1477</v>
      </c>
      <c r="F13" s="794">
        <f t="shared" si="0"/>
        <v>10</v>
      </c>
      <c r="G13" s="748">
        <v>3640000</v>
      </c>
      <c r="H13" s="748">
        <v>3985000</v>
      </c>
      <c r="I13" s="748">
        <v>1920000</v>
      </c>
      <c r="J13" s="748">
        <v>4010000</v>
      </c>
      <c r="K13" s="748">
        <v>4150000</v>
      </c>
      <c r="L13" s="748">
        <v>4325000</v>
      </c>
      <c r="M13" s="748">
        <v>4785000</v>
      </c>
      <c r="N13" s="748">
        <v>3985000</v>
      </c>
      <c r="O13" s="748">
        <v>4100000</v>
      </c>
      <c r="P13" s="748"/>
      <c r="Q13" s="748">
        <v>3990000</v>
      </c>
      <c r="R13" s="748">
        <v>3985000</v>
      </c>
      <c r="S13" s="748">
        <v>4785000</v>
      </c>
      <c r="T13" s="748">
        <v>4555000</v>
      </c>
      <c r="U13" s="748">
        <v>4560000</v>
      </c>
      <c r="V13" s="760">
        <f t="shared" si="1"/>
        <v>4320000</v>
      </c>
      <c r="W13" s="748"/>
      <c r="Y13" s="795"/>
      <c r="Z13" s="795"/>
      <c r="AA13" s="795"/>
      <c r="AB13" s="795"/>
      <c r="AC13" s="795"/>
      <c r="AD13" s="796"/>
      <c r="AE13" s="795"/>
      <c r="AF13" s="797"/>
      <c r="AG13" s="795"/>
      <c r="AH13" s="795"/>
      <c r="AI13" s="795"/>
      <c r="AJ13" s="795"/>
      <c r="AK13" s="795"/>
      <c r="AL13" s="795"/>
      <c r="AM13" s="795"/>
      <c r="AN13" s="795"/>
    </row>
    <row r="14" spans="2:40" s="792" customFormat="1" ht="20.100000000000001" customHeight="1">
      <c r="B14" s="748">
        <v>3190000</v>
      </c>
      <c r="C14" s="742" t="s">
        <v>207</v>
      </c>
      <c r="D14" s="793" t="s">
        <v>202</v>
      </c>
      <c r="E14" s="794" t="s">
        <v>1478</v>
      </c>
      <c r="F14" s="794">
        <f t="shared" si="0"/>
        <v>11</v>
      </c>
      <c r="G14" s="748">
        <v>8000000</v>
      </c>
      <c r="H14" s="748">
        <v>8750000</v>
      </c>
      <c r="I14" s="748">
        <v>1820000</v>
      </c>
      <c r="J14" s="748">
        <v>8800000</v>
      </c>
      <c r="K14" s="748">
        <v>9000000</v>
      </c>
      <c r="L14" s="748">
        <v>9500000</v>
      </c>
      <c r="M14" s="748">
        <v>10500000</v>
      </c>
      <c r="N14" s="748">
        <v>8750000</v>
      </c>
      <c r="O14" s="748">
        <v>9000000</v>
      </c>
      <c r="P14" s="748"/>
      <c r="Q14" s="748">
        <v>8750000</v>
      </c>
      <c r="R14" s="748">
        <v>8750000</v>
      </c>
      <c r="S14" s="748">
        <v>10500000</v>
      </c>
      <c r="T14" s="748">
        <v>10000000</v>
      </c>
      <c r="U14" s="748">
        <v>10000000</v>
      </c>
      <c r="V14" s="760">
        <f t="shared" si="1"/>
        <v>4100000</v>
      </c>
      <c r="W14" s="748"/>
      <c r="Y14" s="795"/>
      <c r="Z14" s="795"/>
      <c r="AA14" s="795"/>
      <c r="AB14" s="795"/>
      <c r="AC14" s="795"/>
      <c r="AD14" s="796"/>
      <c r="AE14" s="795"/>
      <c r="AF14" s="797"/>
      <c r="AG14" s="795"/>
      <c r="AH14" s="795"/>
      <c r="AI14" s="795"/>
      <c r="AJ14" s="795"/>
      <c r="AK14" s="795"/>
      <c r="AL14" s="795"/>
      <c r="AM14" s="795"/>
      <c r="AN14" s="795"/>
    </row>
    <row r="15" spans="2:40" s="792" customFormat="1" ht="20.100000000000001" customHeight="1">
      <c r="B15" s="748">
        <v>3270000</v>
      </c>
      <c r="C15" s="742" t="s">
        <v>207</v>
      </c>
      <c r="D15" s="793" t="s">
        <v>202</v>
      </c>
      <c r="E15" s="794" t="s">
        <v>1479</v>
      </c>
      <c r="F15" s="794">
        <f t="shared" si="0"/>
        <v>12</v>
      </c>
      <c r="G15" s="748">
        <v>8000000</v>
      </c>
      <c r="H15" s="748">
        <v>8750000</v>
      </c>
      <c r="I15" s="748">
        <v>1860000</v>
      </c>
      <c r="J15" s="748">
        <v>8800000</v>
      </c>
      <c r="K15" s="748">
        <v>9000000</v>
      </c>
      <c r="L15" s="748">
        <v>9500000</v>
      </c>
      <c r="M15" s="748">
        <v>10500000</v>
      </c>
      <c r="N15" s="748">
        <v>8750000</v>
      </c>
      <c r="O15" s="748">
        <v>9000000</v>
      </c>
      <c r="P15" s="748"/>
      <c r="Q15" s="748">
        <v>8750000</v>
      </c>
      <c r="R15" s="748">
        <v>8750000</v>
      </c>
      <c r="S15" s="748">
        <v>10500000</v>
      </c>
      <c r="T15" s="748">
        <v>10000000</v>
      </c>
      <c r="U15" s="748">
        <v>10000000</v>
      </c>
      <c r="V15" s="760">
        <f t="shared" si="1"/>
        <v>4200000</v>
      </c>
      <c r="W15" s="748"/>
      <c r="Y15" s="795"/>
      <c r="Z15" s="795"/>
      <c r="AA15" s="795"/>
      <c r="AB15" s="795"/>
      <c r="AC15" s="795"/>
      <c r="AD15" s="796"/>
      <c r="AE15" s="795"/>
      <c r="AF15" s="797"/>
      <c r="AG15" s="795"/>
      <c r="AH15" s="795"/>
      <c r="AI15" s="795"/>
      <c r="AJ15" s="795"/>
      <c r="AK15" s="795"/>
      <c r="AL15" s="795"/>
      <c r="AM15" s="795"/>
      <c r="AN15" s="795"/>
    </row>
    <row r="16" spans="2:40" ht="20.100000000000001" customHeight="1">
      <c r="B16" s="743">
        <v>7000000</v>
      </c>
      <c r="C16" s="741" t="s">
        <v>207</v>
      </c>
      <c r="D16" s="763" t="s">
        <v>203</v>
      </c>
      <c r="E16" s="765" t="s">
        <v>1480</v>
      </c>
      <c r="F16" s="765">
        <f t="shared" si="0"/>
        <v>13</v>
      </c>
      <c r="G16" s="743">
        <v>8000000</v>
      </c>
      <c r="H16" s="743">
        <v>8750000</v>
      </c>
      <c r="I16" s="748">
        <v>4000000</v>
      </c>
      <c r="J16" s="743">
        <v>8800000</v>
      </c>
      <c r="K16" s="743">
        <v>9000000</v>
      </c>
      <c r="L16" s="743">
        <v>9500000</v>
      </c>
      <c r="M16" s="743">
        <v>10500000</v>
      </c>
      <c r="N16" s="743">
        <v>8750000</v>
      </c>
      <c r="O16" s="747">
        <v>9000000</v>
      </c>
      <c r="P16" s="747"/>
      <c r="Q16" s="747">
        <v>8750000</v>
      </c>
      <c r="R16" s="747">
        <v>8750000</v>
      </c>
      <c r="S16" s="747">
        <v>10500000</v>
      </c>
      <c r="T16" s="747">
        <v>10000000</v>
      </c>
      <c r="U16" s="747">
        <v>10000000</v>
      </c>
      <c r="V16" s="760">
        <f t="shared" si="1"/>
        <v>9000000</v>
      </c>
      <c r="W16" s="747"/>
      <c r="Y16" s="744"/>
      <c r="Z16" s="744"/>
      <c r="AA16" s="744"/>
      <c r="AB16" s="744"/>
      <c r="AC16" s="744"/>
      <c r="AD16" s="745"/>
      <c r="AE16" s="744"/>
      <c r="AF16" s="746"/>
      <c r="AG16" s="744"/>
      <c r="AH16" s="744"/>
      <c r="AI16" s="744"/>
      <c r="AJ16" s="744"/>
      <c r="AK16" s="744"/>
      <c r="AL16" s="744"/>
      <c r="AM16" s="744"/>
      <c r="AN16" s="744"/>
    </row>
    <row r="17" spans="2:40" ht="20.100000000000001" customHeight="1">
      <c r="B17" s="743">
        <v>7000000</v>
      </c>
      <c r="C17" s="741" t="s">
        <v>207</v>
      </c>
      <c r="D17" s="763" t="s">
        <v>203</v>
      </c>
      <c r="E17" s="765" t="s">
        <v>1481</v>
      </c>
      <c r="F17" s="765">
        <f t="shared" si="0"/>
        <v>14</v>
      </c>
      <c r="G17" s="743">
        <v>8000000</v>
      </c>
      <c r="H17" s="743">
        <v>8750000</v>
      </c>
      <c r="I17" s="748">
        <v>4000000</v>
      </c>
      <c r="J17" s="743">
        <v>8800000</v>
      </c>
      <c r="K17" s="743">
        <v>9000000</v>
      </c>
      <c r="L17" s="743">
        <v>9500000</v>
      </c>
      <c r="M17" s="743">
        <v>10500000</v>
      </c>
      <c r="N17" s="743">
        <v>8750000</v>
      </c>
      <c r="O17" s="747">
        <v>9000000</v>
      </c>
      <c r="P17" s="747"/>
      <c r="Q17" s="747">
        <v>8750000</v>
      </c>
      <c r="R17" s="747">
        <v>8750000</v>
      </c>
      <c r="S17" s="747">
        <v>10500000</v>
      </c>
      <c r="T17" s="747">
        <v>10000000</v>
      </c>
      <c r="U17" s="747">
        <v>10000000</v>
      </c>
      <c r="V17" s="760">
        <f t="shared" si="1"/>
        <v>9000000</v>
      </c>
      <c r="W17" s="747"/>
      <c r="Y17" s="744"/>
      <c r="Z17" s="744"/>
      <c r="AA17" s="744"/>
      <c r="AB17" s="744"/>
      <c r="AC17" s="744"/>
      <c r="AD17" s="745"/>
      <c r="AE17" s="744"/>
      <c r="AF17" s="746"/>
      <c r="AG17" s="744"/>
      <c r="AH17" s="744"/>
      <c r="AI17" s="744"/>
      <c r="AJ17" s="744"/>
      <c r="AK17" s="744"/>
      <c r="AL17" s="744"/>
      <c r="AM17" s="744"/>
      <c r="AN17" s="744"/>
    </row>
    <row r="18" spans="2:40" ht="20.100000000000001" customHeight="1">
      <c r="B18" s="743">
        <v>7000000</v>
      </c>
      <c r="C18" s="741" t="s">
        <v>207</v>
      </c>
      <c r="D18" s="763" t="s">
        <v>203</v>
      </c>
      <c r="E18" s="765" t="s">
        <v>1482</v>
      </c>
      <c r="F18" s="765">
        <f t="shared" si="0"/>
        <v>15</v>
      </c>
      <c r="G18" s="743">
        <v>8000000</v>
      </c>
      <c r="H18" s="743">
        <v>8750000</v>
      </c>
      <c r="I18" s="748">
        <v>4000000</v>
      </c>
      <c r="J18" s="743">
        <v>8800000</v>
      </c>
      <c r="K18" s="743">
        <v>9000000</v>
      </c>
      <c r="L18" s="743">
        <v>9500000</v>
      </c>
      <c r="M18" s="743">
        <v>10500000</v>
      </c>
      <c r="N18" s="743">
        <v>8750000</v>
      </c>
      <c r="O18" s="747">
        <v>9000000</v>
      </c>
      <c r="P18" s="747"/>
      <c r="Q18" s="747">
        <v>8750000</v>
      </c>
      <c r="R18" s="747">
        <v>8750000</v>
      </c>
      <c r="S18" s="747">
        <v>10500000</v>
      </c>
      <c r="T18" s="747">
        <v>10000000</v>
      </c>
      <c r="U18" s="747">
        <v>10000000</v>
      </c>
      <c r="V18" s="760">
        <f t="shared" si="1"/>
        <v>9000000</v>
      </c>
      <c r="W18" s="747"/>
      <c r="Y18" s="744"/>
      <c r="Z18" s="744"/>
      <c r="AA18" s="744"/>
      <c r="AB18" s="744"/>
      <c r="AC18" s="744"/>
      <c r="AD18" s="745"/>
      <c r="AE18" s="744"/>
      <c r="AF18" s="746"/>
      <c r="AG18" s="744"/>
      <c r="AH18" s="744"/>
      <c r="AI18" s="744"/>
      <c r="AJ18" s="744"/>
      <c r="AK18" s="744"/>
      <c r="AL18" s="744"/>
      <c r="AM18" s="744"/>
      <c r="AN18" s="744"/>
    </row>
    <row r="19" spans="2:40" ht="20.100000000000001" customHeight="1">
      <c r="B19" s="743">
        <v>7000000</v>
      </c>
      <c r="C19" s="741" t="s">
        <v>207</v>
      </c>
      <c r="D19" s="763" t="s">
        <v>203</v>
      </c>
      <c r="E19" s="765" t="s">
        <v>1483</v>
      </c>
      <c r="F19" s="765">
        <f t="shared" si="0"/>
        <v>16</v>
      </c>
      <c r="G19" s="743">
        <v>7650000</v>
      </c>
      <c r="H19" s="743">
        <v>8375000</v>
      </c>
      <c r="I19" s="748">
        <v>4000000</v>
      </c>
      <c r="J19" s="743">
        <v>8420000</v>
      </c>
      <c r="K19" s="743">
        <v>8610000</v>
      </c>
      <c r="L19" s="743">
        <v>9090000</v>
      </c>
      <c r="M19" s="743">
        <v>10050000</v>
      </c>
      <c r="N19" s="743">
        <v>8375000</v>
      </c>
      <c r="O19" s="747">
        <v>8610000</v>
      </c>
      <c r="P19" s="747"/>
      <c r="Q19" s="747">
        <v>8375000</v>
      </c>
      <c r="R19" s="747">
        <v>8375000</v>
      </c>
      <c r="S19" s="747">
        <v>10050000</v>
      </c>
      <c r="T19" s="747">
        <v>9570000</v>
      </c>
      <c r="U19" s="747">
        <v>9570000</v>
      </c>
      <c r="V19" s="760">
        <f t="shared" si="1"/>
        <v>9000000</v>
      </c>
      <c r="W19" s="747"/>
      <c r="Y19" s="744"/>
      <c r="Z19" s="744"/>
      <c r="AA19" s="744"/>
      <c r="AB19" s="744"/>
      <c r="AC19" s="744"/>
      <c r="AD19" s="745"/>
      <c r="AE19" s="744"/>
      <c r="AF19" s="746"/>
      <c r="AG19" s="744"/>
      <c r="AH19" s="744"/>
      <c r="AI19" s="744"/>
      <c r="AJ19" s="744"/>
      <c r="AK19" s="744"/>
      <c r="AL19" s="744"/>
      <c r="AM19" s="744"/>
      <c r="AN19" s="744"/>
    </row>
    <row r="20" spans="2:40" ht="20.100000000000001" customHeight="1">
      <c r="B20" s="743">
        <v>7000000</v>
      </c>
      <c r="C20" s="741" t="s">
        <v>207</v>
      </c>
      <c r="D20" s="763" t="s">
        <v>203</v>
      </c>
      <c r="E20" s="765" t="s">
        <v>1484</v>
      </c>
      <c r="F20" s="765">
        <f t="shared" si="0"/>
        <v>17</v>
      </c>
      <c r="G20" s="743">
        <v>20000000</v>
      </c>
      <c r="H20" s="743">
        <v>19000000</v>
      </c>
      <c r="I20" s="748">
        <v>4000000</v>
      </c>
      <c r="J20" s="743">
        <v>20000000</v>
      </c>
      <c r="K20" s="743">
        <v>18000000</v>
      </c>
      <c r="L20" s="743">
        <v>20000000</v>
      </c>
      <c r="M20" s="743">
        <v>23000000</v>
      </c>
      <c r="N20" s="743">
        <v>20000000</v>
      </c>
      <c r="O20" s="747">
        <v>21000000</v>
      </c>
      <c r="P20" s="747"/>
      <c r="Q20" s="743">
        <v>19500000</v>
      </c>
      <c r="R20" s="743">
        <v>20000000</v>
      </c>
      <c r="S20" s="743">
        <v>22000000</v>
      </c>
      <c r="T20" s="747">
        <v>20000000</v>
      </c>
      <c r="U20" s="743">
        <v>20000000</v>
      </c>
      <c r="V20" s="760">
        <f t="shared" si="1"/>
        <v>9000000</v>
      </c>
      <c r="W20" s="747"/>
      <c r="Z20" s="744"/>
      <c r="AA20" s="744"/>
      <c r="AB20" s="744"/>
      <c r="AC20" s="744"/>
      <c r="AD20" s="744"/>
      <c r="AE20" s="744"/>
      <c r="AF20" s="746"/>
      <c r="AG20" s="744"/>
      <c r="AH20" s="744"/>
      <c r="AI20" s="744"/>
      <c r="AJ20" s="744"/>
      <c r="AK20" s="744"/>
      <c r="AL20" s="744"/>
      <c r="AM20" s="744"/>
      <c r="AN20" s="744"/>
    </row>
    <row r="21" spans="2:40" ht="21" customHeight="1">
      <c r="B21" s="743">
        <v>7000000</v>
      </c>
      <c r="C21" s="741" t="s">
        <v>207</v>
      </c>
      <c r="D21" s="763" t="s">
        <v>203</v>
      </c>
      <c r="E21" s="765" t="s">
        <v>1485</v>
      </c>
      <c r="F21" s="765">
        <f t="shared" si="0"/>
        <v>18</v>
      </c>
      <c r="G21" s="743">
        <v>20000000</v>
      </c>
      <c r="H21" s="743">
        <v>19000000</v>
      </c>
      <c r="I21" s="748">
        <v>4000000</v>
      </c>
      <c r="J21" s="743">
        <v>20000000</v>
      </c>
      <c r="K21" s="743">
        <v>18000000</v>
      </c>
      <c r="L21" s="743">
        <v>20000000</v>
      </c>
      <c r="M21" s="743">
        <v>23000000</v>
      </c>
      <c r="N21" s="743">
        <v>20000000</v>
      </c>
      <c r="O21" s="747">
        <v>21000000</v>
      </c>
      <c r="P21" s="747"/>
      <c r="Q21" s="743">
        <v>19500000</v>
      </c>
      <c r="R21" s="743">
        <v>20000000</v>
      </c>
      <c r="S21" s="743">
        <v>22000000</v>
      </c>
      <c r="T21" s="747">
        <v>20000000</v>
      </c>
      <c r="U21" s="743">
        <v>20000000</v>
      </c>
      <c r="V21" s="760">
        <f t="shared" si="1"/>
        <v>9000000</v>
      </c>
      <c r="W21" s="747"/>
      <c r="Z21" s="744"/>
      <c r="AA21" s="744"/>
      <c r="AB21" s="744"/>
      <c r="AC21" s="744"/>
      <c r="AD21" s="744"/>
      <c r="AE21" s="744"/>
      <c r="AF21" s="746"/>
      <c r="AG21" s="744"/>
      <c r="AH21" s="744"/>
      <c r="AI21" s="744"/>
      <c r="AJ21" s="744"/>
      <c r="AK21" s="744"/>
      <c r="AL21" s="744"/>
      <c r="AM21" s="744"/>
      <c r="AN21" s="744"/>
    </row>
    <row r="22" spans="2:40" ht="21" customHeight="1">
      <c r="B22" s="743">
        <v>7000000</v>
      </c>
      <c r="C22" s="741" t="s">
        <v>207</v>
      </c>
      <c r="D22" s="763" t="s">
        <v>203</v>
      </c>
      <c r="E22" s="765" t="s">
        <v>1471</v>
      </c>
      <c r="F22" s="765">
        <f t="shared" si="0"/>
        <v>19</v>
      </c>
      <c r="G22" s="743">
        <v>7090000</v>
      </c>
      <c r="H22" s="743">
        <v>7760000</v>
      </c>
      <c r="I22" s="748">
        <v>4000000</v>
      </c>
      <c r="J22" s="743">
        <v>7805000</v>
      </c>
      <c r="K22" s="743">
        <v>7980000</v>
      </c>
      <c r="L22" s="743">
        <v>8425000</v>
      </c>
      <c r="M22" s="743">
        <v>9315000</v>
      </c>
      <c r="N22" s="743">
        <v>7760000</v>
      </c>
      <c r="O22" s="747">
        <v>7980000</v>
      </c>
      <c r="P22" s="747"/>
      <c r="Q22" s="747">
        <v>7765000</v>
      </c>
      <c r="R22" s="747">
        <v>7760000</v>
      </c>
      <c r="S22" s="747">
        <v>9315000</v>
      </c>
      <c r="T22" s="747">
        <v>8870000</v>
      </c>
      <c r="U22" s="747">
        <v>8870000</v>
      </c>
      <c r="V22" s="760">
        <f t="shared" si="1"/>
        <v>9000000</v>
      </c>
      <c r="W22" s="747"/>
      <c r="Z22" s="744"/>
      <c r="AA22" s="744"/>
      <c r="AB22" s="744"/>
      <c r="AC22" s="744"/>
      <c r="AD22" s="744"/>
      <c r="AE22" s="744"/>
      <c r="AF22" s="746"/>
      <c r="AG22" s="744"/>
      <c r="AH22" s="744"/>
      <c r="AI22" s="744"/>
      <c r="AJ22" s="744"/>
      <c r="AK22" s="744"/>
      <c r="AL22" s="744"/>
      <c r="AM22" s="744"/>
      <c r="AN22" s="744"/>
    </row>
    <row r="23" spans="2:40" ht="21" hidden="1" customHeight="1">
      <c r="B23" s="761">
        <v>6210000</v>
      </c>
      <c r="C23" s="762" t="s">
        <v>1306</v>
      </c>
      <c r="D23" s="764" t="s">
        <v>1307</v>
      </c>
      <c r="E23" s="770" t="s">
        <v>1375</v>
      </c>
      <c r="F23" s="766">
        <f>+ROW()-3</f>
        <v>20</v>
      </c>
      <c r="G23" s="761">
        <v>7090000</v>
      </c>
      <c r="H23" s="761">
        <v>7760000</v>
      </c>
      <c r="I23" s="761">
        <v>7980000</v>
      </c>
      <c r="J23" s="761">
        <v>7805000</v>
      </c>
      <c r="K23" s="761">
        <v>7980000</v>
      </c>
      <c r="L23" s="761">
        <v>8425000</v>
      </c>
      <c r="M23" s="761">
        <v>9315000</v>
      </c>
      <c r="N23" s="761">
        <v>7760000</v>
      </c>
      <c r="O23" s="761">
        <v>7980000</v>
      </c>
      <c r="P23" s="761"/>
      <c r="Q23" s="761">
        <v>7765000</v>
      </c>
      <c r="R23" s="761">
        <v>7760000</v>
      </c>
      <c r="S23" s="761">
        <v>9315000</v>
      </c>
      <c r="T23" s="761">
        <v>8870000</v>
      </c>
      <c r="U23" s="761">
        <v>8870000</v>
      </c>
      <c r="V23" s="761">
        <f>MAX(G23:U23)</f>
        <v>9315000</v>
      </c>
      <c r="W23" s="761"/>
      <c r="Z23" s="744"/>
      <c r="AA23" s="744"/>
      <c r="AB23" s="744"/>
      <c r="AC23" s="744"/>
      <c r="AD23" s="744"/>
      <c r="AE23" s="744"/>
      <c r="AF23" s="746"/>
      <c r="AG23" s="744"/>
      <c r="AH23" s="744"/>
      <c r="AI23" s="744"/>
      <c r="AJ23" s="744"/>
      <c r="AK23" s="744"/>
      <c r="AL23" s="744"/>
      <c r="AM23" s="744"/>
      <c r="AN23" s="744"/>
    </row>
    <row r="24" spans="2:40" ht="21" hidden="1" customHeight="1">
      <c r="B24" s="761">
        <v>2990000</v>
      </c>
      <c r="C24" s="762" t="s">
        <v>1306</v>
      </c>
      <c r="D24" s="764" t="s">
        <v>1307</v>
      </c>
      <c r="E24" s="770" t="s">
        <v>1376</v>
      </c>
      <c r="F24" s="766">
        <f>+ROW()-3</f>
        <v>21</v>
      </c>
      <c r="G24" s="761">
        <v>3410000</v>
      </c>
      <c r="H24" s="761">
        <v>3735000</v>
      </c>
      <c r="I24" s="761">
        <v>3840000</v>
      </c>
      <c r="J24" s="761">
        <v>3755000</v>
      </c>
      <c r="K24" s="761">
        <v>3840000</v>
      </c>
      <c r="L24" s="761">
        <v>4055000</v>
      </c>
      <c r="M24" s="761">
        <v>4485000</v>
      </c>
      <c r="N24" s="761">
        <v>3735000</v>
      </c>
      <c r="O24" s="761">
        <v>3840000</v>
      </c>
      <c r="P24" s="761"/>
      <c r="Q24" s="761">
        <v>3740000</v>
      </c>
      <c r="R24" s="761">
        <v>3735000</v>
      </c>
      <c r="S24" s="761">
        <v>4485000</v>
      </c>
      <c r="T24" s="761">
        <v>4270000</v>
      </c>
      <c r="U24" s="761">
        <v>4270000</v>
      </c>
      <c r="V24" s="761">
        <f>MAX(G24:U24)</f>
        <v>4485000</v>
      </c>
      <c r="W24" s="761"/>
      <c r="Z24" s="744"/>
      <c r="AA24" s="744"/>
      <c r="AB24" s="744"/>
      <c r="AC24" s="744"/>
      <c r="AD24" s="744"/>
      <c r="AE24" s="744"/>
      <c r="AF24" s="746"/>
      <c r="AG24" s="744"/>
      <c r="AH24" s="744"/>
      <c r="AI24" s="744"/>
      <c r="AJ24" s="744"/>
      <c r="AK24" s="744"/>
      <c r="AL24" s="744"/>
      <c r="AM24" s="744"/>
      <c r="AN24" s="744"/>
    </row>
    <row r="25" spans="2:40" ht="21" hidden="1" customHeight="1">
      <c r="B25" s="761">
        <v>2800000</v>
      </c>
      <c r="C25" s="762" t="s">
        <v>1308</v>
      </c>
      <c r="D25" s="764" t="s">
        <v>1309</v>
      </c>
      <c r="E25" s="771" t="s">
        <v>1377</v>
      </c>
      <c r="F25" s="766">
        <f>+ROW()-3</f>
        <v>22</v>
      </c>
      <c r="G25" s="761">
        <v>3200000</v>
      </c>
      <c r="H25" s="761">
        <v>3500000</v>
      </c>
      <c r="I25" s="761">
        <v>3600000</v>
      </c>
      <c r="J25" s="761">
        <v>3520000</v>
      </c>
      <c r="K25" s="761">
        <v>3600000</v>
      </c>
      <c r="L25" s="761">
        <v>3800000</v>
      </c>
      <c r="M25" s="761">
        <v>4295000</v>
      </c>
      <c r="N25" s="761">
        <v>3500000</v>
      </c>
      <c r="O25" s="761">
        <v>3600000</v>
      </c>
      <c r="P25" s="761"/>
      <c r="Q25" s="761">
        <v>3500000</v>
      </c>
      <c r="R25" s="761">
        <v>3500000</v>
      </c>
      <c r="S25" s="761">
        <v>4200000</v>
      </c>
      <c r="T25" s="761">
        <v>3995000</v>
      </c>
      <c r="U25" s="761">
        <v>4000000</v>
      </c>
      <c r="V25" s="761">
        <f>MAX(G25:U25)</f>
        <v>4295000</v>
      </c>
      <c r="W25" s="761"/>
      <c r="Z25" s="744"/>
      <c r="AA25" s="744"/>
      <c r="AB25" s="744"/>
      <c r="AC25" s="744"/>
      <c r="AD25" s="744"/>
      <c r="AE25" s="744"/>
      <c r="AF25" s="746"/>
      <c r="AG25" s="744"/>
      <c r="AH25" s="744"/>
      <c r="AI25" s="744"/>
      <c r="AJ25" s="744"/>
      <c r="AK25" s="744"/>
      <c r="AL25" s="744"/>
      <c r="AM25" s="744"/>
      <c r="AN25" s="744"/>
    </row>
    <row r="26" spans="2:40" ht="21" customHeight="1">
      <c r="B26" s="749"/>
      <c r="C26" s="749"/>
      <c r="D26" s="749"/>
      <c r="E26" s="749"/>
      <c r="F26" s="749"/>
      <c r="G26" s="749"/>
      <c r="H26" s="749"/>
      <c r="I26" s="749"/>
      <c r="J26" s="749"/>
      <c r="K26" s="749"/>
      <c r="L26" s="749"/>
      <c r="M26" s="749"/>
      <c r="N26" s="749"/>
      <c r="O26" s="750"/>
      <c r="P26" s="750"/>
      <c r="Q26" s="750"/>
      <c r="R26" s="750"/>
      <c r="S26" s="750"/>
      <c r="T26" s="750"/>
      <c r="U26" s="750"/>
      <c r="V26" s="750"/>
      <c r="W26" s="750"/>
      <c r="Z26" s="744"/>
      <c r="AA26" s="744"/>
      <c r="AB26" s="744"/>
      <c r="AC26" s="744"/>
      <c r="AD26" s="744"/>
      <c r="AE26" s="744"/>
      <c r="AF26" s="746"/>
      <c r="AG26" s="744"/>
      <c r="AH26" s="744"/>
      <c r="AI26" s="744"/>
      <c r="AJ26" s="744"/>
      <c r="AK26" s="744"/>
      <c r="AL26" s="744"/>
      <c r="AM26" s="744"/>
      <c r="AN26" s="744"/>
    </row>
    <row r="27" spans="2:40" ht="20.100000000000001" customHeight="1">
      <c r="V27" s="750"/>
      <c r="W27" s="750"/>
    </row>
    <row r="29" spans="2:40" ht="20.100000000000001" hidden="1" customHeight="1"/>
    <row r="30" spans="2:40" ht="20.100000000000001" hidden="1" customHeight="1">
      <c r="E30" s="740" t="s">
        <v>1284</v>
      </c>
      <c r="F30" s="741" t="s">
        <v>1285</v>
      </c>
      <c r="G30" s="759" t="s">
        <v>1286</v>
      </c>
      <c r="H30" s="759" t="s">
        <v>1287</v>
      </c>
      <c r="I30" s="759" t="s">
        <v>1288</v>
      </c>
      <c r="J30" s="759" t="s">
        <v>1289</v>
      </c>
      <c r="K30" s="759" t="s">
        <v>1290</v>
      </c>
      <c r="L30" s="759" t="s">
        <v>1291</v>
      </c>
      <c r="M30" s="759" t="s">
        <v>1292</v>
      </c>
      <c r="N30" s="759" t="s">
        <v>1293</v>
      </c>
      <c r="O30" s="759" t="s">
        <v>1294</v>
      </c>
      <c r="P30" s="759" t="s">
        <v>1295</v>
      </c>
      <c r="Q30" s="759" t="s">
        <v>1296</v>
      </c>
      <c r="R30" s="759" t="s">
        <v>1297</v>
      </c>
      <c r="S30" s="759" t="s">
        <v>1298</v>
      </c>
      <c r="T30" s="759" t="s">
        <v>1299</v>
      </c>
      <c r="U30" s="759" t="s">
        <v>1300</v>
      </c>
      <c r="V30" s="759" t="s">
        <v>1301</v>
      </c>
      <c r="W30" s="791"/>
    </row>
    <row r="31" spans="2:40" ht="20.100000000000001" hidden="1" customHeight="1">
      <c r="E31" s="768" t="s">
        <v>1360</v>
      </c>
      <c r="F31" s="772">
        <f>+ROW()-30</f>
        <v>1</v>
      </c>
      <c r="G31" s="773">
        <f>G4*10000/2+$B4</f>
        <v>40007000000</v>
      </c>
      <c r="H31" s="773">
        <f>H4*10000/2+$B4</f>
        <v>43757000000</v>
      </c>
      <c r="I31" s="773">
        <f>I4*10000/2+$B4</f>
        <v>20007000000</v>
      </c>
      <c r="J31" s="773">
        <f>J4*10000/2+$B4</f>
        <v>44007000000</v>
      </c>
      <c r="K31" s="773">
        <f>K4*10000/2+$B4</f>
        <v>45007000000</v>
      </c>
      <c r="L31" s="773">
        <f t="shared" ref="L31:U31" si="2">L4*10000/2+$B4</f>
        <v>47507000000</v>
      </c>
      <c r="M31" s="773">
        <f t="shared" si="2"/>
        <v>52507000000</v>
      </c>
      <c r="N31" s="773">
        <f t="shared" si="2"/>
        <v>43757000000</v>
      </c>
      <c r="O31" s="773">
        <f t="shared" si="2"/>
        <v>45007000000</v>
      </c>
      <c r="P31" s="773">
        <f t="shared" si="2"/>
        <v>7000000</v>
      </c>
      <c r="Q31" s="773">
        <f t="shared" si="2"/>
        <v>43757000000</v>
      </c>
      <c r="R31" s="773">
        <f t="shared" si="2"/>
        <v>43757000000</v>
      </c>
      <c r="S31" s="773">
        <f t="shared" si="2"/>
        <v>52507000000</v>
      </c>
      <c r="T31" s="773">
        <f t="shared" si="2"/>
        <v>50007000000</v>
      </c>
      <c r="U31" s="773">
        <f t="shared" si="2"/>
        <v>50007000000</v>
      </c>
    </row>
    <row r="32" spans="2:40" ht="20.100000000000001" hidden="1" customHeight="1">
      <c r="E32" s="768" t="s">
        <v>1361</v>
      </c>
      <c r="F32" s="772">
        <f t="shared" ref="F32:F52" si="3">+ROW()-30</f>
        <v>2</v>
      </c>
      <c r="G32" s="773">
        <f t="shared" ref="G32:U46" si="4">G5*10000/2+$B5</f>
        <v>38857000000</v>
      </c>
      <c r="H32" s="773">
        <f t="shared" si="4"/>
        <v>42507000000</v>
      </c>
      <c r="I32" s="773">
        <f t="shared" si="4"/>
        <v>20007000000</v>
      </c>
      <c r="J32" s="773">
        <f t="shared" si="4"/>
        <v>42732000000</v>
      </c>
      <c r="K32" s="773">
        <f t="shared" si="4"/>
        <v>43707000000</v>
      </c>
      <c r="L32" s="773">
        <f t="shared" si="4"/>
        <v>46132000000</v>
      </c>
      <c r="M32" s="773">
        <f t="shared" si="4"/>
        <v>51507000000</v>
      </c>
      <c r="N32" s="773">
        <f t="shared" si="4"/>
        <v>42507000000</v>
      </c>
      <c r="O32" s="773">
        <f t="shared" si="4"/>
        <v>43707000000</v>
      </c>
      <c r="P32" s="773">
        <f t="shared" si="4"/>
        <v>7000000</v>
      </c>
      <c r="Q32" s="773">
        <f t="shared" si="4"/>
        <v>42507000000</v>
      </c>
      <c r="R32" s="773">
        <f t="shared" si="4"/>
        <v>42507000000</v>
      </c>
      <c r="S32" s="773">
        <f t="shared" si="4"/>
        <v>51007000000</v>
      </c>
      <c r="T32" s="773">
        <f t="shared" si="4"/>
        <v>48557000000</v>
      </c>
      <c r="U32" s="773">
        <f t="shared" si="4"/>
        <v>48557000000</v>
      </c>
    </row>
    <row r="33" spans="5:21" ht="20.100000000000001" hidden="1" customHeight="1">
      <c r="E33" s="768" t="s">
        <v>1362</v>
      </c>
      <c r="F33" s="772">
        <f t="shared" si="3"/>
        <v>3</v>
      </c>
      <c r="G33" s="773">
        <f t="shared" si="4"/>
        <v>39757000000</v>
      </c>
      <c r="H33" s="773">
        <f t="shared" si="4"/>
        <v>43507000000</v>
      </c>
      <c r="I33" s="773">
        <f t="shared" si="4"/>
        <v>20007000000</v>
      </c>
      <c r="J33" s="773">
        <f t="shared" si="4"/>
        <v>43732000000</v>
      </c>
      <c r="K33" s="773">
        <f t="shared" si="4"/>
        <v>44732000000</v>
      </c>
      <c r="L33" s="773">
        <f t="shared" si="4"/>
        <v>47232000000</v>
      </c>
      <c r="M33" s="773">
        <f t="shared" si="4"/>
        <v>52307000000</v>
      </c>
      <c r="N33" s="773">
        <f t="shared" si="4"/>
        <v>43507000000</v>
      </c>
      <c r="O33" s="773">
        <f t="shared" si="4"/>
        <v>44732000000</v>
      </c>
      <c r="P33" s="773">
        <f t="shared" si="4"/>
        <v>7000000</v>
      </c>
      <c r="Q33" s="773">
        <f t="shared" si="4"/>
        <v>43507000000</v>
      </c>
      <c r="R33" s="773">
        <f t="shared" si="4"/>
        <v>43507000000</v>
      </c>
      <c r="S33" s="773">
        <f t="shared" si="4"/>
        <v>52207000000</v>
      </c>
      <c r="T33" s="773">
        <f t="shared" si="4"/>
        <v>49707000000</v>
      </c>
      <c r="U33" s="773">
        <f t="shared" si="4"/>
        <v>49707000000</v>
      </c>
    </row>
    <row r="34" spans="5:21" ht="20.100000000000001" hidden="1" customHeight="1">
      <c r="E34" s="768" t="s">
        <v>1363</v>
      </c>
      <c r="F34" s="772">
        <f t="shared" si="3"/>
        <v>4</v>
      </c>
      <c r="G34" s="773">
        <f t="shared" si="4"/>
        <v>38307000000</v>
      </c>
      <c r="H34" s="773">
        <f t="shared" si="4"/>
        <v>41932000000</v>
      </c>
      <c r="I34" s="773">
        <f t="shared" si="4"/>
        <v>20007000000</v>
      </c>
      <c r="J34" s="773">
        <f t="shared" si="4"/>
        <v>42182000000</v>
      </c>
      <c r="K34" s="773">
        <f t="shared" si="4"/>
        <v>43132000000</v>
      </c>
      <c r="L34" s="773">
        <f t="shared" si="4"/>
        <v>45532000000</v>
      </c>
      <c r="M34" s="773">
        <f t="shared" si="4"/>
        <v>50332000000</v>
      </c>
      <c r="N34" s="773">
        <f t="shared" si="4"/>
        <v>41932000000</v>
      </c>
      <c r="O34" s="773">
        <f t="shared" si="4"/>
        <v>43132000000</v>
      </c>
      <c r="P34" s="773">
        <f t="shared" si="4"/>
        <v>7000000</v>
      </c>
      <c r="Q34" s="773">
        <f t="shared" si="4"/>
        <v>41957000000</v>
      </c>
      <c r="R34" s="773">
        <f t="shared" si="4"/>
        <v>41932000000</v>
      </c>
      <c r="S34" s="773">
        <f t="shared" si="4"/>
        <v>50332000000</v>
      </c>
      <c r="T34" s="773">
        <f t="shared" si="4"/>
        <v>47932000000</v>
      </c>
      <c r="U34" s="773">
        <f t="shared" si="4"/>
        <v>47957000000</v>
      </c>
    </row>
    <row r="35" spans="5:21" ht="20.100000000000001" hidden="1" customHeight="1">
      <c r="E35" s="768" t="s">
        <v>1364</v>
      </c>
      <c r="F35" s="772">
        <f t="shared" si="3"/>
        <v>5</v>
      </c>
      <c r="G35" s="773">
        <f t="shared" si="4"/>
        <v>40006760000</v>
      </c>
      <c r="H35" s="773">
        <f t="shared" si="4"/>
        <v>43756760000</v>
      </c>
      <c r="I35" s="773">
        <f t="shared" si="4"/>
        <v>19306760000</v>
      </c>
      <c r="J35" s="773">
        <f t="shared" si="4"/>
        <v>44006760000</v>
      </c>
      <c r="K35" s="773">
        <f t="shared" si="4"/>
        <v>45006760000</v>
      </c>
      <c r="L35" s="773">
        <f t="shared" si="4"/>
        <v>47506760000</v>
      </c>
      <c r="M35" s="773">
        <f t="shared" si="4"/>
        <v>52506760000</v>
      </c>
      <c r="N35" s="773">
        <f t="shared" si="4"/>
        <v>43756760000</v>
      </c>
      <c r="O35" s="773">
        <f t="shared" si="4"/>
        <v>45006760000</v>
      </c>
      <c r="P35" s="773">
        <f t="shared" si="4"/>
        <v>6760000</v>
      </c>
      <c r="Q35" s="773">
        <f t="shared" si="4"/>
        <v>43756760000</v>
      </c>
      <c r="R35" s="773">
        <f t="shared" si="4"/>
        <v>43756760000</v>
      </c>
      <c r="S35" s="773">
        <f t="shared" si="4"/>
        <v>52506760000</v>
      </c>
      <c r="T35" s="773">
        <f t="shared" si="4"/>
        <v>50006760000</v>
      </c>
      <c r="U35" s="773">
        <f t="shared" si="4"/>
        <v>50006760000</v>
      </c>
    </row>
    <row r="36" spans="5:21" ht="20.100000000000001" hidden="1" customHeight="1">
      <c r="E36" s="768" t="s">
        <v>1373</v>
      </c>
      <c r="F36" s="772">
        <f t="shared" si="3"/>
        <v>6</v>
      </c>
      <c r="G36" s="773">
        <f t="shared" si="4"/>
        <v>19506960000</v>
      </c>
      <c r="H36" s="773">
        <f t="shared" si="4"/>
        <v>21381960000</v>
      </c>
      <c r="I36" s="773">
        <f t="shared" si="4"/>
        <v>19856960000</v>
      </c>
      <c r="J36" s="773">
        <f t="shared" si="4"/>
        <v>21481960000</v>
      </c>
      <c r="K36" s="773">
        <f t="shared" si="4"/>
        <v>21981960000</v>
      </c>
      <c r="L36" s="773">
        <f t="shared" si="4"/>
        <v>23206960000</v>
      </c>
      <c r="M36" s="773">
        <f t="shared" si="4"/>
        <v>25656960000</v>
      </c>
      <c r="N36" s="773">
        <f t="shared" si="4"/>
        <v>21381960000</v>
      </c>
      <c r="O36" s="773">
        <f t="shared" si="4"/>
        <v>21981960000</v>
      </c>
      <c r="P36" s="773">
        <f t="shared" si="4"/>
        <v>6960000</v>
      </c>
      <c r="Q36" s="773">
        <f t="shared" si="4"/>
        <v>21381960000</v>
      </c>
      <c r="R36" s="773">
        <f t="shared" si="4"/>
        <v>21381960000</v>
      </c>
      <c r="S36" s="773">
        <f t="shared" si="4"/>
        <v>25656960000</v>
      </c>
      <c r="T36" s="773">
        <f t="shared" si="4"/>
        <v>24431960000</v>
      </c>
      <c r="U36" s="773">
        <f t="shared" si="4"/>
        <v>24456960000</v>
      </c>
    </row>
    <row r="37" spans="5:21" ht="20.100000000000001" hidden="1" customHeight="1">
      <c r="E37" s="768" t="s">
        <v>1365</v>
      </c>
      <c r="F37" s="772">
        <f t="shared" si="3"/>
        <v>7</v>
      </c>
      <c r="G37" s="773">
        <f t="shared" si="4"/>
        <v>20006710000</v>
      </c>
      <c r="H37" s="773">
        <f t="shared" si="4"/>
        <v>21881710000</v>
      </c>
      <c r="I37" s="773">
        <f t="shared" si="4"/>
        <v>19156710000</v>
      </c>
      <c r="J37" s="773">
        <f t="shared" si="4"/>
        <v>22006710000</v>
      </c>
      <c r="K37" s="773">
        <f t="shared" si="4"/>
        <v>22506710000</v>
      </c>
      <c r="L37" s="773">
        <f t="shared" si="4"/>
        <v>23756710000</v>
      </c>
      <c r="M37" s="773">
        <f t="shared" si="4"/>
        <v>26256710000</v>
      </c>
      <c r="N37" s="773">
        <f t="shared" si="4"/>
        <v>21881710000</v>
      </c>
      <c r="O37" s="773">
        <f t="shared" si="4"/>
        <v>22506710000</v>
      </c>
      <c r="P37" s="773">
        <f t="shared" si="4"/>
        <v>6710000</v>
      </c>
      <c r="Q37" s="773">
        <f t="shared" si="4"/>
        <v>21881710000</v>
      </c>
      <c r="R37" s="773">
        <f t="shared" si="4"/>
        <v>21881710000</v>
      </c>
      <c r="S37" s="773">
        <f t="shared" si="4"/>
        <v>26256710000</v>
      </c>
      <c r="T37" s="773">
        <f t="shared" si="4"/>
        <v>24981710000</v>
      </c>
      <c r="U37" s="773">
        <f t="shared" si="4"/>
        <v>25006710000</v>
      </c>
    </row>
    <row r="38" spans="5:21" ht="20.100000000000001" hidden="1" customHeight="1">
      <c r="E38" s="768" t="s">
        <v>1366</v>
      </c>
      <c r="F38" s="772">
        <f t="shared" si="3"/>
        <v>8</v>
      </c>
      <c r="G38" s="773">
        <f t="shared" si="4"/>
        <v>19903500000</v>
      </c>
      <c r="H38" s="773">
        <f t="shared" si="4"/>
        <v>21803500000</v>
      </c>
      <c r="I38" s="773">
        <f t="shared" si="4"/>
        <v>10003500000</v>
      </c>
      <c r="J38" s="773">
        <f t="shared" si="4"/>
        <v>21928500000</v>
      </c>
      <c r="K38" s="773">
        <f t="shared" si="4"/>
        <v>22428500000</v>
      </c>
      <c r="L38" s="773">
        <f t="shared" si="4"/>
        <v>23678500000</v>
      </c>
      <c r="M38" s="773">
        <f t="shared" si="4"/>
        <v>26178500000</v>
      </c>
      <c r="N38" s="773">
        <f t="shared" si="4"/>
        <v>21803500000</v>
      </c>
      <c r="O38" s="773">
        <f t="shared" si="4"/>
        <v>22428500000</v>
      </c>
      <c r="P38" s="773">
        <f t="shared" si="4"/>
        <v>3500000</v>
      </c>
      <c r="Q38" s="773">
        <f t="shared" si="4"/>
        <v>21828500000</v>
      </c>
      <c r="R38" s="773">
        <f t="shared" si="4"/>
        <v>21803500000</v>
      </c>
      <c r="S38" s="773">
        <f t="shared" si="4"/>
        <v>26178500000</v>
      </c>
      <c r="T38" s="773">
        <f t="shared" si="4"/>
        <v>24928500000</v>
      </c>
      <c r="U38" s="773">
        <f t="shared" si="4"/>
        <v>24953500000</v>
      </c>
    </row>
    <row r="39" spans="5:21" ht="20.100000000000001" hidden="1" customHeight="1">
      <c r="E39" s="768" t="s">
        <v>1367</v>
      </c>
      <c r="F39" s="772">
        <f t="shared" si="3"/>
        <v>9</v>
      </c>
      <c r="G39" s="773">
        <f t="shared" si="4"/>
        <v>19203490000</v>
      </c>
      <c r="H39" s="773">
        <f t="shared" si="4"/>
        <v>21003490000</v>
      </c>
      <c r="I39" s="773">
        <f t="shared" si="4"/>
        <v>9953490000</v>
      </c>
      <c r="J39" s="773">
        <f t="shared" si="4"/>
        <v>21103490000</v>
      </c>
      <c r="K39" s="773">
        <f t="shared" si="4"/>
        <v>21603490000</v>
      </c>
      <c r="L39" s="773">
        <f t="shared" si="4"/>
        <v>22803490000</v>
      </c>
      <c r="M39" s="773">
        <f t="shared" si="4"/>
        <v>25203490000</v>
      </c>
      <c r="N39" s="773">
        <f t="shared" si="4"/>
        <v>21003490000</v>
      </c>
      <c r="O39" s="773">
        <f t="shared" si="4"/>
        <v>21603490000</v>
      </c>
      <c r="P39" s="773">
        <f t="shared" si="4"/>
        <v>3490000</v>
      </c>
      <c r="Q39" s="773">
        <f t="shared" si="4"/>
        <v>21003490000</v>
      </c>
      <c r="R39" s="773">
        <f t="shared" si="4"/>
        <v>21003490000</v>
      </c>
      <c r="S39" s="773">
        <f t="shared" si="4"/>
        <v>25203490000</v>
      </c>
      <c r="T39" s="773">
        <f t="shared" si="4"/>
        <v>23978490000</v>
      </c>
      <c r="U39" s="773">
        <f t="shared" si="4"/>
        <v>24003490000</v>
      </c>
    </row>
    <row r="40" spans="5:21" ht="20.100000000000001" hidden="1" customHeight="1">
      <c r="E40" s="768" t="s">
        <v>1368</v>
      </c>
      <c r="F40" s="772">
        <f t="shared" si="3"/>
        <v>10</v>
      </c>
      <c r="G40" s="773">
        <f t="shared" si="4"/>
        <v>18203360000</v>
      </c>
      <c r="H40" s="773">
        <f t="shared" si="4"/>
        <v>19928360000</v>
      </c>
      <c r="I40" s="773">
        <f t="shared" si="4"/>
        <v>9603360000</v>
      </c>
      <c r="J40" s="773">
        <f t="shared" si="4"/>
        <v>20053360000</v>
      </c>
      <c r="K40" s="773">
        <f t="shared" si="4"/>
        <v>20753360000</v>
      </c>
      <c r="L40" s="773">
        <f t="shared" si="4"/>
        <v>21628360000</v>
      </c>
      <c r="M40" s="773">
        <f t="shared" si="4"/>
        <v>23928360000</v>
      </c>
      <c r="N40" s="773">
        <f t="shared" si="4"/>
        <v>19928360000</v>
      </c>
      <c r="O40" s="773">
        <f t="shared" si="4"/>
        <v>20503360000</v>
      </c>
      <c r="P40" s="773">
        <f t="shared" si="4"/>
        <v>3360000</v>
      </c>
      <c r="Q40" s="773">
        <f t="shared" si="4"/>
        <v>19953360000</v>
      </c>
      <c r="R40" s="773">
        <f t="shared" si="4"/>
        <v>19928360000</v>
      </c>
      <c r="S40" s="773">
        <f t="shared" si="4"/>
        <v>23928360000</v>
      </c>
      <c r="T40" s="773">
        <f t="shared" si="4"/>
        <v>22778360000</v>
      </c>
      <c r="U40" s="773">
        <f t="shared" si="4"/>
        <v>22803360000</v>
      </c>
    </row>
    <row r="41" spans="5:21" ht="20.100000000000001" hidden="1" customHeight="1">
      <c r="E41" s="768" t="s">
        <v>1369</v>
      </c>
      <c r="F41" s="772">
        <f t="shared" si="3"/>
        <v>11</v>
      </c>
      <c r="G41" s="773">
        <f t="shared" si="4"/>
        <v>40003190000</v>
      </c>
      <c r="H41" s="773">
        <f t="shared" si="4"/>
        <v>43753190000</v>
      </c>
      <c r="I41" s="773">
        <f t="shared" si="4"/>
        <v>9103190000</v>
      </c>
      <c r="J41" s="773">
        <f t="shared" si="4"/>
        <v>44003190000</v>
      </c>
      <c r="K41" s="773">
        <f t="shared" si="4"/>
        <v>45003190000</v>
      </c>
      <c r="L41" s="773">
        <f t="shared" si="4"/>
        <v>47503190000</v>
      </c>
      <c r="M41" s="773">
        <f t="shared" si="4"/>
        <v>52503190000</v>
      </c>
      <c r="N41" s="773">
        <f t="shared" si="4"/>
        <v>43753190000</v>
      </c>
      <c r="O41" s="773">
        <f t="shared" si="4"/>
        <v>45003190000</v>
      </c>
      <c r="P41" s="773">
        <f t="shared" si="4"/>
        <v>3190000</v>
      </c>
      <c r="Q41" s="773">
        <f t="shared" si="4"/>
        <v>43753190000</v>
      </c>
      <c r="R41" s="773">
        <f t="shared" si="4"/>
        <v>43753190000</v>
      </c>
      <c r="S41" s="773">
        <f t="shared" si="4"/>
        <v>52503190000</v>
      </c>
      <c r="T41" s="773">
        <f t="shared" si="4"/>
        <v>50003190000</v>
      </c>
      <c r="U41" s="773">
        <f t="shared" si="4"/>
        <v>50003190000</v>
      </c>
    </row>
    <row r="42" spans="5:21" ht="20.100000000000001" hidden="1" customHeight="1">
      <c r="E42" s="768" t="s">
        <v>1370</v>
      </c>
      <c r="F42" s="772">
        <f t="shared" si="3"/>
        <v>12</v>
      </c>
      <c r="G42" s="773">
        <f t="shared" si="4"/>
        <v>40003270000</v>
      </c>
      <c r="H42" s="773">
        <f t="shared" si="4"/>
        <v>43753270000</v>
      </c>
      <c r="I42" s="773">
        <f t="shared" si="4"/>
        <v>9303270000</v>
      </c>
      <c r="J42" s="773">
        <f t="shared" si="4"/>
        <v>44003270000</v>
      </c>
      <c r="K42" s="773">
        <f t="shared" si="4"/>
        <v>45003270000</v>
      </c>
      <c r="L42" s="773">
        <f t="shared" si="4"/>
        <v>47503270000</v>
      </c>
      <c r="M42" s="773">
        <f t="shared" si="4"/>
        <v>52503270000</v>
      </c>
      <c r="N42" s="773">
        <f t="shared" si="4"/>
        <v>43753270000</v>
      </c>
      <c r="O42" s="773">
        <f t="shared" si="4"/>
        <v>45003270000</v>
      </c>
      <c r="P42" s="773">
        <f t="shared" si="4"/>
        <v>3270000</v>
      </c>
      <c r="Q42" s="773">
        <f t="shared" si="4"/>
        <v>43753270000</v>
      </c>
      <c r="R42" s="773">
        <f t="shared" si="4"/>
        <v>43753270000</v>
      </c>
      <c r="S42" s="773">
        <f t="shared" si="4"/>
        <v>52503270000</v>
      </c>
      <c r="T42" s="773">
        <f t="shared" si="4"/>
        <v>50003270000</v>
      </c>
      <c r="U42" s="773">
        <f t="shared" si="4"/>
        <v>50003270000</v>
      </c>
    </row>
    <row r="43" spans="5:21" ht="20.100000000000001" hidden="1" customHeight="1">
      <c r="E43" s="768" t="s">
        <v>1371</v>
      </c>
      <c r="F43" s="772">
        <f t="shared" si="3"/>
        <v>13</v>
      </c>
      <c r="G43" s="773">
        <f t="shared" si="4"/>
        <v>40007000000</v>
      </c>
      <c r="H43" s="773">
        <f t="shared" si="4"/>
        <v>43757000000</v>
      </c>
      <c r="I43" s="773">
        <f t="shared" si="4"/>
        <v>20007000000</v>
      </c>
      <c r="J43" s="773">
        <f t="shared" si="4"/>
        <v>44007000000</v>
      </c>
      <c r="K43" s="773">
        <f t="shared" si="4"/>
        <v>45007000000</v>
      </c>
      <c r="L43" s="773">
        <f t="shared" si="4"/>
        <v>47507000000</v>
      </c>
      <c r="M43" s="773">
        <f t="shared" si="4"/>
        <v>52507000000</v>
      </c>
      <c r="N43" s="773">
        <f t="shared" si="4"/>
        <v>43757000000</v>
      </c>
      <c r="O43" s="773">
        <f>O15*10000/2+$B16</f>
        <v>45007000000</v>
      </c>
      <c r="P43" s="773">
        <f t="shared" si="4"/>
        <v>7000000</v>
      </c>
      <c r="Q43" s="773">
        <f t="shared" si="4"/>
        <v>43757000000</v>
      </c>
      <c r="R43" s="773">
        <f t="shared" si="4"/>
        <v>43757000000</v>
      </c>
      <c r="S43" s="773">
        <f t="shared" si="4"/>
        <v>52507000000</v>
      </c>
      <c r="T43" s="773">
        <f t="shared" si="4"/>
        <v>50007000000</v>
      </c>
      <c r="U43" s="773">
        <f t="shared" si="4"/>
        <v>50007000000</v>
      </c>
    </row>
    <row r="44" spans="5:21" ht="20.100000000000001" hidden="1" customHeight="1">
      <c r="E44" s="768" t="s">
        <v>1372</v>
      </c>
      <c r="F44" s="772">
        <f t="shared" si="3"/>
        <v>14</v>
      </c>
      <c r="G44" s="773">
        <f t="shared" si="4"/>
        <v>40007000000</v>
      </c>
      <c r="H44" s="773">
        <f t="shared" si="4"/>
        <v>43757000000</v>
      </c>
      <c r="I44" s="773">
        <f t="shared" si="4"/>
        <v>20007000000</v>
      </c>
      <c r="J44" s="773">
        <f t="shared" si="4"/>
        <v>44007000000</v>
      </c>
      <c r="K44" s="773">
        <f t="shared" si="4"/>
        <v>45007000000</v>
      </c>
      <c r="L44" s="773">
        <f t="shared" si="4"/>
        <v>47507000000</v>
      </c>
      <c r="M44" s="773">
        <f t="shared" si="4"/>
        <v>52507000000</v>
      </c>
      <c r="N44" s="773">
        <f t="shared" si="4"/>
        <v>43757000000</v>
      </c>
      <c r="O44" s="773">
        <f>O16*10000/2+$B17</f>
        <v>45007000000</v>
      </c>
      <c r="P44" s="773">
        <f t="shared" si="4"/>
        <v>7000000</v>
      </c>
      <c r="Q44" s="773">
        <f t="shared" si="4"/>
        <v>43757000000</v>
      </c>
      <c r="R44" s="773">
        <f t="shared" si="4"/>
        <v>43757000000</v>
      </c>
      <c r="S44" s="773">
        <f t="shared" si="4"/>
        <v>52507000000</v>
      </c>
      <c r="T44" s="773">
        <f t="shared" si="4"/>
        <v>50007000000</v>
      </c>
      <c r="U44" s="773">
        <f t="shared" si="4"/>
        <v>50007000000</v>
      </c>
    </row>
    <row r="45" spans="5:21" ht="20.100000000000001" hidden="1" customHeight="1">
      <c r="E45" s="769" t="s">
        <v>1302</v>
      </c>
      <c r="F45" s="772">
        <f t="shared" si="3"/>
        <v>15</v>
      </c>
      <c r="G45" s="773">
        <f t="shared" si="4"/>
        <v>40007000000</v>
      </c>
      <c r="H45" s="773">
        <f t="shared" si="4"/>
        <v>43757000000</v>
      </c>
      <c r="I45" s="773">
        <f t="shared" si="4"/>
        <v>20007000000</v>
      </c>
      <c r="J45" s="773">
        <f t="shared" si="4"/>
        <v>44007000000</v>
      </c>
      <c r="K45" s="773">
        <f t="shared" si="4"/>
        <v>45007000000</v>
      </c>
      <c r="L45" s="773">
        <f t="shared" si="4"/>
        <v>47507000000</v>
      </c>
      <c r="M45" s="773">
        <f t="shared" si="4"/>
        <v>52507000000</v>
      </c>
      <c r="N45" s="773">
        <f t="shared" si="4"/>
        <v>43757000000</v>
      </c>
      <c r="O45" s="773">
        <f t="shared" si="4"/>
        <v>45007000000</v>
      </c>
      <c r="P45" s="773">
        <f t="shared" si="4"/>
        <v>7000000</v>
      </c>
      <c r="Q45" s="773">
        <f t="shared" si="4"/>
        <v>43757000000</v>
      </c>
      <c r="R45" s="773">
        <f t="shared" si="4"/>
        <v>43757000000</v>
      </c>
      <c r="S45" s="773">
        <f t="shared" si="4"/>
        <v>52507000000</v>
      </c>
      <c r="T45" s="773">
        <f t="shared" si="4"/>
        <v>50007000000</v>
      </c>
      <c r="U45" s="773">
        <f t="shared" si="4"/>
        <v>50007000000</v>
      </c>
    </row>
    <row r="46" spans="5:21" ht="20.100000000000001" hidden="1" customHeight="1">
      <c r="E46" s="769" t="s">
        <v>1303</v>
      </c>
      <c r="F46" s="772">
        <f t="shared" si="3"/>
        <v>16</v>
      </c>
      <c r="G46" s="773">
        <f t="shared" si="4"/>
        <v>38257000000</v>
      </c>
      <c r="H46" s="773">
        <f t="shared" si="4"/>
        <v>41882000000</v>
      </c>
      <c r="I46" s="773">
        <f t="shared" si="4"/>
        <v>20007000000</v>
      </c>
      <c r="J46" s="773">
        <f t="shared" si="4"/>
        <v>42107000000</v>
      </c>
      <c r="K46" s="773">
        <f t="shared" si="4"/>
        <v>43057000000</v>
      </c>
      <c r="L46" s="773">
        <f t="shared" si="4"/>
        <v>45457000000</v>
      </c>
      <c r="M46" s="773">
        <f t="shared" si="4"/>
        <v>50257000000</v>
      </c>
      <c r="N46" s="773">
        <f t="shared" si="4"/>
        <v>41882000000</v>
      </c>
      <c r="O46" s="773">
        <f t="shared" si="4"/>
        <v>43057000000</v>
      </c>
      <c r="P46" s="773">
        <f t="shared" si="4"/>
        <v>7000000</v>
      </c>
      <c r="Q46" s="773">
        <f t="shared" si="4"/>
        <v>41882000000</v>
      </c>
      <c r="R46" s="773">
        <f t="shared" si="4"/>
        <v>41882000000</v>
      </c>
      <c r="S46" s="773">
        <f t="shared" si="4"/>
        <v>50257000000</v>
      </c>
      <c r="T46" s="773">
        <f t="shared" si="4"/>
        <v>47857000000</v>
      </c>
      <c r="U46" s="773">
        <f t="shared" si="4"/>
        <v>47857000000</v>
      </c>
    </row>
    <row r="47" spans="5:21" ht="20.100000000000001" hidden="1" customHeight="1">
      <c r="E47" s="769" t="s">
        <v>1304</v>
      </c>
      <c r="F47" s="772">
        <f t="shared" si="3"/>
        <v>17</v>
      </c>
      <c r="G47" s="773">
        <f>G20*10000+$B20</f>
        <v>200007000000</v>
      </c>
      <c r="H47" s="773">
        <f t="shared" ref="H47:U47" si="5">H20*10000+$B20</f>
        <v>190007000000</v>
      </c>
      <c r="I47" s="773">
        <f t="shared" si="5"/>
        <v>40007000000</v>
      </c>
      <c r="J47" s="773">
        <f t="shared" si="5"/>
        <v>200007000000</v>
      </c>
      <c r="K47" s="773">
        <f t="shared" si="5"/>
        <v>180007000000</v>
      </c>
      <c r="L47" s="773">
        <f t="shared" si="5"/>
        <v>200007000000</v>
      </c>
      <c r="M47" s="773">
        <f t="shared" si="5"/>
        <v>230007000000</v>
      </c>
      <c r="N47" s="773">
        <f t="shared" si="5"/>
        <v>200007000000</v>
      </c>
      <c r="O47" s="773">
        <f t="shared" si="5"/>
        <v>210007000000</v>
      </c>
      <c r="P47" s="773">
        <f t="shared" si="5"/>
        <v>7000000</v>
      </c>
      <c r="Q47" s="773">
        <f t="shared" si="5"/>
        <v>195007000000</v>
      </c>
      <c r="R47" s="773">
        <f t="shared" si="5"/>
        <v>200007000000</v>
      </c>
      <c r="S47" s="773">
        <f t="shared" si="5"/>
        <v>220007000000</v>
      </c>
      <c r="T47" s="773">
        <f t="shared" si="5"/>
        <v>200007000000</v>
      </c>
      <c r="U47" s="773">
        <f t="shared" si="5"/>
        <v>200007000000</v>
      </c>
    </row>
    <row r="48" spans="5:21" ht="20.100000000000001" hidden="1" customHeight="1">
      <c r="E48" s="769" t="s">
        <v>1305</v>
      </c>
      <c r="F48" s="772">
        <f t="shared" si="3"/>
        <v>18</v>
      </c>
      <c r="G48" s="773">
        <f t="shared" ref="G48:U48" si="6">G21*10000+$B21</f>
        <v>200007000000</v>
      </c>
      <c r="H48" s="773">
        <f t="shared" si="6"/>
        <v>190007000000</v>
      </c>
      <c r="I48" s="773">
        <f t="shared" si="6"/>
        <v>40007000000</v>
      </c>
      <c r="J48" s="773">
        <f t="shared" si="6"/>
        <v>200007000000</v>
      </c>
      <c r="K48" s="773">
        <f t="shared" si="6"/>
        <v>180007000000</v>
      </c>
      <c r="L48" s="773">
        <f t="shared" si="6"/>
        <v>200007000000</v>
      </c>
      <c r="M48" s="773">
        <f t="shared" si="6"/>
        <v>230007000000</v>
      </c>
      <c r="N48" s="773">
        <f t="shared" si="6"/>
        <v>200007000000</v>
      </c>
      <c r="O48" s="773">
        <f t="shared" si="6"/>
        <v>210007000000</v>
      </c>
      <c r="P48" s="773">
        <f t="shared" si="6"/>
        <v>7000000</v>
      </c>
      <c r="Q48" s="773">
        <f t="shared" si="6"/>
        <v>195007000000</v>
      </c>
      <c r="R48" s="773">
        <f t="shared" si="6"/>
        <v>200007000000</v>
      </c>
      <c r="S48" s="773">
        <f t="shared" si="6"/>
        <v>220007000000</v>
      </c>
      <c r="T48" s="773">
        <f t="shared" si="6"/>
        <v>200007000000</v>
      </c>
      <c r="U48" s="773">
        <f t="shared" si="6"/>
        <v>200007000000</v>
      </c>
    </row>
    <row r="49" spans="3:21" ht="20.100000000000001" hidden="1" customHeight="1">
      <c r="C49" s="489"/>
      <c r="D49" s="751"/>
      <c r="E49" s="770" t="s">
        <v>1374</v>
      </c>
      <c r="F49" s="772">
        <f t="shared" si="3"/>
        <v>19</v>
      </c>
      <c r="G49" s="773">
        <f t="shared" ref="G49:U52" si="7">G22*10000/2+$B22</f>
        <v>35457000000</v>
      </c>
      <c r="H49" s="773">
        <f t="shared" si="7"/>
        <v>38807000000</v>
      </c>
      <c r="I49" s="773">
        <f t="shared" si="7"/>
        <v>20007000000</v>
      </c>
      <c r="J49" s="773">
        <f t="shared" si="7"/>
        <v>39032000000</v>
      </c>
      <c r="K49" s="773">
        <f t="shared" si="7"/>
        <v>39907000000</v>
      </c>
      <c r="L49" s="773">
        <f t="shared" si="7"/>
        <v>42132000000</v>
      </c>
      <c r="M49" s="773">
        <f t="shared" si="7"/>
        <v>46582000000</v>
      </c>
      <c r="N49" s="773">
        <f t="shared" si="7"/>
        <v>38807000000</v>
      </c>
      <c r="O49" s="773">
        <f t="shared" si="7"/>
        <v>39907000000</v>
      </c>
      <c r="P49" s="773">
        <f t="shared" si="7"/>
        <v>7000000</v>
      </c>
      <c r="Q49" s="773">
        <f t="shared" si="7"/>
        <v>38832000000</v>
      </c>
      <c r="R49" s="773">
        <f t="shared" si="7"/>
        <v>38807000000</v>
      </c>
      <c r="S49" s="773">
        <f t="shared" si="7"/>
        <v>46582000000</v>
      </c>
      <c r="T49" s="773">
        <f t="shared" si="7"/>
        <v>44357000000</v>
      </c>
      <c r="U49" s="773">
        <f t="shared" si="7"/>
        <v>44357000000</v>
      </c>
    </row>
    <row r="50" spans="3:21" ht="20.100000000000001" hidden="1" customHeight="1">
      <c r="E50" s="770" t="s">
        <v>1375</v>
      </c>
      <c r="F50" s="772">
        <f t="shared" si="3"/>
        <v>20</v>
      </c>
      <c r="G50" s="773">
        <f t="shared" si="7"/>
        <v>35456210000</v>
      </c>
      <c r="H50" s="773">
        <f t="shared" si="7"/>
        <v>38806210000</v>
      </c>
      <c r="I50" s="773">
        <f t="shared" si="7"/>
        <v>39906210000</v>
      </c>
      <c r="J50" s="773">
        <f t="shared" si="7"/>
        <v>39031210000</v>
      </c>
      <c r="K50" s="773">
        <f t="shared" si="7"/>
        <v>39906210000</v>
      </c>
      <c r="L50" s="773">
        <f t="shared" si="7"/>
        <v>42131210000</v>
      </c>
      <c r="M50" s="773">
        <f t="shared" si="7"/>
        <v>46581210000</v>
      </c>
      <c r="N50" s="773">
        <f t="shared" si="7"/>
        <v>38806210000</v>
      </c>
      <c r="O50" s="773">
        <f t="shared" si="7"/>
        <v>39906210000</v>
      </c>
      <c r="P50" s="773">
        <f t="shared" si="7"/>
        <v>6210000</v>
      </c>
      <c r="Q50" s="773">
        <f t="shared" si="7"/>
        <v>38831210000</v>
      </c>
      <c r="R50" s="773">
        <f t="shared" si="7"/>
        <v>38806210000</v>
      </c>
      <c r="S50" s="773">
        <f t="shared" si="7"/>
        <v>46581210000</v>
      </c>
      <c r="T50" s="773">
        <f t="shared" si="7"/>
        <v>44356210000</v>
      </c>
      <c r="U50" s="773">
        <f t="shared" si="7"/>
        <v>44356210000</v>
      </c>
    </row>
    <row r="51" spans="3:21" ht="20.100000000000001" hidden="1" customHeight="1">
      <c r="E51" s="770" t="s">
        <v>1376</v>
      </c>
      <c r="F51" s="772">
        <f t="shared" si="3"/>
        <v>21</v>
      </c>
      <c r="G51" s="773">
        <f t="shared" si="7"/>
        <v>17052990000</v>
      </c>
      <c r="H51" s="773">
        <f t="shared" si="7"/>
        <v>18677990000</v>
      </c>
      <c r="I51" s="773">
        <f t="shared" si="7"/>
        <v>19202990000</v>
      </c>
      <c r="J51" s="773">
        <f t="shared" si="7"/>
        <v>18777990000</v>
      </c>
      <c r="K51" s="773">
        <f t="shared" si="7"/>
        <v>19202990000</v>
      </c>
      <c r="L51" s="773">
        <f t="shared" si="7"/>
        <v>20277990000</v>
      </c>
      <c r="M51" s="773">
        <f t="shared" si="7"/>
        <v>22427990000</v>
      </c>
      <c r="N51" s="773">
        <f t="shared" si="7"/>
        <v>18677990000</v>
      </c>
      <c r="O51" s="773">
        <f t="shared" si="7"/>
        <v>19202990000</v>
      </c>
      <c r="P51" s="773">
        <f t="shared" si="7"/>
        <v>2990000</v>
      </c>
      <c r="Q51" s="773">
        <f t="shared" si="7"/>
        <v>18702990000</v>
      </c>
      <c r="R51" s="773">
        <f t="shared" si="7"/>
        <v>18677990000</v>
      </c>
      <c r="S51" s="773">
        <f t="shared" si="7"/>
        <v>22427990000</v>
      </c>
      <c r="T51" s="773">
        <f t="shared" si="7"/>
        <v>21352990000</v>
      </c>
      <c r="U51" s="773">
        <f t="shared" si="7"/>
        <v>21352990000</v>
      </c>
    </row>
    <row r="52" spans="3:21" ht="20.100000000000001" hidden="1" customHeight="1">
      <c r="E52" s="771" t="s">
        <v>1377</v>
      </c>
      <c r="F52" s="772">
        <f t="shared" si="3"/>
        <v>22</v>
      </c>
      <c r="G52" s="773">
        <f t="shared" si="7"/>
        <v>16002800000</v>
      </c>
      <c r="H52" s="773">
        <f t="shared" si="7"/>
        <v>17502800000</v>
      </c>
      <c r="I52" s="773">
        <f t="shared" si="7"/>
        <v>18002800000</v>
      </c>
      <c r="J52" s="773">
        <f t="shared" si="7"/>
        <v>17602800000</v>
      </c>
      <c r="K52" s="773">
        <f t="shared" si="7"/>
        <v>18002800000</v>
      </c>
      <c r="L52" s="773">
        <f t="shared" si="7"/>
        <v>19002800000</v>
      </c>
      <c r="M52" s="773">
        <f t="shared" si="7"/>
        <v>21477800000</v>
      </c>
      <c r="N52" s="773">
        <f t="shared" si="7"/>
        <v>17502800000</v>
      </c>
      <c r="O52" s="773">
        <f t="shared" si="7"/>
        <v>18002800000</v>
      </c>
      <c r="P52" s="773">
        <f t="shared" si="7"/>
        <v>2800000</v>
      </c>
      <c r="Q52" s="773">
        <f t="shared" si="7"/>
        <v>17502800000</v>
      </c>
      <c r="R52" s="773">
        <f t="shared" si="7"/>
        <v>17502800000</v>
      </c>
      <c r="S52" s="773">
        <f t="shared" si="7"/>
        <v>21002800000</v>
      </c>
      <c r="T52" s="773">
        <f t="shared" si="7"/>
        <v>19977800000</v>
      </c>
      <c r="U52" s="773">
        <f t="shared" si="7"/>
        <v>20002800000</v>
      </c>
    </row>
    <row r="53" spans="3:21" ht="20.100000000000001" hidden="1" customHeight="1"/>
    <row r="54" spans="3:21" ht="20.100000000000001" hidden="1" customHeight="1"/>
    <row r="55" spans="3:21" ht="20.100000000000001" hidden="1" customHeight="1"/>
    <row r="56" spans="3:21" ht="20.100000000000001" hidden="1" customHeight="1"/>
    <row r="57" spans="3:21" ht="20.100000000000001" hidden="1" customHeight="1"/>
    <row r="58" spans="3:21" ht="20.100000000000001" hidden="1" customHeight="1"/>
    <row r="59" spans="3:21" ht="20.100000000000001" hidden="1" customHeight="1"/>
    <row r="60" spans="3:21" ht="20.100000000000001" hidden="1" customHeight="1"/>
    <row r="61" spans="3:21" ht="20.100000000000001" hidden="1" customHeight="1"/>
    <row r="62" spans="3:21" ht="20.100000000000001" hidden="1" customHeight="1"/>
    <row r="63" spans="3:21" ht="20.100000000000001" hidden="1" customHeight="1"/>
    <row r="64" spans="3:21" ht="20.100000000000001" hidden="1" customHeight="1"/>
    <row r="65" spans="3:9" ht="20.100000000000001" hidden="1" customHeight="1"/>
    <row r="66" spans="3:9" ht="20.100000000000001" hidden="1" customHeight="1"/>
    <row r="67" spans="3:9" ht="20.100000000000001" hidden="1" customHeight="1"/>
    <row r="68" spans="3:9" ht="20.100000000000001" hidden="1" customHeight="1"/>
    <row r="69" spans="3:9" ht="20.100000000000001" hidden="1" customHeight="1"/>
    <row r="70" spans="3:9" ht="20.100000000000001" hidden="1" customHeight="1"/>
    <row r="71" spans="3:9" ht="20.100000000000001" hidden="1" customHeight="1"/>
    <row r="72" spans="3:9" ht="20.100000000000001" hidden="1" customHeight="1"/>
    <row r="73" spans="3:9" ht="20.100000000000001" hidden="1" customHeight="1"/>
    <row r="74" spans="3:9" ht="20.100000000000001" hidden="1" customHeight="1"/>
    <row r="75" spans="3:9" ht="20.100000000000001" hidden="1" customHeight="1"/>
    <row r="76" spans="3:9" ht="20.100000000000001" hidden="1" customHeight="1"/>
    <row r="77" spans="3:9" ht="20.100000000000001" hidden="1" customHeight="1"/>
    <row r="78" spans="3:9" ht="20.100000000000001" hidden="1" customHeight="1"/>
    <row r="79" spans="3:9" ht="20.100000000000001" hidden="1" customHeight="1">
      <c r="C79" s="489" t="s">
        <v>1310</v>
      </c>
      <c r="D79" s="752"/>
      <c r="E79" s="751"/>
      <c r="F79" s="751"/>
      <c r="G79" s="751"/>
      <c r="H79" s="751"/>
      <c r="I79" s="751"/>
    </row>
    <row r="80" spans="3:9" ht="20.100000000000001" hidden="1" customHeight="1">
      <c r="C80" s="753" t="s">
        <v>1311</v>
      </c>
      <c r="D80" s="753" t="s">
        <v>1312</v>
      </c>
      <c r="E80" s="753" t="s">
        <v>1313</v>
      </c>
      <c r="F80" s="753" t="s">
        <v>1314</v>
      </c>
      <c r="G80" s="753" t="s">
        <v>1315</v>
      </c>
      <c r="H80" s="753" t="s">
        <v>1316</v>
      </c>
    </row>
    <row r="81" spans="3:8" ht="20.100000000000001" hidden="1" customHeight="1">
      <c r="C81" s="752" t="s">
        <v>1317</v>
      </c>
      <c r="D81" s="752" t="s">
        <v>1318</v>
      </c>
      <c r="E81" s="754" t="s">
        <v>1319</v>
      </c>
      <c r="F81" s="752" t="s">
        <v>1320</v>
      </c>
      <c r="G81" s="752"/>
      <c r="H81" t="s">
        <v>1321</v>
      </c>
    </row>
    <row r="82" spans="3:8" ht="20.100000000000001" hidden="1" customHeight="1">
      <c r="C82" s="752" t="s">
        <v>1322</v>
      </c>
      <c r="D82" s="752" t="s">
        <v>1323</v>
      </c>
      <c r="E82" s="754" t="s">
        <v>1324</v>
      </c>
      <c r="F82" s="752"/>
      <c r="G82" s="752"/>
      <c r="H82" t="s">
        <v>1325</v>
      </c>
    </row>
    <row r="83" spans="3:8" ht="20.100000000000001" hidden="1" customHeight="1">
      <c r="C83" s="752" t="s">
        <v>1322</v>
      </c>
      <c r="D83" s="752" t="s">
        <v>1318</v>
      </c>
      <c r="E83" s="754" t="s">
        <v>1326</v>
      </c>
      <c r="F83" s="752" t="s">
        <v>1320</v>
      </c>
      <c r="G83" s="752"/>
      <c r="H83" t="s">
        <v>1325</v>
      </c>
    </row>
    <row r="84" spans="3:8" ht="20.100000000000001" hidden="1" customHeight="1">
      <c r="C84" s="752" t="s">
        <v>1322</v>
      </c>
      <c r="D84" s="752" t="s">
        <v>1318</v>
      </c>
      <c r="E84" s="754" t="s">
        <v>1327</v>
      </c>
      <c r="H84" t="s">
        <v>1325</v>
      </c>
    </row>
    <row r="85" spans="3:8" ht="20.100000000000001" hidden="1" customHeight="1">
      <c r="C85" s="752" t="s">
        <v>1328</v>
      </c>
      <c r="D85" s="752" t="s">
        <v>1330</v>
      </c>
      <c r="E85" s="754" t="s">
        <v>1319</v>
      </c>
      <c r="F85" s="752" t="s">
        <v>1331</v>
      </c>
      <c r="H85" t="s">
        <v>1332</v>
      </c>
    </row>
    <row r="86" spans="3:8" ht="20.100000000000001" hidden="1" customHeight="1">
      <c r="C86" s="752" t="s">
        <v>1328</v>
      </c>
      <c r="D86" s="752" t="s">
        <v>1330</v>
      </c>
      <c r="E86" s="754" t="s">
        <v>1333</v>
      </c>
      <c r="F86" s="752"/>
      <c r="H86" t="s">
        <v>1332</v>
      </c>
    </row>
    <row r="87" spans="3:8" ht="20.100000000000001" hidden="1" customHeight="1">
      <c r="C87" s="752" t="s">
        <v>1322</v>
      </c>
      <c r="D87" s="752" t="s">
        <v>1334</v>
      </c>
      <c r="E87" s="754" t="s">
        <v>1326</v>
      </c>
      <c r="F87" s="752" t="s">
        <v>1331</v>
      </c>
      <c r="H87" t="s">
        <v>1335</v>
      </c>
    </row>
    <row r="88" spans="3:8" ht="20.100000000000001" hidden="1" customHeight="1">
      <c r="C88" s="752" t="s">
        <v>1322</v>
      </c>
      <c r="D88" s="752" t="s">
        <v>1330</v>
      </c>
      <c r="E88" s="754" t="s">
        <v>1336</v>
      </c>
      <c r="H88" t="s">
        <v>1335</v>
      </c>
    </row>
    <row r="89" spans="3:8" ht="20.100000000000001" hidden="1" customHeight="1"/>
    <row r="90" spans="3:8" ht="20.100000000000001" hidden="1" customHeight="1">
      <c r="C90" s="489" t="s">
        <v>1337</v>
      </c>
    </row>
    <row r="91" spans="3:8" ht="20.100000000000001" hidden="1" customHeight="1">
      <c r="C91" s="755" t="s">
        <v>1338</v>
      </c>
      <c r="D91" s="755" t="s">
        <v>1339</v>
      </c>
      <c r="E91" s="756" t="s">
        <v>1340</v>
      </c>
      <c r="F91" s="755" t="s">
        <v>1314</v>
      </c>
      <c r="G91" s="755" t="s">
        <v>1315</v>
      </c>
      <c r="H91" s="755" t="s">
        <v>1341</v>
      </c>
    </row>
    <row r="92" spans="3:8" ht="20.100000000000001" hidden="1" customHeight="1">
      <c r="C92" t="s">
        <v>1343</v>
      </c>
      <c r="D92" t="s">
        <v>1334</v>
      </c>
      <c r="E92" s="757" t="s">
        <v>1344</v>
      </c>
      <c r="F92" t="s">
        <v>1345</v>
      </c>
      <c r="H92" t="s">
        <v>1332</v>
      </c>
    </row>
    <row r="93" spans="3:8" ht="20.100000000000001" hidden="1" customHeight="1">
      <c r="C93" t="s">
        <v>1346</v>
      </c>
      <c r="D93" t="s">
        <v>1334</v>
      </c>
      <c r="E93" s="757" t="s">
        <v>1344</v>
      </c>
      <c r="H93" t="s">
        <v>1335</v>
      </c>
    </row>
    <row r="94" spans="3:8" ht="20.100000000000001" hidden="1" customHeight="1">
      <c r="C94" t="s">
        <v>1346</v>
      </c>
      <c r="D94" t="s">
        <v>1329</v>
      </c>
      <c r="E94" s="757" t="s">
        <v>1347</v>
      </c>
      <c r="F94" t="s">
        <v>1348</v>
      </c>
      <c r="H94" t="s">
        <v>1335</v>
      </c>
    </row>
    <row r="95" spans="3:8" ht="20.100000000000001" hidden="1" customHeight="1">
      <c r="C95" t="s">
        <v>1343</v>
      </c>
      <c r="D95" t="s">
        <v>1334</v>
      </c>
      <c r="E95" s="757" t="s">
        <v>1349</v>
      </c>
      <c r="H95" t="s">
        <v>1350</v>
      </c>
    </row>
    <row r="96" spans="3:8" ht="20.100000000000001" hidden="1" customHeight="1">
      <c r="C96" t="s">
        <v>1343</v>
      </c>
      <c r="D96" t="s">
        <v>1330</v>
      </c>
      <c r="E96" s="757" t="s">
        <v>1351</v>
      </c>
      <c r="F96" t="s">
        <v>1348</v>
      </c>
      <c r="H96" t="s">
        <v>1332</v>
      </c>
    </row>
    <row r="97" spans="3:8" ht="20.100000000000001" hidden="1" customHeight="1">
      <c r="C97" t="s">
        <v>1352</v>
      </c>
      <c r="D97" t="s">
        <v>1334</v>
      </c>
      <c r="E97" s="757" t="s">
        <v>1353</v>
      </c>
      <c r="H97" t="s">
        <v>1335</v>
      </c>
    </row>
    <row r="98" spans="3:8" ht="20.100000000000001" hidden="1" customHeight="1">
      <c r="C98" t="s">
        <v>1342</v>
      </c>
      <c r="D98" t="s">
        <v>1318</v>
      </c>
      <c r="E98" s="757" t="s">
        <v>1354</v>
      </c>
      <c r="F98" t="s">
        <v>1345</v>
      </c>
      <c r="H98" t="s">
        <v>1325</v>
      </c>
    </row>
    <row r="99" spans="3:8" ht="20.100000000000001" hidden="1" customHeight="1">
      <c r="C99" t="s">
        <v>1343</v>
      </c>
      <c r="D99" t="s">
        <v>1318</v>
      </c>
      <c r="E99" s="757" t="s">
        <v>1354</v>
      </c>
      <c r="H99" t="s">
        <v>1325</v>
      </c>
    </row>
    <row r="100" spans="3:8" ht="20.100000000000001" hidden="1" customHeight="1">
      <c r="C100" t="s">
        <v>1346</v>
      </c>
      <c r="D100" t="s">
        <v>1323</v>
      </c>
      <c r="E100" s="757" t="s">
        <v>1355</v>
      </c>
      <c r="F100" t="s">
        <v>1356</v>
      </c>
      <c r="H100" t="s">
        <v>1321</v>
      </c>
    </row>
    <row r="101" spans="3:8" ht="20.100000000000001" hidden="1" customHeight="1">
      <c r="C101" t="s">
        <v>1352</v>
      </c>
      <c r="D101" t="s">
        <v>1323</v>
      </c>
      <c r="E101" s="757" t="s">
        <v>1344</v>
      </c>
      <c r="H101" t="s">
        <v>1321</v>
      </c>
    </row>
    <row r="102" spans="3:8" ht="20.100000000000001" hidden="1" customHeight="1">
      <c r="C102" t="s">
        <v>1343</v>
      </c>
      <c r="D102" t="s">
        <v>1323</v>
      </c>
      <c r="E102" s="757" t="s">
        <v>1349</v>
      </c>
      <c r="F102" t="s">
        <v>1356</v>
      </c>
      <c r="H102" t="s">
        <v>1357</v>
      </c>
    </row>
    <row r="103" spans="3:8" ht="20.100000000000001" hidden="1" customHeight="1">
      <c r="C103" t="s">
        <v>1343</v>
      </c>
      <c r="D103" t="s">
        <v>1323</v>
      </c>
      <c r="E103" s="757" t="s">
        <v>1349</v>
      </c>
      <c r="H103" t="s">
        <v>1325</v>
      </c>
    </row>
    <row r="104" spans="3:8" ht="20.100000000000001" hidden="1" customHeight="1">
      <c r="C104" t="s">
        <v>1343</v>
      </c>
      <c r="D104" t="s">
        <v>1323</v>
      </c>
      <c r="E104" s="757" t="s">
        <v>1351</v>
      </c>
      <c r="F104" t="s">
        <v>1356</v>
      </c>
      <c r="H104" t="s">
        <v>1321</v>
      </c>
    </row>
    <row r="105" spans="3:8" ht="20.100000000000001" hidden="1" customHeight="1">
      <c r="C105" t="s">
        <v>1352</v>
      </c>
      <c r="D105" t="s">
        <v>1318</v>
      </c>
      <c r="E105" s="757" t="s">
        <v>1353</v>
      </c>
      <c r="H105" t="s">
        <v>1325</v>
      </c>
    </row>
    <row r="106" spans="3:8" ht="20.100000000000001" hidden="1" customHeight="1">
      <c r="C106" t="s">
        <v>1343</v>
      </c>
      <c r="D106" t="s">
        <v>1358</v>
      </c>
      <c r="F106" t="s">
        <v>1348</v>
      </c>
      <c r="H106" s="758" t="s">
        <v>1359</v>
      </c>
    </row>
  </sheetData>
  <autoFilter ref="B3:W19" xr:uid="{00000000-0009-0000-0000-000012000000}">
    <sortState xmlns:xlrd2="http://schemas.microsoft.com/office/spreadsheetml/2017/richdata2" ref="B4:W19">
      <sortCondition ref="F3:F19"/>
    </sortState>
  </autoFilter>
  <phoneticPr fontId="2" type="noConversion"/>
  <pageMargins left="0.7" right="0.7" top="0.75" bottom="0.75" header="0.3" footer="0.3"/>
  <pageSetup paperSize="9" orientation="portrait" verticalDpi="0"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dimension ref="A2:G43"/>
  <sheetViews>
    <sheetView showGridLines="0" view="pageBreakPreview" zoomScale="115" zoomScaleNormal="85" zoomScaleSheetLayoutView="115" workbookViewId="0"/>
  </sheetViews>
  <sheetFormatPr defaultRowHeight="16.5"/>
  <cols>
    <col min="2" max="2" width="42.5" customWidth="1"/>
    <col min="7" max="7" width="14.375" style="625" customWidth="1"/>
    <col min="8" max="8" width="77.75" customWidth="1"/>
  </cols>
  <sheetData>
    <row r="2" spans="1:5" ht="24.95" customHeight="1">
      <c r="A2" s="858" t="s">
        <v>1561</v>
      </c>
      <c r="B2" s="859"/>
      <c r="C2" s="859"/>
      <c r="D2" s="859"/>
      <c r="E2" s="859"/>
    </row>
    <row r="4" spans="1:5" ht="22.5">
      <c r="A4" s="860" t="s">
        <v>1562</v>
      </c>
      <c r="B4" s="861" t="s">
        <v>1563</v>
      </c>
      <c r="C4" s="861" t="s">
        <v>1564</v>
      </c>
      <c r="D4" s="861" t="s">
        <v>1565</v>
      </c>
      <c r="E4" s="862" t="s">
        <v>1566</v>
      </c>
    </row>
    <row r="5" spans="1:5">
      <c r="A5" s="2520" t="s">
        <v>1567</v>
      </c>
      <c r="B5" s="863" t="s">
        <v>1568</v>
      </c>
      <c r="C5" s="863">
        <v>700</v>
      </c>
      <c r="D5" s="863">
        <v>400</v>
      </c>
      <c r="E5" s="864">
        <v>1100</v>
      </c>
    </row>
    <row r="6" spans="1:5">
      <c r="A6" s="2520"/>
      <c r="B6" s="863" t="s">
        <v>1569</v>
      </c>
      <c r="C6" s="863">
        <v>700</v>
      </c>
      <c r="D6" s="863">
        <v>400</v>
      </c>
      <c r="E6" s="864">
        <v>1100</v>
      </c>
    </row>
    <row r="7" spans="1:5">
      <c r="A7" s="2520"/>
      <c r="B7" s="863" t="s">
        <v>1570</v>
      </c>
      <c r="C7" s="863">
        <v>700</v>
      </c>
      <c r="D7" s="863">
        <v>400</v>
      </c>
      <c r="E7" s="864">
        <v>1100</v>
      </c>
    </row>
    <row r="8" spans="1:5">
      <c r="A8" s="2520"/>
      <c r="B8" s="863" t="s">
        <v>1571</v>
      </c>
      <c r="C8" s="863">
        <v>700</v>
      </c>
      <c r="D8" s="863">
        <v>400</v>
      </c>
      <c r="E8" s="864">
        <v>1100</v>
      </c>
    </row>
    <row r="9" spans="1:5">
      <c r="A9" s="2520" t="s">
        <v>1572</v>
      </c>
      <c r="B9" s="863" t="s">
        <v>1573</v>
      </c>
      <c r="C9" s="863">
        <v>676</v>
      </c>
      <c r="D9" s="863">
        <v>386</v>
      </c>
      <c r="E9" s="864">
        <v>1062</v>
      </c>
    </row>
    <row r="10" spans="1:5">
      <c r="A10" s="2520"/>
      <c r="B10" s="863" t="s">
        <v>1574</v>
      </c>
      <c r="C10" s="863">
        <v>700</v>
      </c>
      <c r="D10" s="863">
        <v>400</v>
      </c>
      <c r="E10" s="864">
        <v>1100</v>
      </c>
    </row>
    <row r="11" spans="1:5">
      <c r="A11" s="2520"/>
      <c r="B11" s="863" t="s">
        <v>1575</v>
      </c>
      <c r="C11" s="863">
        <v>671</v>
      </c>
      <c r="D11" s="863">
        <v>383</v>
      </c>
      <c r="E11" s="864">
        <v>1054</v>
      </c>
    </row>
    <row r="12" spans="1:5">
      <c r="A12" s="865"/>
      <c r="B12" s="865"/>
      <c r="C12" s="865"/>
      <c r="D12" s="865"/>
      <c r="E12" s="866"/>
    </row>
    <row r="13" spans="1:5" ht="24.95" customHeight="1">
      <c r="A13" s="858" t="s">
        <v>1561</v>
      </c>
      <c r="B13" s="859"/>
      <c r="C13" s="859"/>
      <c r="D13" s="859"/>
      <c r="E13" s="859"/>
    </row>
    <row r="14" spans="1:5">
      <c r="A14" s="2520" t="s">
        <v>1576</v>
      </c>
      <c r="B14" s="863" t="s">
        <v>1577</v>
      </c>
      <c r="C14" s="863">
        <v>690</v>
      </c>
      <c r="D14" s="863">
        <v>394</v>
      </c>
      <c r="E14" s="864">
        <v>1084</v>
      </c>
    </row>
    <row r="15" spans="1:5">
      <c r="A15" s="2520"/>
      <c r="B15" s="863" t="s">
        <v>1578</v>
      </c>
      <c r="C15" s="863">
        <v>700</v>
      </c>
      <c r="D15" s="863">
        <v>400</v>
      </c>
      <c r="E15" s="864">
        <v>1100</v>
      </c>
    </row>
    <row r="16" spans="1:5">
      <c r="A16" s="2520"/>
      <c r="B16" s="863" t="s">
        <v>1579</v>
      </c>
      <c r="C16" s="863">
        <v>700</v>
      </c>
      <c r="D16" s="863">
        <v>400</v>
      </c>
      <c r="E16" s="864">
        <v>1100</v>
      </c>
    </row>
    <row r="17" spans="1:5">
      <c r="A17" s="2520"/>
      <c r="B17" s="863"/>
      <c r="C17" s="863"/>
      <c r="D17" s="863"/>
      <c r="E17" s="864"/>
    </row>
    <row r="18" spans="1:5">
      <c r="A18" s="2520" t="s">
        <v>1580</v>
      </c>
      <c r="B18" s="863" t="s">
        <v>1581</v>
      </c>
      <c r="C18" s="863">
        <v>700</v>
      </c>
      <c r="D18" s="863">
        <v>400</v>
      </c>
      <c r="E18" s="864">
        <v>1100</v>
      </c>
    </row>
    <row r="19" spans="1:5">
      <c r="A19" s="2520"/>
      <c r="B19" s="863" t="s">
        <v>1582</v>
      </c>
      <c r="C19" s="863">
        <v>700</v>
      </c>
      <c r="D19" s="863">
        <v>400</v>
      </c>
      <c r="E19" s="864">
        <v>1100</v>
      </c>
    </row>
    <row r="20" spans="1:5">
      <c r="A20" s="2520"/>
      <c r="B20" s="863"/>
      <c r="C20" s="863"/>
      <c r="D20" s="863"/>
      <c r="E20" s="864"/>
    </row>
    <row r="21" spans="1:5">
      <c r="A21" s="867"/>
      <c r="B21" s="867"/>
      <c r="C21" s="867"/>
      <c r="D21" s="867"/>
      <c r="E21" s="868"/>
    </row>
    <row r="22" spans="1:5" ht="24.95" customHeight="1">
      <c r="A22" s="858" t="s">
        <v>1561</v>
      </c>
      <c r="B22" s="859"/>
      <c r="C22" s="859"/>
      <c r="D22" s="859"/>
      <c r="E22" s="859"/>
    </row>
    <row r="24" spans="1:5" ht="22.5">
      <c r="A24" s="860" t="s">
        <v>1562</v>
      </c>
      <c r="B24" s="861" t="s">
        <v>1563</v>
      </c>
      <c r="C24" s="861" t="s">
        <v>1564</v>
      </c>
      <c r="D24" s="861" t="s">
        <v>1565</v>
      </c>
      <c r="E24" s="862" t="s">
        <v>1566</v>
      </c>
    </row>
    <row r="25" spans="1:5" ht="22.5">
      <c r="A25" s="869" t="s">
        <v>1583</v>
      </c>
      <c r="B25" s="863" t="s">
        <v>1584</v>
      </c>
      <c r="C25" s="863">
        <v>350</v>
      </c>
      <c r="D25" s="863">
        <v>200</v>
      </c>
      <c r="E25" s="870">
        <v>550</v>
      </c>
    </row>
    <row r="26" spans="1:5">
      <c r="A26" s="2520" t="s">
        <v>1585</v>
      </c>
      <c r="B26" s="863" t="s">
        <v>1586</v>
      </c>
      <c r="C26" s="863">
        <v>349</v>
      </c>
      <c r="D26" s="863">
        <v>199</v>
      </c>
      <c r="E26" s="870">
        <v>548</v>
      </c>
    </row>
    <row r="27" spans="1:5">
      <c r="A27" s="2520"/>
      <c r="B27" s="863" t="s">
        <v>1587</v>
      </c>
      <c r="C27" s="863">
        <v>336</v>
      </c>
      <c r="D27" s="863">
        <v>192</v>
      </c>
      <c r="E27" s="870">
        <v>528</v>
      </c>
    </row>
    <row r="28" spans="1:5">
      <c r="A28" s="2521"/>
      <c r="B28" s="871" t="s">
        <v>1588</v>
      </c>
      <c r="C28" s="871">
        <v>319</v>
      </c>
      <c r="D28" s="871">
        <v>182</v>
      </c>
      <c r="E28" s="872">
        <v>501</v>
      </c>
    </row>
    <row r="29" spans="1:5">
      <c r="A29" s="867"/>
      <c r="B29" s="867"/>
      <c r="C29" s="867"/>
      <c r="D29" s="867"/>
      <c r="E29" s="867"/>
    </row>
    <row r="30" spans="1:5" ht="24.95" customHeight="1">
      <c r="A30" s="858" t="s">
        <v>1561</v>
      </c>
      <c r="B30" s="859"/>
      <c r="C30" s="859"/>
      <c r="D30" s="859"/>
      <c r="E30" s="859"/>
    </row>
    <row r="32" spans="1:5" ht="22.5">
      <c r="A32" s="860" t="s">
        <v>1562</v>
      </c>
      <c r="B32" s="861" t="s">
        <v>1563</v>
      </c>
      <c r="C32" s="861" t="s">
        <v>1564</v>
      </c>
      <c r="D32" s="861" t="s">
        <v>1565</v>
      </c>
      <c r="E32" s="862" t="s">
        <v>1566</v>
      </c>
    </row>
    <row r="33" spans="1:5">
      <c r="A33" s="869" t="s">
        <v>1589</v>
      </c>
      <c r="B33" s="863" t="s">
        <v>1590</v>
      </c>
      <c r="C33" s="863">
        <v>700</v>
      </c>
      <c r="D33" s="863">
        <v>400</v>
      </c>
      <c r="E33" s="864">
        <v>1100</v>
      </c>
    </row>
    <row r="34" spans="1:5">
      <c r="A34" s="2520" t="s">
        <v>1591</v>
      </c>
      <c r="B34" s="863" t="s">
        <v>1592</v>
      </c>
      <c r="C34" s="863">
        <v>700</v>
      </c>
      <c r="D34" s="863">
        <v>400</v>
      </c>
      <c r="E34" s="864">
        <v>1100</v>
      </c>
    </row>
    <row r="35" spans="1:5">
      <c r="A35" s="2520"/>
      <c r="B35" s="863" t="s">
        <v>1593</v>
      </c>
      <c r="C35" s="863">
        <v>700</v>
      </c>
      <c r="D35" s="863">
        <v>400</v>
      </c>
      <c r="E35" s="864">
        <v>1100</v>
      </c>
    </row>
    <row r="36" spans="1:5">
      <c r="A36" s="2520"/>
      <c r="B36" s="863" t="s">
        <v>1594</v>
      </c>
      <c r="C36" s="863">
        <v>700</v>
      </c>
      <c r="D36" s="863">
        <v>400</v>
      </c>
      <c r="E36" s="864">
        <v>1100</v>
      </c>
    </row>
    <row r="37" spans="1:5">
      <c r="A37" s="2520" t="s">
        <v>1595</v>
      </c>
      <c r="B37" s="863" t="s">
        <v>1596</v>
      </c>
      <c r="C37" s="863">
        <v>700</v>
      </c>
      <c r="D37" s="863">
        <v>400</v>
      </c>
      <c r="E37" s="864">
        <v>1100</v>
      </c>
    </row>
    <row r="38" spans="1:5">
      <c r="A38" s="2520"/>
      <c r="B38" s="863" t="s">
        <v>1597</v>
      </c>
      <c r="C38" s="863">
        <v>700</v>
      </c>
      <c r="D38" s="863">
        <v>400</v>
      </c>
      <c r="E38" s="864">
        <v>1100</v>
      </c>
    </row>
    <row r="39" spans="1:5">
      <c r="A39" s="2521"/>
      <c r="B39" s="871" t="s">
        <v>1598</v>
      </c>
      <c r="C39" s="871">
        <v>700</v>
      </c>
      <c r="D39" s="871">
        <v>400</v>
      </c>
      <c r="E39" s="873">
        <v>1100</v>
      </c>
    </row>
    <row r="41" spans="1:5" ht="186" customHeight="1"/>
    <row r="42" spans="1:5" ht="132" customHeight="1"/>
    <row r="43" spans="1:5" ht="186.75" customHeight="1"/>
  </sheetData>
  <mergeCells count="7">
    <mergeCell ref="A37:A39"/>
    <mergeCell ref="A5:A8"/>
    <mergeCell ref="A9:A11"/>
    <mergeCell ref="A14:A17"/>
    <mergeCell ref="A18:A20"/>
    <mergeCell ref="A26:A28"/>
    <mergeCell ref="A34:A36"/>
  </mergeCells>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견적이동">
                <anchor moveWithCells="1" sizeWithCells="1">
                  <from>
                    <xdr:col>5</xdr:col>
                    <xdr:colOff>38100</xdr:colOff>
                    <xdr:row>0</xdr:row>
                    <xdr:rowOff>38100</xdr:rowOff>
                  </from>
                  <to>
                    <xdr:col>6</xdr:col>
                    <xdr:colOff>1028700</xdr:colOff>
                    <xdr:row>2</xdr:row>
                    <xdr:rowOff>28575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8ED66F48-9262-4D23-8047-9799DDAF66A9}">
            <xm:f>운용리스_단일!$AS$9&gt;0</xm:f>
            <x14:dxf>
              <font>
                <color theme="0"/>
              </font>
              <fill>
                <patternFill patternType="none">
                  <bgColor auto="1"/>
                </patternFill>
              </fill>
              <border>
                <left/>
                <right/>
                <top/>
                <bottom/>
                <vertical/>
                <horizontal/>
              </border>
            </x14:dxf>
          </x14:cfRule>
          <xm:sqref>A1:E1048576</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5">
    <tabColor theme="6" tint="0.59999389629810485"/>
  </sheetPr>
  <dimension ref="B1:AA27"/>
  <sheetViews>
    <sheetView showGridLines="0" workbookViewId="0">
      <selection activeCell="E14" sqref="E14"/>
    </sheetView>
  </sheetViews>
  <sheetFormatPr defaultRowHeight="16.5"/>
  <cols>
    <col min="1" max="1" width="1" style="465" customWidth="1"/>
    <col min="2" max="2" width="11" style="465" bestFit="1" customWidth="1"/>
    <col min="3" max="3" width="13" style="465" customWidth="1"/>
    <col min="4" max="4" width="10" style="465" customWidth="1"/>
    <col min="5" max="5" width="16.625" style="465" bestFit="1" customWidth="1"/>
    <col min="6" max="6" width="11.625" style="465" bestFit="1" customWidth="1"/>
    <col min="7" max="9" width="10.875" style="465" bestFit="1" customWidth="1"/>
    <col min="10" max="10" width="24" style="465" bestFit="1" customWidth="1"/>
    <col min="11" max="14" width="0.75" style="709" customWidth="1"/>
    <col min="15" max="15" width="11" style="465" customWidth="1"/>
    <col min="16" max="16" width="9.25" style="465" bestFit="1" customWidth="1"/>
    <col min="17" max="17" width="9.375" style="465" bestFit="1" customWidth="1"/>
    <col min="18" max="18" width="20.625" style="465" bestFit="1" customWidth="1"/>
    <col min="19" max="19" width="31.25" style="465" bestFit="1" customWidth="1"/>
    <col min="20" max="20" width="9" style="465"/>
    <col min="21" max="21" width="12.75" style="465" customWidth="1"/>
    <col min="22" max="22" width="9" style="465" customWidth="1"/>
    <col min="23" max="16384" width="9" style="465"/>
  </cols>
  <sheetData>
    <row r="1" spans="2:27" ht="3" customHeight="1"/>
    <row r="2" spans="2:27" ht="20.25">
      <c r="B2" s="2522" t="s">
        <v>1232</v>
      </c>
      <c r="C2" s="2522"/>
      <c r="D2" s="2522"/>
      <c r="E2" s="2522"/>
      <c r="F2" s="2522"/>
      <c r="G2" s="2522"/>
      <c r="H2" s="2522"/>
      <c r="I2" s="2522"/>
      <c r="J2" s="2522"/>
      <c r="K2" s="710"/>
      <c r="L2" s="710"/>
      <c r="O2" s="2522" t="s">
        <v>1226</v>
      </c>
      <c r="P2" s="2522"/>
      <c r="Q2" s="2522"/>
      <c r="R2" s="2522"/>
      <c r="S2" s="2522"/>
      <c r="T2" s="706"/>
    </row>
    <row r="3" spans="2:27" ht="7.5" customHeight="1"/>
    <row r="4" spans="2:27" s="481" customFormat="1" ht="21.75" customHeight="1">
      <c r="B4" s="693"/>
      <c r="C4" s="693"/>
      <c r="D4" s="693"/>
      <c r="E4" s="693"/>
      <c r="F4" s="693"/>
      <c r="G4" s="479"/>
      <c r="H4" s="480"/>
      <c r="J4" s="480" t="s">
        <v>1233</v>
      </c>
      <c r="K4" s="711"/>
      <c r="L4" s="711"/>
      <c r="M4" s="711"/>
      <c r="N4" s="711"/>
      <c r="S4" s="480" t="s">
        <v>735</v>
      </c>
      <c r="W4" s="687"/>
      <c r="X4" s="687"/>
      <c r="Y4" s="687"/>
      <c r="Z4" s="687"/>
      <c r="AA4" s="687"/>
    </row>
    <row r="5" spans="2:27" s="479" customFormat="1" ht="30">
      <c r="B5" s="704" t="s">
        <v>808</v>
      </c>
      <c r="C5" s="704" t="s">
        <v>1173</v>
      </c>
      <c r="D5" s="704" t="s">
        <v>1174</v>
      </c>
      <c r="E5" s="704" t="s">
        <v>1175</v>
      </c>
      <c r="F5" s="704" t="s">
        <v>1176</v>
      </c>
      <c r="G5" s="704" t="s">
        <v>1177</v>
      </c>
      <c r="H5" s="704" t="s">
        <v>1178</v>
      </c>
      <c r="I5" s="704" t="s">
        <v>1179</v>
      </c>
      <c r="J5" s="704" t="s">
        <v>733</v>
      </c>
      <c r="K5" s="711"/>
      <c r="L5" s="711"/>
      <c r="M5" s="711"/>
      <c r="N5" s="711"/>
      <c r="O5" s="482" t="s">
        <v>736</v>
      </c>
      <c r="P5" s="482" t="s">
        <v>737</v>
      </c>
      <c r="Q5" s="482" t="s">
        <v>738</v>
      </c>
      <c r="R5" s="482" t="s">
        <v>739</v>
      </c>
      <c r="S5" s="482" t="s">
        <v>740</v>
      </c>
      <c r="W5" s="687"/>
      <c r="X5" s="687"/>
      <c r="Y5" s="687"/>
      <c r="Z5" s="687"/>
      <c r="AA5" s="687"/>
    </row>
    <row r="6" spans="2:27">
      <c r="B6" s="2523" t="s">
        <v>1180</v>
      </c>
      <c r="C6" s="2523" t="s">
        <v>1181</v>
      </c>
      <c r="D6" s="688" t="s">
        <v>1182</v>
      </c>
      <c r="E6" s="708">
        <v>110000</v>
      </c>
      <c r="F6" s="708">
        <v>55000</v>
      </c>
      <c r="G6" s="708">
        <v>0</v>
      </c>
      <c r="H6" s="708">
        <v>55000</v>
      </c>
      <c r="I6" s="708">
        <v>110000</v>
      </c>
      <c r="J6" s="705"/>
      <c r="K6" s="711"/>
      <c r="L6" s="711"/>
      <c r="M6" s="711"/>
      <c r="N6" s="711"/>
      <c r="O6" s="2532" t="s">
        <v>741</v>
      </c>
      <c r="P6" s="484" t="s">
        <v>742</v>
      </c>
      <c r="Q6" s="485" t="s">
        <v>743</v>
      </c>
      <c r="R6" s="483" t="s">
        <v>744</v>
      </c>
      <c r="S6" s="483"/>
      <c r="U6" s="486"/>
    </row>
    <row r="7" spans="2:27">
      <c r="B7" s="2523"/>
      <c r="C7" s="2523"/>
      <c r="D7" s="697" t="s">
        <v>2490</v>
      </c>
      <c r="E7" s="708">
        <v>165000</v>
      </c>
      <c r="F7" s="708">
        <v>165000</v>
      </c>
      <c r="G7" s="708">
        <v>110000</v>
      </c>
      <c r="H7" s="708">
        <f>I7/2</f>
        <v>82500</v>
      </c>
      <c r="I7" s="708">
        <v>165000</v>
      </c>
      <c r="J7" s="695"/>
      <c r="K7" s="711"/>
      <c r="L7" s="711"/>
      <c r="M7" s="711"/>
      <c r="N7" s="711"/>
      <c r="O7" s="2532"/>
      <c r="P7" s="484" t="s">
        <v>745</v>
      </c>
      <c r="Q7" s="487">
        <v>110000</v>
      </c>
      <c r="R7" s="483" t="s">
        <v>746</v>
      </c>
      <c r="S7" s="483" t="s">
        <v>747</v>
      </c>
      <c r="U7" s="486"/>
    </row>
    <row r="8" spans="2:27">
      <c r="B8" s="2523"/>
      <c r="C8" s="2524"/>
      <c r="D8" s="697" t="s">
        <v>1520</v>
      </c>
      <c r="E8" s="708">
        <v>220000</v>
      </c>
      <c r="F8" s="708">
        <f>E8+55000</f>
        <v>275000</v>
      </c>
      <c r="G8" s="708">
        <f>E8</f>
        <v>220000</v>
      </c>
      <c r="H8" s="708">
        <v>110000</v>
      </c>
      <c r="I8" s="708">
        <v>220000</v>
      </c>
      <c r="J8" s="695"/>
      <c r="K8" s="711"/>
      <c r="L8" s="711"/>
      <c r="M8" s="711"/>
      <c r="N8" s="711"/>
      <c r="O8" s="2532"/>
      <c r="P8" s="484" t="s">
        <v>742</v>
      </c>
      <c r="Q8" s="487">
        <v>100000</v>
      </c>
      <c r="R8" s="483" t="s">
        <v>748</v>
      </c>
      <c r="S8" s="483" t="s">
        <v>749</v>
      </c>
      <c r="U8" s="486"/>
    </row>
    <row r="9" spans="2:27">
      <c r="B9" s="2523"/>
      <c r="C9" s="2525" t="s">
        <v>1183</v>
      </c>
      <c r="D9" s="1316" t="s">
        <v>3269</v>
      </c>
      <c r="E9" s="708">
        <v>110000</v>
      </c>
      <c r="F9" s="708">
        <v>55000</v>
      </c>
      <c r="G9" s="708">
        <v>0</v>
      </c>
      <c r="H9" s="708">
        <v>55000</v>
      </c>
      <c r="I9" s="708">
        <v>110000</v>
      </c>
      <c r="J9" s="695"/>
      <c r="K9" s="711"/>
      <c r="L9" s="711"/>
      <c r="M9" s="711"/>
      <c r="N9" s="711"/>
      <c r="O9" s="2532"/>
      <c r="P9" s="484" t="s">
        <v>745</v>
      </c>
      <c r="Q9" s="487">
        <v>154000</v>
      </c>
      <c r="R9" s="483" t="s">
        <v>1468</v>
      </c>
      <c r="S9" s="483" t="s">
        <v>750</v>
      </c>
      <c r="U9" s="486"/>
    </row>
    <row r="10" spans="2:27">
      <c r="B10" s="2524"/>
      <c r="C10" s="2524"/>
      <c r="D10" s="697" t="s">
        <v>3270</v>
      </c>
      <c r="E10" s="708">
        <v>165000</v>
      </c>
      <c r="F10" s="708">
        <v>165000</v>
      </c>
      <c r="G10" s="708">
        <v>110000</v>
      </c>
      <c r="H10" s="708">
        <v>110000</v>
      </c>
      <c r="I10" s="708">
        <f>E10</f>
        <v>165000</v>
      </c>
      <c r="J10" s="696"/>
      <c r="K10" s="711"/>
      <c r="L10" s="711"/>
      <c r="M10" s="711"/>
      <c r="N10" s="711"/>
      <c r="O10" s="2532"/>
      <c r="P10" s="484" t="s">
        <v>742</v>
      </c>
      <c r="Q10" s="487">
        <v>232000</v>
      </c>
      <c r="R10" s="483" t="s">
        <v>1468</v>
      </c>
      <c r="S10" s="483" t="s">
        <v>750</v>
      </c>
    </row>
    <row r="11" spans="2:27" s="481" customFormat="1">
      <c r="B11" s="2536" t="s">
        <v>1184</v>
      </c>
      <c r="C11" s="2537"/>
      <c r="D11" s="2537"/>
      <c r="E11" s="2537"/>
      <c r="F11" s="2537"/>
      <c r="G11" s="2537"/>
      <c r="H11" s="2537"/>
      <c r="I11" s="2537"/>
      <c r="J11" s="2538"/>
      <c r="K11" s="711"/>
      <c r="L11" s="711"/>
      <c r="M11" s="711"/>
      <c r="N11" s="711"/>
      <c r="O11" s="465"/>
      <c r="P11" s="479"/>
      <c r="Q11" s="486"/>
      <c r="R11" s="465"/>
      <c r="S11" s="465"/>
    </row>
    <row r="12" spans="2:27" s="479" customFormat="1">
      <c r="B12" s="694" t="s">
        <v>808</v>
      </c>
      <c r="C12" s="692" t="s">
        <v>1173</v>
      </c>
      <c r="D12" s="692" t="s">
        <v>1174</v>
      </c>
      <c r="E12" s="692" t="s">
        <v>1185</v>
      </c>
      <c r="F12" s="692" t="s">
        <v>1186</v>
      </c>
      <c r="G12" s="692" t="s">
        <v>1187</v>
      </c>
      <c r="H12" s="692" t="s">
        <v>1188</v>
      </c>
      <c r="I12" s="692" t="s">
        <v>1189</v>
      </c>
      <c r="J12" s="694" t="s">
        <v>733</v>
      </c>
      <c r="K12" s="711"/>
      <c r="L12" s="711"/>
      <c r="M12" s="711"/>
      <c r="N12" s="711"/>
      <c r="O12" s="482" t="s">
        <v>736</v>
      </c>
      <c r="P12" s="482" t="s">
        <v>751</v>
      </c>
      <c r="Q12" s="707" t="s">
        <v>738</v>
      </c>
      <c r="R12" s="482" t="s">
        <v>739</v>
      </c>
      <c r="S12" s="482" t="s">
        <v>752</v>
      </c>
    </row>
    <row r="13" spans="2:27" s="479" customFormat="1">
      <c r="B13" s="2539" t="s">
        <v>1060</v>
      </c>
      <c r="C13" s="697" t="s">
        <v>2685</v>
      </c>
      <c r="D13" s="702" t="s">
        <v>2686</v>
      </c>
      <c r="E13" s="689" t="s">
        <v>1190</v>
      </c>
      <c r="F13" s="689" t="s">
        <v>1191</v>
      </c>
      <c r="G13" s="689" t="s">
        <v>1192</v>
      </c>
      <c r="H13" s="689" t="s">
        <v>1193</v>
      </c>
      <c r="I13" s="708">
        <v>165000</v>
      </c>
      <c r="J13" s="698"/>
      <c r="K13" s="711"/>
      <c r="L13" s="711"/>
      <c r="M13" s="711"/>
      <c r="N13" s="711"/>
      <c r="O13" s="2532" t="s">
        <v>753</v>
      </c>
      <c r="P13" s="484" t="s">
        <v>754</v>
      </c>
      <c r="Q13" s="487">
        <v>210000</v>
      </c>
      <c r="R13" s="483" t="s">
        <v>1652</v>
      </c>
      <c r="S13" s="483" t="s">
        <v>755</v>
      </c>
    </row>
    <row r="14" spans="2:27">
      <c r="B14" s="2539"/>
      <c r="C14" s="697" t="s">
        <v>2687</v>
      </c>
      <c r="D14" s="702" t="s">
        <v>2688</v>
      </c>
      <c r="E14" s="689" t="s">
        <v>1190</v>
      </c>
      <c r="F14" s="689" t="s">
        <v>1194</v>
      </c>
      <c r="G14" s="689" t="s">
        <v>1194</v>
      </c>
      <c r="H14" s="689" t="s">
        <v>1195</v>
      </c>
      <c r="I14" s="708">
        <v>220000</v>
      </c>
      <c r="J14" s="698"/>
      <c r="K14" s="711"/>
      <c r="L14" s="711"/>
      <c r="M14" s="711"/>
      <c r="N14" s="711"/>
      <c r="O14" s="2532"/>
      <c r="P14" s="484" t="s">
        <v>754</v>
      </c>
      <c r="Q14" s="487">
        <v>170000</v>
      </c>
      <c r="R14" s="483" t="s">
        <v>1240</v>
      </c>
      <c r="S14" s="483" t="s">
        <v>756</v>
      </c>
    </row>
    <row r="15" spans="2:27">
      <c r="B15" s="2539"/>
      <c r="C15" s="697" t="s">
        <v>1196</v>
      </c>
      <c r="D15" s="702" t="s">
        <v>1231</v>
      </c>
      <c r="E15" s="689" t="s">
        <v>1190</v>
      </c>
      <c r="F15" s="689" t="s">
        <v>1194</v>
      </c>
      <c r="G15" s="689" t="s">
        <v>1192</v>
      </c>
      <c r="H15" s="689" t="s">
        <v>1193</v>
      </c>
      <c r="I15" s="708">
        <v>220000</v>
      </c>
      <c r="J15" s="698"/>
      <c r="K15" s="711"/>
      <c r="L15" s="711"/>
      <c r="M15" s="711"/>
      <c r="N15" s="711"/>
      <c r="P15" s="479"/>
    </row>
    <row r="16" spans="2:27" s="481" customFormat="1">
      <c r="B16" s="2539"/>
      <c r="C16" s="690" t="s">
        <v>1238</v>
      </c>
      <c r="D16" s="703" t="s">
        <v>1651</v>
      </c>
      <c r="E16" s="691" t="s">
        <v>1190</v>
      </c>
      <c r="F16" s="691" t="s">
        <v>1194</v>
      </c>
      <c r="G16" s="691" t="s">
        <v>1192</v>
      </c>
      <c r="H16" s="691" t="s">
        <v>1193</v>
      </c>
      <c r="I16" s="708">
        <v>210000</v>
      </c>
      <c r="J16" s="698"/>
      <c r="K16" s="711"/>
      <c r="L16" s="711"/>
      <c r="M16" s="711"/>
      <c r="N16" s="711"/>
      <c r="O16" s="479"/>
      <c r="P16" s="465"/>
      <c r="Q16" s="465"/>
      <c r="R16" s="465"/>
      <c r="S16" s="465"/>
    </row>
    <row r="17" spans="2:19">
      <c r="B17" s="2539"/>
      <c r="C17" s="697" t="s">
        <v>1197</v>
      </c>
      <c r="D17" s="702" t="s">
        <v>1198</v>
      </c>
      <c r="E17" s="689" t="s">
        <v>1190</v>
      </c>
      <c r="F17" s="689" t="s">
        <v>1194</v>
      </c>
      <c r="G17" s="689" t="s">
        <v>1191</v>
      </c>
      <c r="H17" s="689" t="s">
        <v>1195</v>
      </c>
      <c r="I17" s="708">
        <v>363000</v>
      </c>
      <c r="J17" s="698"/>
      <c r="K17" s="711"/>
      <c r="L17" s="711"/>
      <c r="M17" s="711"/>
      <c r="N17" s="711"/>
      <c r="O17" s="479"/>
    </row>
    <row r="18" spans="2:19">
      <c r="B18" s="2536" t="s">
        <v>1199</v>
      </c>
      <c r="C18" s="2537"/>
      <c r="D18" s="2537"/>
      <c r="E18" s="2537"/>
      <c r="F18" s="2537"/>
      <c r="G18" s="2537"/>
      <c r="H18" s="2537"/>
      <c r="I18" s="2537"/>
      <c r="J18" s="2538"/>
      <c r="K18" s="711"/>
      <c r="L18" s="711"/>
      <c r="M18" s="711"/>
      <c r="N18" s="711"/>
      <c r="O18" s="479"/>
    </row>
    <row r="19" spans="2:19">
      <c r="B19" s="694" t="s">
        <v>1200</v>
      </c>
      <c r="C19" s="692" t="s">
        <v>1201</v>
      </c>
      <c r="D19" s="692" t="s">
        <v>1202</v>
      </c>
      <c r="E19" s="692" t="s">
        <v>1203</v>
      </c>
      <c r="F19" s="692" t="s">
        <v>1204</v>
      </c>
      <c r="G19" s="692" t="s">
        <v>1205</v>
      </c>
      <c r="H19" s="692" t="s">
        <v>1206</v>
      </c>
      <c r="I19" s="692" t="s">
        <v>1207</v>
      </c>
      <c r="J19" s="692" t="s">
        <v>1208</v>
      </c>
      <c r="K19" s="711"/>
      <c r="L19" s="711"/>
      <c r="M19" s="711"/>
      <c r="N19" s="711"/>
      <c r="O19" s="479"/>
      <c r="P19" s="701"/>
      <c r="R19" s="2526"/>
      <c r="S19" s="2526"/>
    </row>
    <row r="20" spans="2:19" ht="33">
      <c r="B20" s="2539" t="s">
        <v>1209</v>
      </c>
      <c r="C20" s="697" t="s">
        <v>1197</v>
      </c>
      <c r="D20" s="689" t="s">
        <v>1210</v>
      </c>
      <c r="E20" s="689" t="s">
        <v>1211</v>
      </c>
      <c r="F20" s="689" t="s">
        <v>1212</v>
      </c>
      <c r="G20" s="689" t="s">
        <v>1213</v>
      </c>
      <c r="H20" s="689" t="s">
        <v>1193</v>
      </c>
      <c r="I20" s="708">
        <v>220000</v>
      </c>
      <c r="J20" s="698"/>
      <c r="K20" s="711"/>
      <c r="L20" s="711"/>
      <c r="M20" s="711"/>
      <c r="N20" s="711"/>
      <c r="O20" s="479"/>
      <c r="P20" s="701"/>
      <c r="R20" s="2526"/>
      <c r="S20" s="2526"/>
    </row>
    <row r="21" spans="2:19" ht="33">
      <c r="B21" s="2539"/>
      <c r="C21" s="697" t="s">
        <v>1196</v>
      </c>
      <c r="D21" s="689" t="s">
        <v>1214</v>
      </c>
      <c r="E21" s="689" t="s">
        <v>1215</v>
      </c>
      <c r="F21" s="689" t="s">
        <v>1212</v>
      </c>
      <c r="G21" s="689" t="s">
        <v>1216</v>
      </c>
      <c r="H21" s="689" t="s">
        <v>1193</v>
      </c>
      <c r="I21" s="708">
        <v>320000</v>
      </c>
      <c r="J21" s="698"/>
      <c r="K21" s="711"/>
      <c r="L21" s="711"/>
      <c r="M21" s="711"/>
      <c r="N21" s="711"/>
      <c r="O21" s="479"/>
      <c r="P21" s="701"/>
    </row>
    <row r="22" spans="2:19">
      <c r="B22" s="2536" t="s">
        <v>1217</v>
      </c>
      <c r="C22" s="2540"/>
      <c r="D22" s="2540"/>
      <c r="E22" s="2540"/>
      <c r="F22" s="2540"/>
      <c r="G22" s="2540"/>
      <c r="H22" s="2540"/>
      <c r="I22" s="2540"/>
      <c r="J22" s="2541"/>
      <c r="K22" s="711"/>
      <c r="L22" s="711"/>
      <c r="M22" s="711"/>
      <c r="N22" s="711"/>
      <c r="O22" s="479"/>
      <c r="P22" s="701"/>
      <c r="Q22" s="488"/>
      <c r="R22" s="488"/>
    </row>
    <row r="23" spans="2:19">
      <c r="B23" s="694" t="s">
        <v>808</v>
      </c>
      <c r="C23" s="692" t="s">
        <v>1173</v>
      </c>
      <c r="D23" s="692" t="s">
        <v>1174</v>
      </c>
      <c r="E23" s="692" t="s">
        <v>1218</v>
      </c>
      <c r="F23" s="692" t="s">
        <v>1219</v>
      </c>
      <c r="G23" s="2528" t="s">
        <v>1220</v>
      </c>
      <c r="H23" s="2529"/>
      <c r="I23" s="692" t="s">
        <v>1189</v>
      </c>
      <c r="J23" s="692" t="s">
        <v>733</v>
      </c>
      <c r="K23" s="711"/>
      <c r="L23" s="711"/>
      <c r="M23" s="711"/>
      <c r="N23" s="711"/>
      <c r="O23" s="2526"/>
      <c r="P23" s="701"/>
      <c r="Q23" s="2527"/>
      <c r="R23" s="2527"/>
    </row>
    <row r="24" spans="2:19">
      <c r="B24" s="697" t="s">
        <v>1221</v>
      </c>
      <c r="C24" s="697" t="s">
        <v>757</v>
      </c>
      <c r="D24" s="689" t="s">
        <v>1222</v>
      </c>
      <c r="E24" s="689" t="s">
        <v>1223</v>
      </c>
      <c r="F24" s="689" t="s">
        <v>1224</v>
      </c>
      <c r="G24" s="2530" t="s">
        <v>1225</v>
      </c>
      <c r="H24" s="2531"/>
      <c r="I24" s="708">
        <v>110000</v>
      </c>
      <c r="J24" s="698"/>
      <c r="K24" s="711"/>
      <c r="L24" s="711"/>
      <c r="M24" s="711"/>
      <c r="N24" s="711"/>
      <c r="O24" s="2526"/>
      <c r="P24" s="701"/>
    </row>
    <row r="25" spans="2:19">
      <c r="B25" s="2533" t="s">
        <v>1217</v>
      </c>
      <c r="C25" s="2534"/>
      <c r="D25" s="2534"/>
      <c r="E25" s="2534"/>
      <c r="F25" s="2534"/>
      <c r="G25" s="2534"/>
      <c r="H25" s="2534"/>
      <c r="I25" s="2534"/>
      <c r="J25" s="2535"/>
      <c r="K25" s="711"/>
      <c r="L25" s="711"/>
      <c r="M25" s="711"/>
      <c r="N25" s="711"/>
    </row>
    <row r="26" spans="2:19">
      <c r="K26" s="711"/>
      <c r="L26" s="711"/>
      <c r="M26" s="711"/>
      <c r="N26" s="711"/>
      <c r="O26" s="488"/>
    </row>
    <row r="27" spans="2:19">
      <c r="K27" s="711"/>
      <c r="L27" s="711"/>
      <c r="M27" s="711"/>
      <c r="N27" s="711"/>
    </row>
  </sheetData>
  <mergeCells count="18">
    <mergeCell ref="B25:J25"/>
    <mergeCell ref="B2:J2"/>
    <mergeCell ref="B11:J11"/>
    <mergeCell ref="B13:B17"/>
    <mergeCell ref="B18:J18"/>
    <mergeCell ref="B20:B21"/>
    <mergeCell ref="B22:J22"/>
    <mergeCell ref="O2:S2"/>
    <mergeCell ref="B6:B10"/>
    <mergeCell ref="C6:C8"/>
    <mergeCell ref="C9:C10"/>
    <mergeCell ref="O23:O24"/>
    <mergeCell ref="Q23:R23"/>
    <mergeCell ref="G23:H23"/>
    <mergeCell ref="G24:H24"/>
    <mergeCell ref="R19:S20"/>
    <mergeCell ref="O6:O10"/>
    <mergeCell ref="O13:O14"/>
  </mergeCells>
  <phoneticPr fontId="2" type="noConversion"/>
  <pageMargins left="0.7" right="0.7" top="0.75" bottom="0.75" header="0.3" footer="0.3"/>
  <pageSetup paperSize="9" orientation="portrait" r:id="rId1"/>
  <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0"/>
  <dimension ref="B1:L32"/>
  <sheetViews>
    <sheetView showGridLines="0" workbookViewId="0"/>
  </sheetViews>
  <sheetFormatPr defaultRowHeight="16.5"/>
  <cols>
    <col min="1" max="1" width="2.75" customWidth="1"/>
    <col min="2" max="2" width="14.5" bestFit="1" customWidth="1"/>
    <col min="3" max="3" width="25.625" customWidth="1"/>
    <col min="4" max="4" width="21.75" bestFit="1" customWidth="1"/>
    <col min="5" max="5" width="2.5" customWidth="1"/>
    <col min="6" max="6" width="14.5" bestFit="1" customWidth="1"/>
    <col min="7" max="7" width="25.625" customWidth="1"/>
    <col min="8" max="8" width="21.75" bestFit="1" customWidth="1"/>
    <col min="9" max="9" width="2.5" customWidth="1"/>
    <col min="10" max="10" width="14.5" hidden="1" customWidth="1"/>
    <col min="11" max="11" width="25.625" hidden="1" customWidth="1"/>
    <col min="12" max="12" width="21.75" hidden="1" customWidth="1"/>
  </cols>
  <sheetData>
    <row r="1" spans="2:12" ht="17.25" thickBot="1"/>
    <row r="2" spans="2:12" ht="20.25" thickBot="1">
      <c r="B2" s="2554" t="s">
        <v>1700</v>
      </c>
      <c r="C2" s="2555"/>
      <c r="D2" s="2556"/>
      <c r="F2" s="2557" t="s">
        <v>1701</v>
      </c>
      <c r="G2" s="2557"/>
      <c r="H2" s="2557"/>
      <c r="J2" s="2557" t="s">
        <v>1702</v>
      </c>
      <c r="K2" s="2557"/>
      <c r="L2" s="2557"/>
    </row>
    <row r="3" spans="2:12" ht="17.25" thickBot="1">
      <c r="B3" s="957" t="s">
        <v>808</v>
      </c>
      <c r="C3" s="958" t="s">
        <v>1703</v>
      </c>
      <c r="D3" s="959" t="s">
        <v>733</v>
      </c>
      <c r="F3" s="960" t="s">
        <v>808</v>
      </c>
      <c r="G3" s="961" t="s">
        <v>1703</v>
      </c>
      <c r="H3" s="962" t="s">
        <v>733</v>
      </c>
      <c r="J3" s="960" t="s">
        <v>808</v>
      </c>
      <c r="K3" s="961" t="s">
        <v>1703</v>
      </c>
      <c r="L3" s="962" t="s">
        <v>733</v>
      </c>
    </row>
    <row r="4" spans="2:12" ht="19.899999999999999" customHeight="1">
      <c r="B4" s="2558" t="s">
        <v>1180</v>
      </c>
      <c r="C4" s="963" t="s">
        <v>1681</v>
      </c>
      <c r="D4" s="2561" t="s">
        <v>1704</v>
      </c>
      <c r="F4" s="2564" t="s">
        <v>1705</v>
      </c>
      <c r="G4" s="964" t="s">
        <v>1682</v>
      </c>
      <c r="H4" s="2566" t="s">
        <v>1704</v>
      </c>
      <c r="J4" s="2568" t="s">
        <v>1706</v>
      </c>
      <c r="K4" s="965" t="s">
        <v>1683</v>
      </c>
      <c r="L4" s="2571" t="s">
        <v>1707</v>
      </c>
    </row>
    <row r="5" spans="2:12" ht="19.899999999999999" customHeight="1">
      <c r="B5" s="2559"/>
      <c r="C5" s="966"/>
      <c r="D5" s="2562"/>
      <c r="F5" s="2565"/>
      <c r="G5" s="966"/>
      <c r="H5" s="2562"/>
      <c r="J5" s="2569"/>
      <c r="K5" s="967" t="s">
        <v>1687</v>
      </c>
      <c r="L5" s="2572"/>
    </row>
    <row r="6" spans="2:12" ht="17.25" thickBot="1">
      <c r="B6" s="2560"/>
      <c r="C6" s="968"/>
      <c r="D6" s="2563"/>
      <c r="F6" s="2549"/>
      <c r="G6" s="969"/>
      <c r="H6" s="2567"/>
      <c r="J6" s="2569"/>
      <c r="K6" s="967" t="s">
        <v>1688</v>
      </c>
      <c r="L6" s="2572"/>
    </row>
    <row r="7" spans="2:12" ht="19.899999999999999" customHeight="1">
      <c r="B7" s="2574" t="s">
        <v>1060</v>
      </c>
      <c r="C7" s="2576" t="s">
        <v>1708</v>
      </c>
      <c r="D7" s="2577"/>
      <c r="F7" s="2564" t="s">
        <v>1709</v>
      </c>
      <c r="G7" s="2580" t="s">
        <v>1710</v>
      </c>
      <c r="H7" s="2577"/>
      <c r="J7" s="2569"/>
      <c r="K7" s="967" t="s">
        <v>1689</v>
      </c>
      <c r="L7" s="2572"/>
    </row>
    <row r="8" spans="2:12" ht="17.25" thickBot="1">
      <c r="B8" s="2575"/>
      <c r="C8" s="2552"/>
      <c r="D8" s="2553"/>
      <c r="F8" s="2578"/>
      <c r="G8" s="2581" t="s">
        <v>1711</v>
      </c>
      <c r="H8" s="2582"/>
      <c r="J8" s="2570"/>
      <c r="K8" s="967" t="s">
        <v>1690</v>
      </c>
      <c r="L8" s="2573"/>
    </row>
    <row r="9" spans="2:12" ht="17.25" thickBot="1">
      <c r="B9" s="970" t="s">
        <v>1712</v>
      </c>
      <c r="C9" s="2542">
        <v>330000</v>
      </c>
      <c r="D9" s="2543"/>
      <c r="F9" s="2579"/>
      <c r="G9" s="2552" t="s">
        <v>1713</v>
      </c>
      <c r="H9" s="2553"/>
      <c r="J9" s="2544" t="s">
        <v>1714</v>
      </c>
      <c r="K9" s="971" t="s">
        <v>1715</v>
      </c>
      <c r="L9" s="2546" t="s">
        <v>1716</v>
      </c>
    </row>
    <row r="10" spans="2:12" ht="17.25" thickBot="1">
      <c r="F10" s="2548" t="s">
        <v>1060</v>
      </c>
      <c r="G10" s="2550" t="s">
        <v>1708</v>
      </c>
      <c r="H10" s="2551"/>
      <c r="J10" s="2545"/>
      <c r="K10" s="972" t="s">
        <v>1717</v>
      </c>
      <c r="L10" s="2547"/>
    </row>
    <row r="11" spans="2:12" ht="17.25" customHeight="1" thickBot="1">
      <c r="F11" s="2549"/>
      <c r="G11" s="2552"/>
      <c r="H11" s="2553"/>
      <c r="J11" s="2548" t="s">
        <v>1060</v>
      </c>
      <c r="K11" s="2550" t="s">
        <v>1708</v>
      </c>
      <c r="L11" s="2551"/>
    </row>
    <row r="12" spans="2:12" ht="17.25" thickBot="1">
      <c r="F12" s="970" t="s">
        <v>1712</v>
      </c>
      <c r="G12" s="2542">
        <v>451000</v>
      </c>
      <c r="H12" s="2543"/>
      <c r="J12" s="2549"/>
      <c r="K12" s="2552"/>
      <c r="L12" s="2553"/>
    </row>
    <row r="13" spans="2:12" ht="19.899999999999999" customHeight="1" thickBot="1">
      <c r="J13" s="970" t="s">
        <v>1712</v>
      </c>
      <c r="K13" s="2542">
        <v>693000</v>
      </c>
      <c r="L13" s="2543"/>
    </row>
    <row r="14" spans="2:12" ht="19.899999999999999" customHeight="1"/>
    <row r="16" spans="2:12" ht="19.899999999999999" customHeight="1"/>
    <row r="18" ht="16.5" customHeight="1"/>
    <row r="22" ht="19.899999999999999" customHeight="1"/>
    <row r="24" ht="19.899999999999999" customHeight="1"/>
    <row r="25" ht="19.899999999999999" customHeight="1"/>
    <row r="26" ht="19.899999999999999" customHeight="1"/>
    <row r="27" ht="19.899999999999999" customHeight="1"/>
    <row r="30" ht="19.899999999999999" customHeight="1"/>
    <row r="31" ht="19.899999999999999" customHeight="1"/>
    <row r="32" ht="19.899999999999999" customHeight="1"/>
  </sheetData>
  <mergeCells count="24">
    <mergeCell ref="B2:D2"/>
    <mergeCell ref="F2:H2"/>
    <mergeCell ref="J2:L2"/>
    <mergeCell ref="B4:B6"/>
    <mergeCell ref="D4:D6"/>
    <mergeCell ref="F4:F6"/>
    <mergeCell ref="H4:H6"/>
    <mergeCell ref="J4:J8"/>
    <mergeCell ref="L4:L8"/>
    <mergeCell ref="B7:B8"/>
    <mergeCell ref="C7:D8"/>
    <mergeCell ref="F7:F9"/>
    <mergeCell ref="G7:H7"/>
    <mergeCell ref="G8:H8"/>
    <mergeCell ref="C9:D9"/>
    <mergeCell ref="G9:H9"/>
    <mergeCell ref="K13:L13"/>
    <mergeCell ref="J9:J10"/>
    <mergeCell ref="L9:L10"/>
    <mergeCell ref="F10:F11"/>
    <mergeCell ref="G10:H11"/>
    <mergeCell ref="J11:J12"/>
    <mergeCell ref="K11:L12"/>
    <mergeCell ref="G12:H12"/>
  </mergeCells>
  <phoneticPr fontId="2" type="noConversion"/>
  <pageMargins left="0.7" right="0.7" top="0.75" bottom="0.75" header="0.3" footer="0.3"/>
  <pageSetup paperSize="9" orientation="portrait" horizont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locked="0" defaultSize="0" print="0" autoFill="0" autoPict="0" macro="[0]!카버스실행요청서돌아가기">
                <anchor moveWithCells="1" sizeWithCells="1">
                  <from>
                    <xdr:col>4</xdr:col>
                    <xdr:colOff>161925</xdr:colOff>
                    <xdr:row>14</xdr:row>
                    <xdr:rowOff>28575</xdr:rowOff>
                  </from>
                  <to>
                    <xdr:col>6</xdr:col>
                    <xdr:colOff>1238250</xdr:colOff>
                    <xdr:row>19</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11</vt:i4>
      </vt:variant>
      <vt:variant>
        <vt:lpstr>이름 지정된 범위</vt:lpstr>
      </vt:variant>
      <vt:variant>
        <vt:i4>75</vt:i4>
      </vt:variant>
    </vt:vector>
  </HeadingPairs>
  <TitlesOfParts>
    <vt:vector size="86" baseType="lpstr">
      <vt:lpstr>AG 입력시트</vt:lpstr>
      <vt:lpstr>운용리스_단일</vt:lpstr>
      <vt:lpstr>운용리스_비교</vt:lpstr>
      <vt:lpstr>계산_운용리스_단일</vt:lpstr>
      <vt:lpstr>자금집행요청서</vt:lpstr>
      <vt:lpstr>실행(발주)요청서</vt:lpstr>
      <vt:lpstr>차량정보</vt:lpstr>
      <vt:lpstr>공채확인서</vt:lpstr>
      <vt:lpstr>할부</vt:lpstr>
      <vt:lpstr>보조금22</vt:lpstr>
      <vt:lpstr>기타_용품</vt:lpstr>
      <vt:lpstr>AUDI</vt:lpstr>
      <vt:lpstr>AUDI_제휴</vt:lpstr>
      <vt:lpstr>BENTLEY</vt:lpstr>
      <vt:lpstr>Benz</vt:lpstr>
      <vt:lpstr>Benz_제휴</vt:lpstr>
      <vt:lpstr>BMW</vt:lpstr>
      <vt:lpstr>BMW_제휴</vt:lpstr>
      <vt:lpstr>CADILLAC</vt:lpstr>
      <vt:lpstr>Chrysler</vt:lpstr>
      <vt:lpstr>Citroen</vt:lpstr>
      <vt:lpstr>FERRARI</vt:lpstr>
      <vt:lpstr>Fiat</vt:lpstr>
      <vt:lpstr>Ford</vt:lpstr>
      <vt:lpstr>Honda</vt:lpstr>
      <vt:lpstr>HONDA_제휴</vt:lpstr>
      <vt:lpstr>JAGUAR_LANDROVER</vt:lpstr>
      <vt:lpstr>JAGUAR_LANDROVER_제휴</vt:lpstr>
      <vt:lpstr>Jeep</vt:lpstr>
      <vt:lpstr>KG모빌리티</vt:lpstr>
      <vt:lpstr>KG모빌리티_특판</vt:lpstr>
      <vt:lpstr>LAMBORGHINI</vt:lpstr>
      <vt:lpstr>Lexus</vt:lpstr>
      <vt:lpstr>Lincoln</vt:lpstr>
      <vt:lpstr>Maserati</vt:lpstr>
      <vt:lpstr>McLaren</vt:lpstr>
      <vt:lpstr>Mini</vt:lpstr>
      <vt:lpstr>Peugeot</vt:lpstr>
      <vt:lpstr>Porsche</vt:lpstr>
      <vt:lpstr>PORSCHE_제휴</vt:lpstr>
      <vt:lpstr>공채확인서!Print_Area</vt:lpstr>
      <vt:lpstr>'실행(발주)요청서'!Print_Area</vt:lpstr>
      <vt:lpstr>'실행요청서(본사직원사용)'!Print_Area</vt:lpstr>
      <vt:lpstr>운용리스_단일!Print_Area</vt:lpstr>
      <vt:lpstr>운용리스_비교!Print_Area</vt:lpstr>
      <vt:lpstr>자금집행요청서!Print_Area</vt:lpstr>
      <vt:lpstr>전기차특약!Print_Area</vt:lpstr>
      <vt:lpstr>'카버스 실행요청서(제휴점)'!Print_Area</vt:lpstr>
      <vt:lpstr>탁송!Print_Area</vt:lpstr>
      <vt:lpstr>할부!Print_Area</vt:lpstr>
      <vt:lpstr>ROLLS_ROYCE</vt:lpstr>
      <vt:lpstr>TESLA</vt:lpstr>
      <vt:lpstr>Toyota</vt:lpstr>
      <vt:lpstr>Volkswagen</vt:lpstr>
      <vt:lpstr>VOLKSWAGEN_제휴</vt:lpstr>
      <vt:lpstr>Volvo</vt:lpstr>
      <vt:lpstr>고급</vt:lpstr>
      <vt:lpstr>국산</vt:lpstr>
      <vt:lpstr>기본</vt:lpstr>
      <vt:lpstr>기아</vt:lpstr>
      <vt:lpstr>기타</vt:lpstr>
      <vt:lpstr>르노</vt:lpstr>
      <vt:lpstr>르노_특판</vt:lpstr>
      <vt:lpstr>르노삼성</vt:lpstr>
      <vt:lpstr>선보</vt:lpstr>
      <vt:lpstr>선보블랙박스</vt:lpstr>
      <vt:lpstr>선보썬팅</vt:lpstr>
      <vt:lpstr>선보전면썬팅</vt:lpstr>
      <vt:lpstr>선보측후면썬팅</vt:lpstr>
      <vt:lpstr>수입</vt:lpstr>
      <vt:lpstr>수입차프로모션</vt:lpstr>
      <vt:lpstr>쉐보레</vt:lpstr>
      <vt:lpstr>쌍용</vt:lpstr>
      <vt:lpstr>유림로지스</vt:lpstr>
      <vt:lpstr>유림로지스전면썬팅</vt:lpstr>
      <vt:lpstr>유림블랙박스</vt:lpstr>
      <vt:lpstr>유림전면썬팅</vt:lpstr>
      <vt:lpstr>유림측후면썬팅</vt:lpstr>
      <vt:lpstr>전기차</vt:lpstr>
      <vt:lpstr>지점대리점출고</vt:lpstr>
      <vt:lpstr>직접등록</vt:lpstr>
      <vt:lpstr>카버스직접등록</vt:lpstr>
      <vt:lpstr>특판출고진행</vt:lpstr>
      <vt:lpstr>프리미엄</vt:lpstr>
      <vt:lpstr>현대</vt:lpstr>
      <vt:lpstr>현대특판</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DGB</dc:creator>
  <cp:keywords>고일생</cp:keywords>
  <cp:lastModifiedBy>이 한빛</cp:lastModifiedBy>
  <cp:lastPrinted>2024-09-12T06:03:27Z</cp:lastPrinted>
  <dcterms:created xsi:type="dcterms:W3CDTF">2020-06-18T04:32:09Z</dcterms:created>
  <dcterms:modified xsi:type="dcterms:W3CDTF">2024-12-20T08:45:01Z</dcterms:modified>
</cp:coreProperties>
</file>